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Settings'!$I$4:$I$8</definedName>
    <definedName name="B12MInterpolation">'Delta 1Y'!$N$1</definedName>
    <definedName name="B3Minterpolation">'Delta 3M'!$N$1</definedName>
    <definedName name="B6Minterpolation">'Delta 6M '!$N$1</definedName>
    <definedName name="Calendar">'General Settings'!$I$18</definedName>
    <definedName name="Conventions" localSheetId="6">'Delta 1M'!$T$3:$T$4</definedName>
    <definedName name="Currency">'General Settings'!$D$4</definedName>
    <definedName name="DayCounter">'General Settings'!$D$8</definedName>
    <definedName name="Delta1M">'Delta 1M'!$X$25:$X$28</definedName>
    <definedName name="Discounting">'General Settings'!$D$7</definedName>
    <definedName name="EvaluationDate">'General Settings'!$I$5</definedName>
    <definedName name="GENERAL_SETTINGS">'General Settings'!$B$2</definedName>
    <definedName name="HolidayCheck">'General Settings'!$I$15</definedName>
    <definedName name="iborindex1M">'General Settings'!$D$25</definedName>
    <definedName name="IborTenor1M">'General Settings'!$D$23</definedName>
    <definedName name="IborType">'General Settings'!$D$5</definedName>
    <definedName name="InterestRatesTrigger">'General Settings'!$I$6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Settings'!$I$17</definedName>
    <definedName name="LastFixingsTrigger">'General Settings'!$I$7</definedName>
    <definedName name="LastUpdate">'General Settings'!$D$17</definedName>
    <definedName name="LiborCalendar">'General Settings'!$I$13</definedName>
    <definedName name="LiveDataFeed">'General Settings'!$D$18</definedName>
    <definedName name="LocalCalendar">'General Settings'!$I$14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Settings'!$D$11</definedName>
    <definedName name="OisCurve">'General Settings'!$D$7</definedName>
    <definedName name="OvernightIndex">'General Settings'!$D$6</definedName>
    <definedName name="Permanent">'General Settings'!$D$10</definedName>
    <definedName name="PriceTickValue">'General Settings'!$D$14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Settings'!$D$12</definedName>
    <definedName name="RateTickValue">'General Settings'!$D$13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I5" i="29" l="1"/>
  <c r="L3" i="33" l="1" a="1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L1" i="45" l="1"/>
  <c r="I17" i="29" l="1"/>
  <c r="E1" i="54"/>
  <c r="E1" i="53"/>
  <c r="E3" i="53" l="1"/>
  <c r="E4" i="53" s="1"/>
  <c r="E5" i="53" s="1"/>
  <c r="E6" i="53" s="1"/>
  <c r="E7" i="53" s="1"/>
  <c r="E8" i="53" s="1"/>
  <c r="E9" i="53" s="1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D5" i="51" s="1"/>
  <c r="C4" i="51"/>
  <c r="D4" i="51" s="1"/>
  <c r="A6" i="51"/>
  <c r="C6" i="51" s="1"/>
  <c r="C3" i="51"/>
  <c r="H2" i="51"/>
  <c r="D2" i="51"/>
  <c r="I15" i="29"/>
  <c r="H5" i="54" l="1"/>
  <c r="H7" i="54"/>
  <c r="J7" i="54" s="1"/>
  <c r="H9" i="54"/>
  <c r="H17" i="54"/>
  <c r="J17" i="54" s="1"/>
  <c r="H19" i="54"/>
  <c r="J19" i="54" s="1"/>
  <c r="H31" i="54"/>
  <c r="J31" i="54" s="1"/>
  <c r="H35" i="54"/>
  <c r="J35" i="54" s="1"/>
  <c r="H9" i="53"/>
  <c r="J9" i="53" s="1"/>
  <c r="I18" i="29"/>
  <c r="H11" i="54"/>
  <c r="H13" i="54"/>
  <c r="J13" i="54" s="1"/>
  <c r="H13" i="53"/>
  <c r="J13" i="53" s="1"/>
  <c r="H17" i="53"/>
  <c r="J17" i="53" s="1"/>
  <c r="H25" i="53"/>
  <c r="J25" i="53" s="1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J30" i="54" s="1"/>
  <c r="H3" i="54"/>
  <c r="J11" i="54"/>
  <c r="H10" i="53"/>
  <c r="J10" i="53" s="1"/>
  <c r="H14" i="53"/>
  <c r="J14" i="53" s="1"/>
  <c r="H16" i="53"/>
  <c r="J16" i="53" s="1"/>
  <c r="H18" i="53"/>
  <c r="J18" i="53" s="1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5" i="54"/>
  <c r="H25" i="54"/>
  <c r="J25" i="54" s="1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H22" i="54"/>
  <c r="J22" i="54" s="1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H3" i="53"/>
  <c r="J3" i="53" s="1"/>
  <c r="H6" i="53"/>
  <c r="J6" i="53" s="1"/>
  <c r="H12" i="53"/>
  <c r="J12" i="53" s="1"/>
  <c r="H21" i="53"/>
  <c r="J21" i="53" s="1"/>
  <c r="H29" i="53"/>
  <c r="J29" i="53" s="1"/>
  <c r="D6" i="51"/>
  <c r="A7" i="51"/>
  <c r="C7" i="51" s="1"/>
  <c r="D7" i="29"/>
  <c r="J3" i="54" l="1"/>
  <c r="D7" i="51"/>
  <c r="A8" i="51"/>
  <c r="C8" i="51" s="1"/>
  <c r="C6" i="42"/>
  <c r="D6" i="42" s="1"/>
  <c r="C5" i="42"/>
  <c r="D5" i="42" s="1"/>
  <c r="C4" i="42"/>
  <c r="D4" i="42" s="1"/>
  <c r="D8" i="51" l="1"/>
  <c r="A9" i="51"/>
  <c r="C9" i="51" s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H2" i="40"/>
  <c r="D2" i="40"/>
  <c r="C5" i="40"/>
  <c r="C4" i="40"/>
  <c r="C3" i="40"/>
  <c r="H2" i="42"/>
  <c r="D2" i="42"/>
  <c r="O26" i="45"/>
  <c r="P26" i="45" s="1"/>
  <c r="O27" i="45"/>
  <c r="P27" i="45" s="1"/>
  <c r="O28" i="45"/>
  <c r="P28" i="45" s="1"/>
  <c r="O25" i="45"/>
  <c r="P25" i="45" s="1"/>
  <c r="T24" i="45"/>
  <c r="P24" i="45"/>
  <c r="P23" i="45"/>
  <c r="B21" i="29"/>
  <c r="A10" i="51" l="1"/>
  <c r="C10" i="51" s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C11" i="51" s="1"/>
  <c r="R3" i="45"/>
  <c r="D11" i="51" l="1"/>
  <c r="A12" i="51"/>
  <c r="C12" i="51" s="1"/>
  <c r="D12" i="51" l="1"/>
  <c r="A13" i="51"/>
  <c r="C13" i="51" s="1"/>
  <c r="K5" i="45"/>
  <c r="K6" i="45"/>
  <c r="K7" i="45"/>
  <c r="K8" i="45"/>
  <c r="K9" i="45"/>
  <c r="K4" i="45"/>
  <c r="M1" i="45"/>
  <c r="L9" i="45"/>
  <c r="L6" i="45"/>
  <c r="L7" i="45"/>
  <c r="L8" i="45"/>
  <c r="L5" i="45"/>
  <c r="L4" i="45"/>
  <c r="D13" i="51" l="1"/>
  <c r="A14" i="51"/>
  <c r="C14" i="51" s="1"/>
  <c r="C6" i="39"/>
  <c r="C7" i="39"/>
  <c r="C5" i="39"/>
  <c r="U5" i="45"/>
  <c r="U9" i="45"/>
  <c r="U7" i="45"/>
  <c r="U4" i="45"/>
  <c r="U6" i="45"/>
  <c r="U8" i="45"/>
  <c r="A15" i="51" l="1"/>
  <c r="C15" i="51" s="1"/>
  <c r="D14" i="51"/>
  <c r="D5" i="40"/>
  <c r="D4" i="40"/>
  <c r="A6" i="40"/>
  <c r="A16" i="51" l="1"/>
  <c r="C16" i="51" s="1"/>
  <c r="D15" i="51"/>
  <c r="A7" i="40"/>
  <c r="C6" i="40"/>
  <c r="D6" i="40" s="1"/>
  <c r="D16" i="51" l="1"/>
  <c r="A17" i="51"/>
  <c r="C17" i="51" s="1"/>
  <c r="A8" i="40"/>
  <c r="C7" i="40"/>
  <c r="D7" i="40" s="1"/>
  <c r="D17" i="51" l="1"/>
  <c r="A18" i="51"/>
  <c r="C18" i="51" s="1"/>
  <c r="C8" i="40"/>
  <c r="D8" i="40" s="1"/>
  <c r="A9" i="40"/>
  <c r="D18" i="51" l="1"/>
  <c r="A19" i="51"/>
  <c r="C19" i="51" s="1"/>
  <c r="C9" i="40"/>
  <c r="D9" i="40" s="1"/>
  <c r="A10" i="40"/>
  <c r="A20" i="51" l="1"/>
  <c r="C20" i="51" s="1"/>
  <c r="D19" i="51"/>
  <c r="C10" i="40"/>
  <c r="A11" i="40"/>
  <c r="D10" i="40"/>
  <c r="D20" i="51" l="1"/>
  <c r="A21" i="51"/>
  <c r="C11" i="40"/>
  <c r="D11" i="40" s="1"/>
  <c r="A12" i="40"/>
  <c r="D21" i="51" l="1"/>
  <c r="C21" i="51"/>
  <c r="A22" i="51"/>
  <c r="C12" i="40"/>
  <c r="D12" i="40" s="1"/>
  <c r="A13" i="40"/>
  <c r="I8" i="29"/>
  <c r="A23" i="51" l="1"/>
  <c r="C22" i="51"/>
  <c r="D22" i="51" s="1"/>
  <c r="C13" i="40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A24" i="51" l="1"/>
  <c r="C23" i="51"/>
  <c r="D23" i="51" s="1"/>
  <c r="C14" i="40"/>
  <c r="D14" i="40" s="1"/>
  <c r="A15" i="40"/>
  <c r="A9" i="33"/>
  <c r="A25" i="51" l="1"/>
  <c r="C24" i="51"/>
  <c r="D24" i="51" s="1"/>
  <c r="C15" i="40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25" i="51" l="1"/>
  <c r="D25" i="51" s="1"/>
  <c r="A26" i="51"/>
  <c r="C16" i="40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26" i="51" l="1"/>
  <c r="D26" i="51" s="1"/>
  <c r="A27" i="51"/>
  <c r="C17" i="40"/>
  <c r="D17" i="40" s="1"/>
  <c r="A18" i="40"/>
  <c r="C9" i="33"/>
  <c r="C12" i="33"/>
  <c r="C13" i="33"/>
  <c r="C8" i="33"/>
  <c r="C14" i="33"/>
  <c r="C11" i="33"/>
  <c r="C10" i="33"/>
  <c r="A4" i="33"/>
  <c r="A26" i="33"/>
  <c r="E65" i="33"/>
  <c r="E62" i="33"/>
  <c r="E46" i="33"/>
  <c r="E45" i="33"/>
  <c r="E84" i="33"/>
  <c r="E59" i="33"/>
  <c r="E82" i="33"/>
  <c r="E54" i="33"/>
  <c r="E64" i="33"/>
  <c r="E75" i="33"/>
  <c r="E58" i="33"/>
  <c r="E55" i="33"/>
  <c r="E49" i="33"/>
  <c r="E56" i="33"/>
  <c r="E47" i="33"/>
  <c r="E41" i="33"/>
  <c r="E42" i="33"/>
  <c r="E63" i="33"/>
  <c r="E67" i="33"/>
  <c r="E43" i="33"/>
  <c r="E73" i="33"/>
  <c r="E60" i="33"/>
  <c r="E72" i="33"/>
  <c r="E50" i="33"/>
  <c r="E81" i="33"/>
  <c r="E71" i="33"/>
  <c r="E79" i="33"/>
  <c r="E77" i="33"/>
  <c r="E66" i="33"/>
  <c r="E76" i="33"/>
  <c r="E68" i="33"/>
  <c r="E57" i="33"/>
  <c r="E74" i="33"/>
  <c r="E52" i="33"/>
  <c r="E61" i="33"/>
  <c r="E83" i="33"/>
  <c r="E48" i="33"/>
  <c r="E80" i="33"/>
  <c r="E53" i="33"/>
  <c r="E69" i="33"/>
  <c r="E51" i="33"/>
  <c r="E78" i="33"/>
  <c r="E44" i="33"/>
  <c r="E70" i="33"/>
  <c r="A16" i="33"/>
  <c r="C27" i="51" l="1"/>
  <c r="D27" i="51"/>
  <c r="C18" i="40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37" i="33"/>
  <c r="D20" i="33"/>
  <c r="D7" i="33"/>
  <c r="D27" i="33"/>
  <c r="D26" i="33"/>
  <c r="D40" i="33"/>
  <c r="D23" i="33"/>
  <c r="D35" i="33"/>
  <c r="D19" i="33"/>
  <c r="B1" i="29"/>
  <c r="D13" i="33"/>
  <c r="D17" i="33"/>
  <c r="D9" i="33"/>
  <c r="D16" i="33"/>
  <c r="D34" i="33"/>
  <c r="D30" i="33"/>
  <c r="D8" i="33"/>
  <c r="D12" i="33"/>
  <c r="D11" i="33"/>
  <c r="D4" i="33"/>
  <c r="D14" i="33"/>
  <c r="D33" i="33"/>
  <c r="D15" i="33"/>
  <c r="D29" i="33"/>
  <c r="D32" i="33"/>
  <c r="D36" i="33"/>
  <c r="D31" i="33"/>
  <c r="D22" i="33"/>
  <c r="D39" i="33"/>
  <c r="D10" i="33"/>
  <c r="D25" i="33"/>
  <c r="D24" i="29"/>
  <c r="D28" i="33"/>
  <c r="D38" i="33"/>
  <c r="D6" i="33"/>
  <c r="D18" i="33"/>
  <c r="D5" i="33"/>
  <c r="D24" i="33"/>
  <c r="D3" i="33"/>
  <c r="D21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K3" i="45"/>
  <c r="K19" i="54"/>
  <c r="K24" i="54"/>
  <c r="K13" i="53"/>
  <c r="K24" i="53"/>
  <c r="K33" i="53"/>
  <c r="T4" i="45"/>
  <c r="M7" i="45"/>
  <c r="K17" i="53"/>
  <c r="K15" i="54"/>
  <c r="K33" i="54"/>
  <c r="K25" i="54"/>
  <c r="P4" i="45"/>
  <c r="K11" i="54"/>
  <c r="K27" i="54"/>
  <c r="K3" i="53"/>
  <c r="K9" i="54"/>
  <c r="T5" i="45"/>
  <c r="P5" i="45"/>
  <c r="K10" i="54"/>
  <c r="K19" i="53"/>
  <c r="K4" i="53"/>
  <c r="K5" i="53"/>
  <c r="K28" i="53"/>
  <c r="L3" i="45"/>
  <c r="K34" i="53"/>
  <c r="K31" i="53"/>
  <c r="M5" i="45"/>
  <c r="K17" i="54"/>
  <c r="K8" i="53"/>
  <c r="T6" i="45"/>
  <c r="K4" i="54"/>
  <c r="T8" i="45"/>
  <c r="K27" i="53"/>
  <c r="K18" i="53"/>
  <c r="K26" i="54"/>
  <c r="K7" i="54"/>
  <c r="K29" i="53"/>
  <c r="K20" i="54"/>
  <c r="K12" i="53"/>
  <c r="K16" i="54"/>
  <c r="K3" i="54"/>
  <c r="K28" i="54"/>
  <c r="K23" i="53"/>
  <c r="K10" i="53"/>
  <c r="K21" i="53"/>
  <c r="K29" i="54"/>
  <c r="K5" i="54"/>
  <c r="K32" i="53"/>
  <c r="K34" i="54"/>
  <c r="K35" i="53"/>
  <c r="K18" i="54"/>
  <c r="K21" i="54"/>
  <c r="K35" i="54"/>
  <c r="K36" i="54"/>
  <c r="K20" i="53"/>
  <c r="K23" i="54"/>
  <c r="P9" i="45"/>
  <c r="K31" i="54"/>
  <c r="K22" i="54"/>
  <c r="K30" i="54"/>
  <c r="K36" i="53"/>
  <c r="D9" i="29"/>
  <c r="K14" i="53"/>
  <c r="K25" i="53"/>
  <c r="K32" i="54"/>
  <c r="K7" i="53"/>
  <c r="E20" i="39"/>
  <c r="K13" i="54"/>
  <c r="E22" i="39"/>
  <c r="E19" i="39"/>
  <c r="E24" i="39"/>
  <c r="K16" i="53"/>
  <c r="K30" i="53"/>
  <c r="E21" i="39"/>
  <c r="K9" i="53"/>
  <c r="D5" i="48"/>
  <c r="E17" i="52"/>
  <c r="D7" i="52"/>
  <c r="K11" i="53"/>
  <c r="E21" i="43"/>
  <c r="K15" i="53"/>
  <c r="D7" i="48"/>
  <c r="D6" i="52"/>
  <c r="K12" i="54"/>
  <c r="D5" i="52"/>
  <c r="E28" i="52"/>
  <c r="K6" i="54"/>
  <c r="E29" i="52"/>
  <c r="E18" i="43"/>
  <c r="K6" i="53"/>
  <c r="K8" i="54"/>
  <c r="P7" i="45"/>
  <c r="T9" i="45"/>
  <c r="K26" i="53"/>
  <c r="K22" i="53"/>
  <c r="E15" i="39"/>
  <c r="E17" i="48"/>
  <c r="K14" i="54"/>
  <c r="E18" i="48"/>
  <c r="E19" i="43"/>
  <c r="E16" i="43"/>
  <c r="D7" i="43"/>
  <c r="E24" i="52"/>
  <c r="E23" i="52"/>
  <c r="E30" i="52"/>
  <c r="E19" i="52"/>
  <c r="E16" i="52"/>
  <c r="E15" i="52"/>
  <c r="E17" i="39"/>
  <c r="E21" i="52"/>
  <c r="D6" i="39"/>
  <c r="E19" i="48"/>
  <c r="E20" i="52"/>
  <c r="C7" i="42"/>
  <c r="D6" i="43"/>
  <c r="E26" i="52"/>
  <c r="E25" i="52"/>
  <c r="E18" i="39"/>
  <c r="E23" i="39"/>
  <c r="E18" i="52"/>
  <c r="E20" i="43"/>
  <c r="E15" i="48"/>
  <c r="E17" i="43"/>
  <c r="E22" i="52"/>
  <c r="D5" i="39"/>
  <c r="E16" i="48"/>
  <c r="E16" i="39"/>
  <c r="D6" i="48"/>
  <c r="D5" i="43"/>
  <c r="E15" i="43"/>
  <c r="D7" i="39"/>
  <c r="E27" i="52"/>
  <c r="E3" i="51" l="1"/>
  <c r="E3" i="40"/>
  <c r="E3" i="42"/>
  <c r="D26" i="52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Q25" i="45"/>
  <c r="AB3" i="48"/>
  <c r="D19" i="43"/>
  <c r="D23" i="39"/>
  <c r="D15" i="43"/>
  <c r="D20" i="39"/>
  <c r="C20" i="40"/>
  <c r="D20" i="40" s="1"/>
  <c r="A21" i="40"/>
  <c r="E27" i="51"/>
  <c r="K5" i="43"/>
  <c r="E5" i="52"/>
  <c r="E25" i="51"/>
  <c r="E21" i="51"/>
  <c r="E24" i="51"/>
  <c r="E7" i="52"/>
  <c r="P6" i="45"/>
  <c r="G5" i="48"/>
  <c r="E22" i="51"/>
  <c r="M8" i="45"/>
  <c r="E5" i="43"/>
  <c r="U3" i="45"/>
  <c r="K5" i="52"/>
  <c r="E6" i="52"/>
  <c r="K7" i="52"/>
  <c r="K6" i="52"/>
  <c r="E26" i="51"/>
  <c r="E23" i="51"/>
  <c r="C21" i="40" l="1"/>
  <c r="D21" i="40" s="1"/>
  <c r="J17" i="52"/>
  <c r="L18" i="53"/>
  <c r="L17" i="54"/>
  <c r="L18" i="54"/>
  <c r="F21" i="51"/>
  <c r="L10" i="53"/>
  <c r="L27" i="53"/>
  <c r="F24" i="51"/>
  <c r="L5" i="52"/>
  <c r="L14" i="53"/>
  <c r="E4" i="52"/>
  <c r="L23" i="53"/>
  <c r="L23" i="54"/>
  <c r="G6" i="48"/>
  <c r="J16" i="52"/>
  <c r="L3" i="54"/>
  <c r="L30" i="53"/>
  <c r="L11" i="53"/>
  <c r="K4" i="43"/>
  <c r="L19" i="54"/>
  <c r="L36" i="54"/>
  <c r="J21" i="52"/>
  <c r="K6" i="43"/>
  <c r="T7" i="45"/>
  <c r="F22" i="51"/>
  <c r="L20" i="54"/>
  <c r="AF4" i="52"/>
  <c r="L9" i="54"/>
  <c r="L9" i="53"/>
  <c r="J15" i="52"/>
  <c r="L8" i="54"/>
  <c r="L14" i="54"/>
  <c r="L11" i="54"/>
  <c r="L32" i="54"/>
  <c r="L28" i="53"/>
  <c r="L12" i="53"/>
  <c r="K4" i="52"/>
  <c r="L16" i="54"/>
  <c r="L5" i="43"/>
  <c r="J29" i="52"/>
  <c r="L8" i="53"/>
  <c r="J27" i="52"/>
  <c r="J23" i="52"/>
  <c r="L30" i="54"/>
  <c r="H6" i="52"/>
  <c r="L25" i="54"/>
  <c r="L21" i="54"/>
  <c r="L7" i="53"/>
  <c r="J19" i="52"/>
  <c r="L7" i="52"/>
  <c r="F23" i="51"/>
  <c r="L24" i="54"/>
  <c r="J18" i="52"/>
  <c r="AG3" i="52"/>
  <c r="J20" i="52"/>
  <c r="L12" i="54"/>
  <c r="L4" i="53"/>
  <c r="J28" i="52"/>
  <c r="L5" i="54"/>
  <c r="L31" i="53"/>
  <c r="L34" i="54"/>
  <c r="F25" i="51"/>
  <c r="H7" i="52"/>
  <c r="L13" i="53"/>
  <c r="L15" i="54"/>
  <c r="L20" i="53"/>
  <c r="L13" i="54"/>
  <c r="L16" i="53"/>
  <c r="M9" i="45"/>
  <c r="L35" i="53"/>
  <c r="L36" i="53"/>
  <c r="L10" i="54"/>
  <c r="L6" i="53"/>
  <c r="L5" i="53"/>
  <c r="L35" i="54"/>
  <c r="L26" i="54"/>
  <c r="J22" i="52"/>
  <c r="L15" i="53"/>
  <c r="J30" i="52"/>
  <c r="G7" i="48"/>
  <c r="H5" i="52"/>
  <c r="J24" i="52"/>
  <c r="J25" i="52"/>
  <c r="L19" i="53"/>
  <c r="E5" i="48"/>
  <c r="E6" i="48"/>
  <c r="L6" i="52"/>
  <c r="M6" i="45"/>
  <c r="L33" i="54"/>
  <c r="J26" i="52"/>
  <c r="F27" i="51"/>
  <c r="L26" i="53"/>
  <c r="L6" i="54"/>
  <c r="H5" i="43"/>
  <c r="L31" i="54"/>
  <c r="L32" i="53"/>
  <c r="M4" i="45"/>
  <c r="L33" i="53"/>
  <c r="L21" i="53"/>
  <c r="L29" i="54"/>
  <c r="K7" i="43"/>
  <c r="L24" i="53"/>
  <c r="P8" i="45"/>
  <c r="L17" i="53"/>
  <c r="G23" i="51"/>
  <c r="L22" i="54"/>
  <c r="L22" i="53"/>
  <c r="L27" i="54"/>
  <c r="L7" i="54"/>
  <c r="L34" i="53"/>
  <c r="L28" i="54"/>
  <c r="L3" i="53"/>
  <c r="F26" i="51"/>
  <c r="G26" i="51" s="1"/>
  <c r="L29" i="53"/>
  <c r="L25" i="53"/>
  <c r="L4" i="54"/>
  <c r="O7" i="52" l="1"/>
  <c r="M7" i="52"/>
  <c r="N7" i="52"/>
  <c r="O5" i="52"/>
  <c r="N5" i="52"/>
  <c r="M5" i="52"/>
  <c r="M5" i="43"/>
  <c r="N6" i="52"/>
  <c r="M6" i="52"/>
  <c r="O6" i="52"/>
  <c r="D7" i="42"/>
  <c r="G24" i="51"/>
  <c r="G22" i="51"/>
  <c r="J23" i="39"/>
  <c r="K6" i="39"/>
  <c r="F15" i="48"/>
  <c r="AG3" i="39"/>
  <c r="AF5" i="52"/>
  <c r="T3" i="45"/>
  <c r="AC3" i="48"/>
  <c r="J21" i="43"/>
  <c r="J16" i="43"/>
  <c r="J17" i="43"/>
  <c r="G21" i="51"/>
  <c r="AF4" i="43"/>
  <c r="J20" i="43"/>
  <c r="F19" i="48"/>
  <c r="J17" i="39"/>
  <c r="J20" i="39"/>
  <c r="AB4" i="48"/>
  <c r="F17" i="48"/>
  <c r="F16" i="48"/>
  <c r="E7" i="39"/>
  <c r="J15" i="43"/>
  <c r="E7" i="43"/>
  <c r="K7" i="39"/>
  <c r="AF4" i="39"/>
  <c r="E5" i="39"/>
  <c r="J18" i="39"/>
  <c r="AG3" i="43"/>
  <c r="G4" i="48"/>
  <c r="H6" i="48"/>
  <c r="H5" i="48"/>
  <c r="AG4" i="52"/>
  <c r="J21" i="39"/>
  <c r="F18" i="48"/>
  <c r="J19" i="39"/>
  <c r="J15" i="39"/>
  <c r="E7" i="48"/>
  <c r="J16" i="39"/>
  <c r="E4" i="43"/>
  <c r="J22" i="39"/>
  <c r="H4" i="52"/>
  <c r="J19" i="43"/>
  <c r="E6" i="43"/>
  <c r="L4" i="52"/>
  <c r="G25" i="51"/>
  <c r="G27" i="51"/>
  <c r="E6" i="39"/>
  <c r="E4" i="39"/>
  <c r="J24" i="39"/>
  <c r="E4" i="48"/>
  <c r="K4" i="39"/>
  <c r="M3" i="45"/>
  <c r="J18" i="43"/>
  <c r="P3" i="45"/>
  <c r="K5" i="39"/>
  <c r="N4" i="52" l="1"/>
  <c r="O4" i="52"/>
  <c r="M4" i="52"/>
  <c r="J6" i="48"/>
  <c r="K6" i="48"/>
  <c r="I6" i="48"/>
  <c r="J5" i="48"/>
  <c r="I5" i="48"/>
  <c r="K5" i="48"/>
  <c r="H6" i="39"/>
  <c r="L6" i="43"/>
  <c r="L7" i="43"/>
  <c r="AG4" i="43"/>
  <c r="AC4" i="48"/>
  <c r="L6" i="39"/>
  <c r="H4" i="48"/>
  <c r="H5" i="39"/>
  <c r="L5" i="39"/>
  <c r="AG4" i="39"/>
  <c r="H7" i="43"/>
  <c r="H7" i="39"/>
  <c r="AF6" i="52"/>
  <c r="L4" i="43"/>
  <c r="AB5" i="48"/>
  <c r="H4" i="39"/>
  <c r="H6" i="43"/>
  <c r="L4" i="39"/>
  <c r="L7" i="39"/>
  <c r="H7" i="48"/>
  <c r="AG5" i="52"/>
  <c r="H4" i="43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F7" i="52"/>
  <c r="AG7" i="52" s="1"/>
  <c r="AF8" i="52"/>
  <c r="AG6" i="52"/>
  <c r="AF9" i="52"/>
  <c r="AG8" i="52"/>
  <c r="O6" i="43" l="1"/>
  <c r="N6" i="43"/>
  <c r="O7" i="43"/>
  <c r="N7" i="43"/>
  <c r="N5" i="43"/>
  <c r="O5" i="43"/>
  <c r="N41" i="33"/>
  <c r="E27" i="33"/>
  <c r="AF5" i="43"/>
  <c r="AF5" i="39"/>
  <c r="E38" i="33"/>
  <c r="E19" i="33"/>
  <c r="E35" i="33"/>
  <c r="AB6" i="48"/>
  <c r="E26" i="33"/>
  <c r="E6" i="33"/>
  <c r="E16" i="33"/>
  <c r="AC5" i="48"/>
  <c r="E37" i="33"/>
  <c r="E39" i="33"/>
  <c r="AG9" i="52"/>
  <c r="AF10" i="52"/>
  <c r="E23" i="33"/>
  <c r="E18" i="33"/>
  <c r="E33" i="33"/>
  <c r="E29" i="33"/>
  <c r="E22" i="33"/>
  <c r="E4" i="33"/>
  <c r="E5" i="33"/>
  <c r="E15" i="33"/>
  <c r="E28" i="33"/>
  <c r="E20" i="33"/>
  <c r="E17" i="33"/>
  <c r="E34" i="33"/>
  <c r="E30" i="33"/>
  <c r="E40" i="33"/>
  <c r="E24" i="33"/>
  <c r="E32" i="33"/>
  <c r="E36" i="33"/>
  <c r="E21" i="33"/>
  <c r="E25" i="33"/>
  <c r="E3" i="33"/>
  <c r="E31" i="33"/>
  <c r="E7" i="33"/>
  <c r="R3" i="42" l="1"/>
  <c r="R3" i="51"/>
  <c r="R3" i="40"/>
  <c r="E18" i="40"/>
  <c r="E11" i="51"/>
  <c r="E13" i="51"/>
  <c r="E4" i="42"/>
  <c r="E8" i="51"/>
  <c r="E15" i="40"/>
  <c r="E10" i="40"/>
  <c r="E16" i="40"/>
  <c r="E11" i="40"/>
  <c r="E6" i="51"/>
  <c r="R4" i="40"/>
  <c r="R4" i="51"/>
  <c r="E5" i="40"/>
  <c r="E8" i="40"/>
  <c r="E6" i="40"/>
  <c r="AF6" i="43"/>
  <c r="AG5" i="43"/>
  <c r="E5" i="51"/>
  <c r="E9" i="51"/>
  <c r="E17" i="40"/>
  <c r="E12" i="51"/>
  <c r="E6" i="42"/>
  <c r="AG10" i="52"/>
  <c r="F3" i="40"/>
  <c r="E19" i="40"/>
  <c r="E15" i="51"/>
  <c r="AF11" i="52"/>
  <c r="E4" i="40"/>
  <c r="E7" i="40"/>
  <c r="E16" i="51"/>
  <c r="E14" i="40"/>
  <c r="AC6" i="48"/>
  <c r="E9" i="40"/>
  <c r="E10" i="51"/>
  <c r="E12" i="40"/>
  <c r="F3" i="51"/>
  <c r="E14" i="51"/>
  <c r="E5" i="42"/>
  <c r="AG5" i="39"/>
  <c r="E13" i="40"/>
  <c r="E18" i="51"/>
  <c r="E20" i="40"/>
  <c r="AF6" i="39"/>
  <c r="E21" i="40"/>
  <c r="AB7" i="48"/>
  <c r="F3" i="42"/>
  <c r="E19" i="51"/>
  <c r="E7" i="42"/>
  <c r="E17" i="51"/>
  <c r="E7" i="51"/>
  <c r="C8" i="42"/>
  <c r="E4" i="51"/>
  <c r="E20" i="51"/>
  <c r="R4" i="42"/>
  <c r="D8" i="42" l="1"/>
  <c r="F4" i="48" l="1" a="1"/>
  <c r="AF7" i="43"/>
  <c r="R5" i="42"/>
  <c r="F17" i="51"/>
  <c r="F4" i="40"/>
  <c r="F14" i="51"/>
  <c r="G17" i="51"/>
  <c r="F11" i="51"/>
  <c r="F9" i="40"/>
  <c r="G9" i="40" s="1"/>
  <c r="F18" i="40"/>
  <c r="AF12" i="52"/>
  <c r="F16" i="40"/>
  <c r="G3" i="51"/>
  <c r="F15" i="40"/>
  <c r="AG7" i="43"/>
  <c r="F13" i="51"/>
  <c r="F17" i="40"/>
  <c r="R5" i="51"/>
  <c r="R6" i="51" s="1"/>
  <c r="F7" i="51"/>
  <c r="F16" i="51"/>
  <c r="F10" i="51"/>
  <c r="F18" i="51"/>
  <c r="R6" i="42"/>
  <c r="F4" i="42"/>
  <c r="G4" i="42" s="1"/>
  <c r="F13" i="40"/>
  <c r="G7" i="51"/>
  <c r="F5" i="51"/>
  <c r="F11" i="40"/>
  <c r="G11" i="51"/>
  <c r="F14" i="40"/>
  <c r="G14" i="40" s="1"/>
  <c r="AG11" i="52"/>
  <c r="AF13" i="52"/>
  <c r="G5" i="51"/>
  <c r="AG6" i="39"/>
  <c r="G3" i="42"/>
  <c r="F8" i="40"/>
  <c r="G18" i="40"/>
  <c r="F19" i="51"/>
  <c r="F7" i="42"/>
  <c r="AB8" i="48"/>
  <c r="AB9" i="48" s="1"/>
  <c r="F10" i="40"/>
  <c r="G7" i="42"/>
  <c r="AC7" i="48"/>
  <c r="F20" i="40"/>
  <c r="G20" i="40" s="1"/>
  <c r="G19" i="51"/>
  <c r="G17" i="40"/>
  <c r="AF14" i="52"/>
  <c r="F4" i="51"/>
  <c r="E8" i="42"/>
  <c r="C9" i="42" s="1"/>
  <c r="G11" i="40"/>
  <c r="F6" i="42"/>
  <c r="G6" i="42" s="1"/>
  <c r="G3" i="40"/>
  <c r="F9" i="51"/>
  <c r="F6" i="40"/>
  <c r="G18" i="51"/>
  <c r="G4" i="51"/>
  <c r="AG13" i="52"/>
  <c r="F21" i="40"/>
  <c r="G13" i="51"/>
  <c r="F12" i="40"/>
  <c r="F5" i="40"/>
  <c r="G5" i="40" s="1"/>
  <c r="F5" i="42"/>
  <c r="G5" i="42" s="1"/>
  <c r="F19" i="40"/>
  <c r="E9" i="42"/>
  <c r="F12" i="51"/>
  <c r="R5" i="40"/>
  <c r="F20" i="51"/>
  <c r="G13" i="40"/>
  <c r="G12" i="40"/>
  <c r="AG14" i="52"/>
  <c r="AG6" i="43"/>
  <c r="F6" i="51"/>
  <c r="F15" i="51"/>
  <c r="AF7" i="39"/>
  <c r="F8" i="51"/>
  <c r="F7" i="40"/>
  <c r="R7" i="51"/>
  <c r="AF8" i="43"/>
  <c r="F8" i="42"/>
  <c r="G7" i="40"/>
  <c r="G14" i="51"/>
  <c r="AF15" i="52"/>
  <c r="AG15" i="52" s="1"/>
  <c r="AF16" i="52"/>
  <c r="G4" i="40"/>
  <c r="G6" i="51"/>
  <c r="G16" i="51"/>
  <c r="G15" i="51"/>
  <c r="R7" i="42"/>
  <c r="G10" i="40"/>
  <c r="G19" i="40"/>
  <c r="G10" i="51"/>
  <c r="AG12" i="52"/>
  <c r="AC8" i="48"/>
  <c r="G21" i="40"/>
  <c r="G12" i="51"/>
  <c r="G8" i="42"/>
  <c r="G9" i="51"/>
  <c r="G6" i="40"/>
  <c r="AC9" i="48"/>
  <c r="AB10" i="48"/>
  <c r="F9" i="42"/>
  <c r="G9" i="42" s="1"/>
  <c r="AG7" i="39"/>
  <c r="AF9" i="43"/>
  <c r="AG8" i="43"/>
  <c r="AG16" i="52"/>
  <c r="AF17" i="52"/>
  <c r="AB11" i="48"/>
  <c r="AC10" i="48"/>
  <c r="AG9" i="43"/>
  <c r="AF10" i="43"/>
  <c r="AF18" i="52"/>
  <c r="AG17" i="52"/>
  <c r="AC11" i="48"/>
  <c r="AB12" i="48"/>
  <c r="AF11" i="43"/>
  <c r="AG10" i="43"/>
  <c r="AG18" i="52"/>
  <c r="AF19" i="52"/>
  <c r="AB13" i="48"/>
  <c r="AC12" i="48"/>
  <c r="AG11" i="43"/>
  <c r="AF12" i="43"/>
  <c r="AG19" i="52"/>
  <c r="AF20" i="52"/>
  <c r="AC13" i="48"/>
  <c r="AB14" i="48"/>
  <c r="AF13" i="43"/>
  <c r="AG12" i="43"/>
  <c r="AG20" i="52"/>
  <c r="AF21" i="52"/>
  <c r="AB15" i="48"/>
  <c r="AC14" i="48"/>
  <c r="AG13" i="43"/>
  <c r="AF14" i="43"/>
  <c r="AF22" i="52"/>
  <c r="AG21" i="52"/>
  <c r="AC15" i="48"/>
  <c r="AB16" i="48"/>
  <c r="AF15" i="43"/>
  <c r="AG14" i="43"/>
  <c r="AF23" i="52"/>
  <c r="AG22" i="52"/>
  <c r="AB17" i="48"/>
  <c r="AC16" i="48"/>
  <c r="AF16" i="43"/>
  <c r="AG15" i="43"/>
  <c r="AF24" i="52"/>
  <c r="AG23" i="52"/>
  <c r="AC17" i="48"/>
  <c r="AB18" i="48"/>
  <c r="AG16" i="43"/>
  <c r="AF17" i="43"/>
  <c r="AG24" i="52"/>
  <c r="AF25" i="52"/>
  <c r="AC18" i="48"/>
  <c r="AB19" i="48"/>
  <c r="AG17" i="43"/>
  <c r="AF18" i="43"/>
  <c r="AG25" i="52"/>
  <c r="AF26" i="52"/>
  <c r="AB20" i="48"/>
  <c r="AC19" i="48"/>
  <c r="AG18" i="43"/>
  <c r="AF19" i="43"/>
  <c r="AF27" i="52"/>
  <c r="AG26" i="52"/>
  <c r="AB21" i="48"/>
  <c r="AC20" i="48"/>
  <c r="AF20" i="43"/>
  <c r="AG19" i="43"/>
  <c r="AG27" i="52"/>
  <c r="AF28" i="52"/>
  <c r="AB22" i="48"/>
  <c r="AC21" i="48"/>
  <c r="AF21" i="43"/>
  <c r="AG20" i="43"/>
  <c r="AG28" i="52"/>
  <c r="AF29" i="52"/>
  <c r="AC22" i="48"/>
  <c r="AB23" i="48"/>
  <c r="AF22" i="43"/>
  <c r="AG21" i="43"/>
  <c r="AG29" i="52"/>
  <c r="AF30" i="52"/>
  <c r="AC23" i="48"/>
  <c r="AB24" i="48"/>
  <c r="AF23" i="43"/>
  <c r="AG22" i="43"/>
  <c r="AF31" i="52"/>
  <c r="AG30" i="52"/>
  <c r="AB25" i="48"/>
  <c r="AC24" i="48"/>
  <c r="AG23" i="43"/>
  <c r="AF24" i="43"/>
  <c r="AG31" i="52"/>
  <c r="AF32" i="52"/>
  <c r="AB26" i="48"/>
  <c r="AC25" i="48"/>
  <c r="AG24" i="43"/>
  <c r="AF25" i="43"/>
  <c r="AG32" i="52"/>
  <c r="AF33" i="52"/>
  <c r="AG25" i="43"/>
  <c r="AF26" i="43"/>
  <c r="AF34" i="52"/>
  <c r="AG33" i="52"/>
  <c r="AF27" i="43"/>
  <c r="AG26" i="43"/>
  <c r="AG34" i="52"/>
  <c r="AF35" i="52"/>
  <c r="AF28" i="43"/>
  <c r="AG27" i="43"/>
  <c r="AG35" i="52"/>
  <c r="AF36" i="52"/>
  <c r="AF29" i="43"/>
  <c r="AG28" i="43"/>
  <c r="AF37" i="52"/>
  <c r="AG36" i="52"/>
  <c r="AG29" i="43"/>
  <c r="AF30" i="43"/>
  <c r="AG37" i="52"/>
  <c r="AF38" i="52"/>
  <c r="AG30" i="43"/>
  <c r="AF31" i="43"/>
  <c r="AG38" i="52"/>
  <c r="AF39" i="52"/>
  <c r="AF32" i="43"/>
  <c r="AG31" i="43"/>
  <c r="AG39" i="52"/>
  <c r="AF40" i="52"/>
  <c r="AF33" i="43"/>
  <c r="AG32" i="43"/>
  <c r="AG40" i="52"/>
  <c r="AF41" i="52"/>
  <c r="AF34" i="43"/>
  <c r="AG33" i="43"/>
  <c r="AG41" i="52"/>
  <c r="AF42" i="52"/>
  <c r="AF35" i="43"/>
  <c r="AG34" i="43"/>
  <c r="AG42" i="52"/>
  <c r="AF43" i="52"/>
  <c r="AF36" i="43"/>
  <c r="AG35" i="43"/>
  <c r="AF44" i="52"/>
  <c r="AG43" i="52"/>
  <c r="AG36" i="43"/>
  <c r="AF37" i="43"/>
  <c r="AF45" i="52"/>
  <c r="AG44" i="52"/>
  <c r="AG37" i="43"/>
  <c r="AF38" i="43"/>
  <c r="AF46" i="52"/>
  <c r="AG45" i="52"/>
  <c r="AF39" i="43"/>
  <c r="AG38" i="43"/>
  <c r="AF47" i="52"/>
  <c r="AG46" i="52"/>
  <c r="AF40" i="43"/>
  <c r="AG39" i="43"/>
  <c r="AG47" i="52"/>
  <c r="AF48" i="52"/>
  <c r="AF41" i="43"/>
  <c r="AG40" i="43"/>
  <c r="AG48" i="52"/>
  <c r="AF49" i="52"/>
  <c r="AG41" i="43"/>
  <c r="AF42" i="43"/>
  <c r="AF50" i="52"/>
  <c r="AG49" i="52"/>
  <c r="AG42" i="43"/>
  <c r="AF43" i="43"/>
  <c r="AF51" i="52"/>
  <c r="AG50" i="52"/>
  <c r="AG43" i="43"/>
  <c r="AF44" i="43"/>
  <c r="AF52" i="52"/>
  <c r="AG51" i="52"/>
  <c r="AF45" i="43"/>
  <c r="AG44" i="43"/>
  <c r="AF53" i="52"/>
  <c r="AG52" i="52"/>
  <c r="AG45" i="43"/>
  <c r="AF46" i="43"/>
  <c r="AG53" i="52"/>
  <c r="AF54" i="52"/>
  <c r="AF47" i="43"/>
  <c r="AG46" i="43"/>
  <c r="AF55" i="52"/>
  <c r="AG54" i="52"/>
  <c r="AG47" i="43"/>
  <c r="AF48" i="43"/>
  <c r="AG55" i="52"/>
  <c r="AF56" i="52"/>
  <c r="AG48" i="43"/>
  <c r="AF49" i="43"/>
  <c r="AF57" i="52"/>
  <c r="AG56" i="52"/>
  <c r="AG49" i="43"/>
  <c r="AF50" i="43"/>
  <c r="AF58" i="52"/>
  <c r="AG57" i="52"/>
  <c r="AF51" i="43"/>
  <c r="AG50" i="43"/>
  <c r="AG58" i="52"/>
  <c r="AF59" i="52"/>
  <c r="AG51" i="43"/>
  <c r="AF52" i="43"/>
  <c r="AG59" i="52"/>
  <c r="AF60" i="52"/>
  <c r="AG52" i="43"/>
  <c r="AF53" i="43"/>
  <c r="AG60" i="52"/>
  <c r="AF61" i="52"/>
  <c r="AG53" i="43"/>
  <c r="AF54" i="43"/>
  <c r="AG61" i="52"/>
  <c r="AF62" i="52"/>
  <c r="AG54" i="43"/>
  <c r="AF55" i="43"/>
  <c r="AG62" i="52"/>
  <c r="AF63" i="52"/>
  <c r="AF56" i="43"/>
  <c r="AG55" i="43"/>
  <c r="AG63" i="52"/>
  <c r="AF64" i="52"/>
  <c r="AF57" i="43"/>
  <c r="AG56" i="43"/>
  <c r="AG64" i="52"/>
  <c r="AF65" i="52"/>
  <c r="AF58" i="43"/>
  <c r="AG57" i="43"/>
  <c r="AF66" i="52"/>
  <c r="AG65" i="52"/>
  <c r="AF59" i="43"/>
  <c r="AG58" i="43"/>
  <c r="AF67" i="52"/>
  <c r="AG66" i="52"/>
  <c r="AF60" i="43"/>
  <c r="AG59" i="43"/>
  <c r="AF68" i="52"/>
  <c r="AG67" i="52"/>
  <c r="AG60" i="43"/>
  <c r="AF61" i="43"/>
  <c r="AF69" i="52"/>
  <c r="AG68" i="52"/>
  <c r="AF62" i="43"/>
  <c r="AG61" i="43"/>
  <c r="AF70" i="52"/>
  <c r="AG69" i="52"/>
  <c r="AF63" i="43"/>
  <c r="AG62" i="43"/>
  <c r="AF71" i="52"/>
  <c r="AG70" i="52"/>
  <c r="AF64" i="43"/>
  <c r="AG63" i="43"/>
  <c r="AF72" i="52"/>
  <c r="AG71" i="52"/>
  <c r="AG64" i="43"/>
  <c r="AF65" i="43"/>
  <c r="AG65" i="43" s="1"/>
  <c r="AG72" i="52"/>
  <c r="AF73" i="52"/>
  <c r="AG73" i="52"/>
  <c r="AF74" i="52"/>
  <c r="AG74" i="52"/>
  <c r="AF75" i="52"/>
  <c r="AF76" i="52"/>
  <c r="AG75" i="52"/>
  <c r="AF77" i="52"/>
  <c r="AG76" i="52"/>
  <c r="AG77" i="52"/>
  <c r="AF78" i="52"/>
  <c r="AG78" i="52"/>
  <c r="AF79" i="52"/>
  <c r="AG79" i="52"/>
  <c r="AF80" i="52"/>
  <c r="AG80" i="52"/>
  <c r="AF81" i="52"/>
  <c r="AG81" i="52"/>
  <c r="AF82" i="52"/>
  <c r="AF83" i="52"/>
  <c r="AG82" i="52"/>
  <c r="AG83" i="52"/>
  <c r="AF84" i="52"/>
  <c r="AF85" i="52"/>
  <c r="AG84" i="52"/>
  <c r="AF86" i="52"/>
  <c r="AG85" i="52"/>
  <c r="AG86" i="52"/>
  <c r="AF87" i="52"/>
  <c r="AG87" i="52"/>
  <c r="AF88" i="52"/>
  <c r="AF89" i="52"/>
  <c r="AG88" i="52"/>
  <c r="AG89" i="52"/>
  <c r="AF90" i="52"/>
  <c r="AG90" i="52"/>
  <c r="AF91" i="52"/>
  <c r="AG91" i="52"/>
  <c r="AF92" i="52"/>
  <c r="AG92" i="52"/>
  <c r="AF93" i="52"/>
  <c r="AF94" i="52"/>
  <c r="AG93" i="52"/>
  <c r="AF95" i="52"/>
  <c r="AG94" i="52"/>
  <c r="AF96" i="52"/>
  <c r="AG95" i="52"/>
  <c r="AG96" i="52"/>
  <c r="AF97" i="52"/>
  <c r="AG97" i="52"/>
  <c r="AF98" i="52"/>
  <c r="AG98" i="52"/>
  <c r="AF99" i="52"/>
  <c r="AG99" i="52"/>
  <c r="AF100" i="52"/>
  <c r="AG100" i="52"/>
  <c r="AF101" i="52"/>
  <c r="AG101" i="52"/>
  <c r="AF102" i="52"/>
  <c r="AG102" i="52"/>
  <c r="AF103" i="52"/>
  <c r="AG103" i="52"/>
  <c r="AF104" i="52"/>
  <c r="AG104" i="52"/>
  <c r="AF105" i="52"/>
  <c r="AG105" i="52"/>
  <c r="AF106" i="52"/>
  <c r="AF107" i="52"/>
  <c r="AG106" i="52"/>
  <c r="AG107" i="52"/>
  <c r="AF108" i="52"/>
  <c r="AF109" i="52"/>
  <c r="AG108" i="52"/>
  <c r="AF110" i="52"/>
  <c r="AG109" i="52"/>
  <c r="AG110" i="52"/>
  <c r="AF111" i="52"/>
  <c r="AG111" i="52"/>
  <c r="AF112" i="52"/>
  <c r="AG112" i="52"/>
  <c r="AF113" i="52"/>
  <c r="AG113" i="52"/>
  <c r="AF114" i="52"/>
  <c r="AF115" i="52"/>
  <c r="AG114" i="52"/>
  <c r="AG115" i="52"/>
  <c r="AF116" i="52"/>
  <c r="AG116" i="52"/>
  <c r="AF117" i="52"/>
  <c r="AF118" i="52"/>
  <c r="AG117" i="52"/>
  <c r="AF119" i="52"/>
  <c r="AG118" i="52"/>
  <c r="AF120" i="52"/>
  <c r="AG119" i="52"/>
  <c r="AG120" i="52"/>
  <c r="AF121" i="52"/>
  <c r="AF122" i="52"/>
  <c r="AG121" i="52"/>
  <c r="AG122" i="52"/>
  <c r="AF123" i="52"/>
  <c r="AF124" i="52"/>
  <c r="AG123" i="52"/>
  <c r="AG124" i="52"/>
  <c r="AF125" i="52"/>
  <c r="AG125" i="52"/>
  <c r="AF126" i="52"/>
  <c r="AG126" i="52"/>
  <c r="AF127" i="52"/>
  <c r="AF128" i="52"/>
  <c r="AG127" i="52"/>
  <c r="AG128" i="52"/>
  <c r="AF129" i="52"/>
  <c r="AF130" i="52"/>
  <c r="AG129" i="52"/>
  <c r="AG130" i="52"/>
  <c r="AF131" i="52"/>
  <c r="AG131" i="52"/>
  <c r="AF132" i="52"/>
  <c r="AF133" i="52"/>
  <c r="AG132" i="52"/>
  <c r="AF134" i="52"/>
  <c r="AG133" i="52"/>
  <c r="AF135" i="52"/>
  <c r="AG134" i="52"/>
  <c r="AG135" i="52"/>
  <c r="AF136" i="52"/>
  <c r="AG136" i="52"/>
  <c r="AF137" i="52"/>
  <c r="AG137" i="52"/>
  <c r="AF138" i="52"/>
  <c r="AF139" i="52"/>
  <c r="AG138" i="52"/>
  <c r="AG139" i="52"/>
  <c r="AF140" i="52"/>
  <c r="AG140" i="52"/>
  <c r="AF141" i="52"/>
  <c r="AG141" i="52"/>
  <c r="AF142" i="52"/>
  <c r="AG142" i="52"/>
  <c r="AF143" i="52"/>
  <c r="AG143" i="52"/>
  <c r="AF144" i="52"/>
  <c r="AG144" i="52"/>
  <c r="AF145" i="52"/>
  <c r="AF146" i="52"/>
  <c r="AG145" i="52"/>
  <c r="AG146" i="52"/>
  <c r="AF147" i="52"/>
  <c r="AF148" i="52"/>
  <c r="AG147" i="52"/>
  <c r="AF149" i="52"/>
  <c r="AG148" i="52"/>
  <c r="AF150" i="52"/>
  <c r="AG149" i="52"/>
  <c r="AG150" i="52"/>
  <c r="AF151" i="52"/>
  <c r="AF152" i="52"/>
  <c r="AG151" i="52"/>
  <c r="AF153" i="52"/>
  <c r="AG152" i="52"/>
  <c r="AF154" i="52"/>
  <c r="AG153" i="52"/>
  <c r="AF155" i="52"/>
  <c r="AG154" i="52"/>
  <c r="AG155" i="52"/>
  <c r="AF156" i="52"/>
  <c r="AG156" i="52"/>
  <c r="AF157" i="52"/>
  <c r="AF158" i="52"/>
  <c r="AG157" i="52"/>
  <c r="AF159" i="52"/>
  <c r="AG158" i="52"/>
  <c r="AF160" i="52"/>
  <c r="AG159" i="52"/>
  <c r="AG160" i="52"/>
  <c r="AF161" i="52"/>
  <c r="AF162" i="52"/>
  <c r="AG161" i="52"/>
  <c r="AG162" i="52"/>
  <c r="AF163" i="52"/>
  <c r="AG163" i="52"/>
  <c r="AF164" i="52"/>
  <c r="AG164" i="52"/>
  <c r="AF165" i="52"/>
  <c r="AG165" i="52"/>
  <c r="AF166" i="52"/>
  <c r="AF167" i="52"/>
  <c r="AG166" i="52"/>
  <c r="AF168" i="52"/>
  <c r="AG167" i="52"/>
  <c r="AG168" i="52"/>
  <c r="AF169" i="52"/>
  <c r="AF170" i="52"/>
  <c r="AG169" i="52"/>
  <c r="AG170" i="52"/>
  <c r="AF171" i="52"/>
  <c r="AF172" i="52"/>
  <c r="AG171" i="52"/>
  <c r="AF173" i="52"/>
  <c r="AG172" i="52"/>
  <c r="AF174" i="52"/>
  <c r="AG173" i="52"/>
  <c r="AG174" i="52"/>
  <c r="AF175" i="52"/>
  <c r="AF176" i="52"/>
  <c r="AG175" i="52"/>
  <c r="AF177" i="52"/>
  <c r="AG176" i="52"/>
  <c r="AG177" i="52"/>
  <c r="AF178" i="52"/>
  <c r="AF179" i="52"/>
  <c r="AG178" i="52"/>
  <c r="AG179" i="52"/>
  <c r="AF180" i="52"/>
  <c r="AG180" i="52"/>
  <c r="AF181" i="52"/>
  <c r="AG181" i="52"/>
  <c r="AF182" i="52"/>
  <c r="AF183" i="52"/>
  <c r="AG182" i="52"/>
  <c r="AG183" i="52"/>
  <c r="AF184" i="52"/>
  <c r="AG184" i="52"/>
  <c r="AF185" i="52"/>
  <c r="AF186" i="52"/>
  <c r="AG185" i="52"/>
  <c r="AF187" i="52"/>
  <c r="AG186" i="52"/>
  <c r="AG187" i="52"/>
  <c r="AF188" i="52"/>
  <c r="AG188" i="52"/>
  <c r="AF189" i="52"/>
  <c r="AF190" i="52"/>
  <c r="AG189" i="52"/>
  <c r="AG190" i="52"/>
  <c r="AF191" i="52"/>
  <c r="AF192" i="52"/>
  <c r="AG191" i="52"/>
  <c r="AF193" i="52"/>
  <c r="AG192" i="52"/>
  <c r="AF194" i="52"/>
  <c r="AG193" i="52"/>
  <c r="AF195" i="52"/>
  <c r="AG194" i="52"/>
  <c r="AG195" i="52"/>
  <c r="AF196" i="52"/>
  <c r="AF197" i="52"/>
  <c r="AG196" i="52"/>
  <c r="AF198" i="52"/>
  <c r="AG197" i="52"/>
  <c r="AG198" i="52"/>
  <c r="AF199" i="52"/>
  <c r="AG199" i="52"/>
  <c r="AF200" i="52"/>
  <c r="AF201" i="52"/>
  <c r="AG200" i="52"/>
  <c r="AF202" i="52"/>
  <c r="AG201" i="52"/>
  <c r="AF203" i="52"/>
  <c r="AG202" i="52"/>
  <c r="AG203" i="52"/>
  <c r="AF204" i="52"/>
  <c r="AG204" i="52"/>
  <c r="AF205" i="52"/>
  <c r="AF206" i="52"/>
  <c r="AG205" i="52"/>
  <c r="AG206" i="52"/>
  <c r="AF207" i="52"/>
  <c r="AG207" i="52"/>
  <c r="AF208" i="52"/>
  <c r="AG208" i="52"/>
  <c r="AF209" i="52"/>
  <c r="AG209" i="52"/>
  <c r="AF210" i="52"/>
  <c r="AF211" i="52"/>
  <c r="AG210" i="52"/>
  <c r="AF212" i="52"/>
  <c r="AG211" i="52"/>
  <c r="AF213" i="52"/>
  <c r="AG212" i="52"/>
  <c r="AF214" i="52"/>
  <c r="AG213" i="52"/>
  <c r="AG214" i="52"/>
  <c r="AF215" i="52"/>
  <c r="AG215" i="52"/>
  <c r="AF216" i="52"/>
  <c r="AG216" i="52"/>
  <c r="AF217" i="52"/>
  <c r="AG217" i="52"/>
  <c r="AF218" i="52"/>
  <c r="AF219" i="52"/>
  <c r="AG218" i="52"/>
  <c r="AG219" i="52"/>
  <c r="AF220" i="52"/>
  <c r="AF221" i="52"/>
  <c r="AG220" i="52"/>
  <c r="AG221" i="52"/>
  <c r="AF222" i="52"/>
  <c r="AF223" i="52"/>
  <c r="AG222" i="52"/>
  <c r="AF224" i="52"/>
  <c r="AG223" i="52"/>
  <c r="AG224" i="52"/>
  <c r="AF225" i="52"/>
  <c r="AF226" i="52"/>
  <c r="AG225" i="52"/>
  <c r="AF227" i="52"/>
  <c r="AG226" i="52"/>
  <c r="AF228" i="52"/>
  <c r="AG227" i="52"/>
  <c r="AG228" i="52"/>
  <c r="AF229" i="52"/>
  <c r="AF230" i="52"/>
  <c r="AG229" i="52"/>
  <c r="AG230" i="52"/>
  <c r="AF231" i="52"/>
  <c r="AG231" i="52"/>
  <c r="AF232" i="52"/>
  <c r="AG232" i="52"/>
  <c r="AF233" i="52"/>
  <c r="AG233" i="52"/>
  <c r="AF234" i="52"/>
  <c r="AF235" i="52"/>
  <c r="AG234" i="52"/>
  <c r="AF236" i="52"/>
  <c r="AG235" i="52"/>
  <c r="AF237" i="52"/>
  <c r="AG236" i="52"/>
  <c r="AF238" i="52"/>
  <c r="AG237" i="52"/>
  <c r="AF239" i="52"/>
  <c r="AG238" i="52"/>
  <c r="AG239" i="52"/>
  <c r="AF240" i="52"/>
  <c r="AF241" i="52"/>
  <c r="AG240" i="52"/>
  <c r="AF242" i="52"/>
  <c r="AG241" i="52"/>
  <c r="AF243" i="52"/>
  <c r="AG242" i="52"/>
  <c r="AF244" i="52"/>
  <c r="AG243" i="52"/>
  <c r="AF245" i="52"/>
  <c r="AG244" i="52"/>
  <c r="AF246" i="52"/>
  <c r="AG245" i="52"/>
  <c r="AF247" i="52"/>
  <c r="AG246" i="52"/>
  <c r="AF248" i="52"/>
  <c r="AG247" i="52"/>
  <c r="AG248" i="52"/>
  <c r="AF249" i="52"/>
  <c r="AF250" i="52"/>
  <c r="AG249" i="52"/>
  <c r="AG250" i="52"/>
  <c r="AF251" i="52"/>
  <c r="AF252" i="52"/>
  <c r="AG251" i="52"/>
  <c r="AG252" i="52"/>
  <c r="AF253" i="52"/>
  <c r="AG253" i="52" s="1"/>
  <c r="D9" i="42" l="1"/>
  <c r="AC26" i="48"/>
  <c r="R8" i="42"/>
  <c r="G8" i="40"/>
  <c r="R8" i="51"/>
  <c r="R9" i="51" s="1"/>
  <c r="G15" i="40"/>
  <c r="G8" i="51"/>
  <c r="G16" i="40"/>
  <c r="AF8" i="39"/>
  <c r="G20" i="51"/>
  <c r="R6" i="40"/>
  <c r="C10" i="42"/>
  <c r="AG8" i="39"/>
  <c r="AF9" i="39"/>
  <c r="E10" i="42"/>
  <c r="AF10" i="39"/>
  <c r="AG9" i="39"/>
  <c r="F10" i="42"/>
  <c r="C11" i="42"/>
  <c r="AF11" i="39"/>
  <c r="AG10" i="39"/>
  <c r="E11" i="42"/>
  <c r="AF12" i="39"/>
  <c r="AG11" i="39"/>
  <c r="C12" i="42"/>
  <c r="F11" i="42"/>
  <c r="AG12" i="39"/>
  <c r="AF13" i="39"/>
  <c r="E12" i="42"/>
  <c r="AG13" i="39"/>
  <c r="AF14" i="39"/>
  <c r="F12" i="42"/>
  <c r="C13" i="42"/>
  <c r="AF15" i="39"/>
  <c r="AG14" i="39"/>
  <c r="E13" i="42"/>
  <c r="AF16" i="39"/>
  <c r="AG15" i="39"/>
  <c r="C14" i="42"/>
  <c r="F13" i="42"/>
  <c r="G13" i="42" s="1"/>
  <c r="AG16" i="39"/>
  <c r="AF17" i="39"/>
  <c r="E14" i="42"/>
  <c r="AG17" i="39"/>
  <c r="AF18" i="39"/>
  <c r="C15" i="42"/>
  <c r="F14" i="42"/>
  <c r="AG18" i="39"/>
  <c r="AF19" i="39"/>
  <c r="E15" i="42"/>
  <c r="AG19" i="39"/>
  <c r="AF20" i="39"/>
  <c r="AG20" i="39"/>
  <c r="AF21" i="39"/>
  <c r="AG21" i="39"/>
  <c r="AF22" i="39"/>
  <c r="AF23" i="39"/>
  <c r="AG22" i="39"/>
  <c r="AG23" i="39"/>
  <c r="AF24" i="39"/>
  <c r="AG24" i="39"/>
  <c r="AF25" i="39"/>
  <c r="AG25" i="39"/>
  <c r="AF26" i="39"/>
  <c r="AF27" i="39"/>
  <c r="AG26" i="39"/>
  <c r="AG27" i="39"/>
  <c r="AF28" i="39"/>
  <c r="AF29" i="39"/>
  <c r="AG28" i="39"/>
  <c r="AF30" i="39"/>
  <c r="AG29" i="39"/>
  <c r="AG30" i="39"/>
  <c r="AF31" i="39"/>
  <c r="AG31" i="39"/>
  <c r="AF32" i="39"/>
  <c r="AG32" i="39"/>
  <c r="AF33" i="39"/>
  <c r="AF34" i="39"/>
  <c r="AG33" i="39"/>
  <c r="AF35" i="39"/>
  <c r="AG34" i="39"/>
  <c r="AG35" i="39"/>
  <c r="AF36" i="39"/>
  <c r="AG36" i="39"/>
  <c r="AF37" i="39"/>
  <c r="AF38" i="39"/>
  <c r="AG37" i="39"/>
  <c r="AG38" i="39"/>
  <c r="AF39" i="39"/>
  <c r="AF40" i="39"/>
  <c r="AG39" i="39"/>
  <c r="AF41" i="39"/>
  <c r="AG40" i="39"/>
  <c r="AG41" i="39"/>
  <c r="AF42" i="39"/>
  <c r="AF43" i="39"/>
  <c r="AG42" i="39"/>
  <c r="AF44" i="39"/>
  <c r="AG43" i="39"/>
  <c r="AF45" i="39"/>
  <c r="AG44" i="39"/>
  <c r="AF46" i="39"/>
  <c r="AG45" i="39"/>
  <c r="AG46" i="39"/>
  <c r="AF47" i="39"/>
  <c r="AG47" i="39"/>
  <c r="AF48" i="39"/>
  <c r="AG48" i="39"/>
  <c r="AF49" i="39"/>
  <c r="AG49" i="39"/>
  <c r="AF50" i="39"/>
  <c r="AG50" i="39"/>
  <c r="AF51" i="39"/>
  <c r="AG51" i="39"/>
  <c r="AF52" i="39"/>
  <c r="AF53" i="39"/>
  <c r="AG52" i="39"/>
  <c r="AF54" i="39"/>
  <c r="AG53" i="39"/>
  <c r="AF55" i="39"/>
  <c r="AG54" i="39"/>
  <c r="AG55" i="39"/>
  <c r="AF56" i="39"/>
  <c r="AG56" i="39"/>
  <c r="AF57" i="39"/>
  <c r="AF58" i="39"/>
  <c r="AG57" i="39"/>
  <c r="AG58" i="39"/>
  <c r="AF59" i="39"/>
  <c r="AF60" i="39"/>
  <c r="AG59" i="39"/>
  <c r="AG60" i="39"/>
  <c r="AF61" i="39"/>
  <c r="AF62" i="39"/>
  <c r="AG61" i="39"/>
  <c r="AG62" i="39"/>
  <c r="AF63" i="39"/>
  <c r="AF64" i="39"/>
  <c r="AG63" i="39"/>
  <c r="AG64" i="39"/>
  <c r="AF65" i="39"/>
  <c r="AG65" i="39"/>
  <c r="AF66" i="39"/>
  <c r="AG66" i="39"/>
  <c r="AF67" i="39"/>
  <c r="AF68" i="39"/>
  <c r="AG67" i="39"/>
  <c r="AG68" i="39"/>
  <c r="AF69" i="39"/>
  <c r="AG69" i="39"/>
  <c r="AF70" i="39"/>
  <c r="AF71" i="39"/>
  <c r="AG70" i="39"/>
  <c r="AG71" i="39"/>
  <c r="AF72" i="39"/>
  <c r="AF73" i="39"/>
  <c r="AG72" i="39"/>
  <c r="AF74" i="39"/>
  <c r="AG73" i="39"/>
  <c r="AF75" i="39"/>
  <c r="AG74" i="39"/>
  <c r="AF76" i="39"/>
  <c r="AG75" i="39"/>
  <c r="AF77" i="39"/>
  <c r="AG76" i="39"/>
  <c r="AG77" i="39"/>
  <c r="AF78" i="39"/>
  <c r="AG78" i="39"/>
  <c r="AF79" i="39"/>
  <c r="AF80" i="39"/>
  <c r="AG79" i="39"/>
  <c r="AF81" i="39"/>
  <c r="AG80" i="39"/>
  <c r="AG81" i="39"/>
  <c r="AF82" i="39"/>
  <c r="AF83" i="39"/>
  <c r="AG82" i="39"/>
  <c r="AG83" i="39"/>
  <c r="AF84" i="39"/>
  <c r="AF85" i="39"/>
  <c r="AG84" i="39"/>
  <c r="AG85" i="39"/>
  <c r="AF86" i="39"/>
  <c r="AG86" i="39"/>
  <c r="AF87" i="39"/>
  <c r="AF88" i="39"/>
  <c r="AG87" i="39"/>
  <c r="AG88" i="39"/>
  <c r="AF89" i="39"/>
  <c r="AG89" i="39"/>
  <c r="AF90" i="39"/>
  <c r="AG90" i="39"/>
  <c r="AF91" i="39"/>
  <c r="AG91" i="39"/>
  <c r="AF92" i="39"/>
  <c r="AG92" i="39"/>
  <c r="AF93" i="39"/>
  <c r="AG93" i="39"/>
  <c r="AF94" i="39"/>
  <c r="AF95" i="39"/>
  <c r="AG94" i="39"/>
  <c r="AF96" i="39"/>
  <c r="AG95" i="39"/>
  <c r="AF97" i="39"/>
  <c r="AG96" i="39"/>
  <c r="AG97" i="39"/>
  <c r="AF98" i="39"/>
  <c r="AG98" i="39"/>
  <c r="AF99" i="39"/>
  <c r="AG99" i="39"/>
  <c r="AF100" i="39"/>
  <c r="AG100" i="39"/>
  <c r="AF101" i="39"/>
  <c r="AG101" i="39"/>
  <c r="AF102" i="39"/>
  <c r="AF103" i="39"/>
  <c r="AG102" i="39"/>
  <c r="AF104" i="39"/>
  <c r="AG103" i="39"/>
  <c r="AF105" i="39"/>
  <c r="AG104" i="39"/>
  <c r="AF106" i="39"/>
  <c r="AG105" i="39"/>
  <c r="AG106" i="39"/>
  <c r="AF107" i="39"/>
  <c r="AF108" i="39"/>
  <c r="AG107" i="39"/>
  <c r="AF109" i="39"/>
  <c r="AG108" i="39"/>
  <c r="AF110" i="39"/>
  <c r="AG109" i="39"/>
  <c r="AG110" i="39"/>
  <c r="AF111" i="39"/>
  <c r="AF112" i="39"/>
  <c r="AG111" i="39"/>
  <c r="AF113" i="39"/>
  <c r="AG112" i="39"/>
  <c r="AG113" i="39"/>
  <c r="AF114" i="39"/>
  <c r="AF115" i="39"/>
  <c r="AG114" i="39"/>
  <c r="AF116" i="39"/>
  <c r="AG115" i="39"/>
  <c r="AG116" i="39"/>
  <c r="AF117" i="39"/>
  <c r="AF118" i="39"/>
  <c r="AG117" i="39"/>
  <c r="AF119" i="39"/>
  <c r="AG118" i="39"/>
  <c r="AG119" i="39"/>
  <c r="AF120" i="39"/>
  <c r="AG120" i="39"/>
  <c r="AF121" i="39"/>
  <c r="AG121" i="39"/>
  <c r="AF122" i="39"/>
  <c r="AF123" i="39"/>
  <c r="AG122" i="39"/>
  <c r="AG123" i="39"/>
  <c r="AF124" i="39"/>
  <c r="AF125" i="39"/>
  <c r="AG124" i="39"/>
  <c r="AF126" i="39"/>
  <c r="AG125" i="39"/>
  <c r="AF127" i="39"/>
  <c r="AG126" i="39"/>
  <c r="AG127" i="39"/>
  <c r="AF128" i="39"/>
  <c r="AG128" i="39"/>
  <c r="AF129" i="39"/>
  <c r="AF130" i="39"/>
  <c r="AG129" i="39"/>
  <c r="AG130" i="39"/>
  <c r="AF131" i="39"/>
  <c r="AF132" i="39"/>
  <c r="AG132" i="39" s="1"/>
  <c r="AG131" i="39"/>
  <c r="D15" i="42" l="1"/>
  <c r="D14" i="42"/>
  <c r="D13" i="42"/>
  <c r="D12" i="42"/>
  <c r="D11" i="42"/>
  <c r="D10" i="42"/>
  <c r="F15" i="42"/>
  <c r="G15" i="42" s="1"/>
  <c r="G14" i="42"/>
  <c r="G10" i="42"/>
  <c r="R7" i="40"/>
  <c r="R10" i="51"/>
  <c r="G12" i="42"/>
  <c r="R9" i="42"/>
  <c r="G11" i="42"/>
  <c r="R10" i="42"/>
  <c r="R11" i="51"/>
  <c r="R8" i="40"/>
  <c r="R9" i="40"/>
  <c r="R12" i="51"/>
  <c r="R11" i="42"/>
  <c r="R12" i="42"/>
  <c r="R13" i="51"/>
  <c r="R10" i="40"/>
  <c r="R11" i="40"/>
  <c r="R14" i="51"/>
  <c r="R13" i="42"/>
  <c r="R14" i="42"/>
  <c r="R15" i="51"/>
  <c r="R12" i="40"/>
  <c r="R13" i="40"/>
  <c r="R14" i="40" s="1"/>
  <c r="R16" i="51"/>
  <c r="R15" i="42"/>
  <c r="R16" i="42"/>
  <c r="R17" i="51"/>
  <c r="R15" i="40"/>
  <c r="R16" i="40"/>
  <c r="R18" i="51"/>
  <c r="R17" i="42"/>
  <c r="R18" i="42"/>
  <c r="R19" i="51"/>
  <c r="R17" i="40"/>
  <c r="R18" i="40"/>
  <c r="R19" i="42"/>
  <c r="R20" i="51"/>
  <c r="R21" i="51"/>
  <c r="R22" i="51" s="1"/>
  <c r="R20" i="42"/>
  <c r="R19" i="40"/>
  <c r="R20" i="40"/>
  <c r="R21" i="40" s="1"/>
  <c r="R23" i="51"/>
  <c r="R21" i="42"/>
  <c r="R24" i="51"/>
  <c r="R22" i="40"/>
  <c r="R22" i="42"/>
  <c r="R23" i="42"/>
  <c r="R25" i="51"/>
  <c r="R26" i="51" s="1"/>
  <c r="R23" i="40"/>
  <c r="R24" i="40"/>
  <c r="R27" i="51"/>
  <c r="R24" i="42"/>
  <c r="R25" i="42"/>
  <c r="R25" i="40"/>
  <c r="R28" i="51"/>
  <c r="R29" i="51" s="1"/>
  <c r="R30" i="51"/>
  <c r="R26" i="40"/>
  <c r="R26" i="42"/>
  <c r="R27" i="42"/>
  <c r="R27" i="40"/>
  <c r="R31" i="51"/>
  <c r="R32" i="51"/>
  <c r="R28" i="40"/>
  <c r="R28" i="42"/>
  <c r="R29" i="40"/>
  <c r="R33" i="51"/>
  <c r="R29" i="42"/>
  <c r="R30" i="42" l="1"/>
  <c r="R34" i="51"/>
  <c r="R30" i="40"/>
  <c r="R31" i="40" l="1"/>
  <c r="R35" i="51"/>
  <c r="R31" i="42"/>
  <c r="R32" i="42" l="1"/>
  <c r="R36" i="51"/>
  <c r="R32" i="40"/>
  <c r="R33" i="40" l="1"/>
  <c r="R33" i="42"/>
  <c r="R37" i="51"/>
  <c r="R38" i="51" l="1"/>
  <c r="R34" i="42"/>
  <c r="R34" i="40"/>
  <c r="R35" i="40" s="1"/>
  <c r="R36" i="40" l="1"/>
  <c r="R35" i="42"/>
  <c r="R39" i="51"/>
  <c r="R40" i="51" l="1"/>
  <c r="R36" i="42"/>
  <c r="R37" i="40"/>
  <c r="R38" i="40" l="1"/>
  <c r="R37" i="42"/>
  <c r="R41" i="51"/>
  <c r="R42" i="51" l="1"/>
  <c r="R38" i="42"/>
  <c r="R39" i="40"/>
  <c r="R40" i="40" l="1"/>
  <c r="R43" i="51"/>
  <c r="R39" i="42"/>
  <c r="R40" i="42" l="1"/>
  <c r="R44" i="51"/>
  <c r="R41" i="40"/>
  <c r="R42" i="40" l="1"/>
  <c r="R45" i="51"/>
  <c r="R41" i="42"/>
  <c r="R42" i="42" l="1"/>
  <c r="R46" i="51"/>
  <c r="R43" i="40"/>
  <c r="R44" i="40" l="1"/>
  <c r="R47" i="51"/>
  <c r="R43" i="42"/>
  <c r="R44" i="42" l="1"/>
  <c r="R48" i="51"/>
  <c r="R45" i="40"/>
  <c r="R46" i="40" l="1"/>
  <c r="R49" i="51"/>
  <c r="R45" i="42"/>
  <c r="R46" i="42" l="1"/>
  <c r="R50" i="51"/>
  <c r="R47" i="40"/>
  <c r="R48" i="40" l="1"/>
  <c r="R51" i="51"/>
  <c r="R47" i="42"/>
  <c r="R48" i="42" l="1"/>
  <c r="R52" i="51"/>
  <c r="R53" i="51" s="1"/>
  <c r="R49" i="40"/>
  <c r="R50" i="40" l="1"/>
  <c r="R54" i="51"/>
  <c r="R49" i="42"/>
  <c r="R50" i="42" l="1"/>
  <c r="R55" i="51"/>
  <c r="R51" i="40"/>
  <c r="R52" i="40" l="1"/>
  <c r="R56" i="51"/>
  <c r="R51" i="42"/>
  <c r="R52" i="42" l="1"/>
  <c r="R57" i="51"/>
  <c r="R53" i="40"/>
  <c r="R54" i="40" l="1"/>
  <c r="R58" i="51"/>
  <c r="R53" i="42"/>
  <c r="R54" i="42" l="1"/>
  <c r="R59" i="51"/>
  <c r="R55" i="40"/>
  <c r="R56" i="40" l="1"/>
  <c r="R60" i="51"/>
  <c r="R55" i="42"/>
  <c r="R56" i="42" l="1"/>
  <c r="R61" i="51"/>
  <c r="R57" i="40"/>
  <c r="R58" i="40" l="1"/>
  <c r="R62" i="51"/>
  <c r="R57" i="42"/>
  <c r="R58" i="42" l="1"/>
  <c r="R63" i="51"/>
  <c r="R59" i="40"/>
  <c r="R60" i="40" l="1"/>
  <c r="R64" i="51"/>
  <c r="R59" i="42"/>
  <c r="R60" i="42" l="1"/>
  <c r="R65" i="51"/>
  <c r="R61" i="40"/>
  <c r="R62" i="40" l="1"/>
  <c r="R66" i="51"/>
  <c r="R61" i="42"/>
  <c r="R62" i="42" l="1"/>
  <c r="R67" i="51"/>
  <c r="R63" i="40"/>
  <c r="R64" i="40" l="1"/>
  <c r="R68" i="51"/>
  <c r="R63" i="42"/>
  <c r="R64" i="42" l="1"/>
  <c r="R69" i="51"/>
  <c r="R65" i="40"/>
  <c r="R66" i="40" l="1"/>
  <c r="R65" i="42"/>
  <c r="R70" i="51"/>
  <c r="R71" i="51" l="1"/>
  <c r="R66" i="42"/>
  <c r="R67" i="40"/>
  <c r="R68" i="40" l="1"/>
  <c r="R67" i="42"/>
  <c r="R72" i="51"/>
  <c r="R73" i="51" l="1"/>
  <c r="R68" i="42"/>
  <c r="R69" i="40"/>
  <c r="R70" i="40" l="1"/>
  <c r="R69" i="42"/>
  <c r="R74" i="51"/>
  <c r="R75" i="51" l="1"/>
  <c r="R70" i="42"/>
  <c r="R71" i="40"/>
  <c r="R72" i="40" l="1"/>
  <c r="R71" i="42"/>
  <c r="R76" i="51"/>
  <c r="R77" i="51" l="1"/>
  <c r="R72" i="42"/>
  <c r="R73" i="40"/>
  <c r="R74" i="40" l="1"/>
  <c r="R73" i="42"/>
  <c r="R78" i="51"/>
  <c r="R79" i="51" l="1"/>
  <c r="R74" i="42"/>
  <c r="R75" i="40"/>
  <c r="R76" i="40" l="1"/>
  <c r="R75" i="42"/>
  <c r="R80" i="51"/>
  <c r="R81" i="51" l="1"/>
  <c r="R77" i="40"/>
  <c r="R76" i="42"/>
  <c r="R77" i="42" l="1"/>
  <c r="R78" i="40"/>
  <c r="R82" i="51"/>
  <c r="R83" i="51" l="1"/>
  <c r="R79" i="40"/>
  <c r="R78" i="42"/>
  <c r="R79" i="42" l="1"/>
  <c r="R80" i="40"/>
  <c r="R84" i="51"/>
  <c r="R85" i="51" l="1"/>
  <c r="R81" i="40"/>
  <c r="R80" i="42"/>
  <c r="R81" i="42" l="1"/>
  <c r="R82" i="40"/>
  <c r="R86" i="51"/>
  <c r="R87" i="51" l="1"/>
  <c r="R83" i="40"/>
  <c r="R82" i="42"/>
  <c r="R83" i="42" l="1"/>
  <c r="R84" i="40"/>
  <c r="R88" i="51"/>
  <c r="R89" i="51" l="1"/>
  <c r="R85" i="40"/>
  <c r="R84" i="42"/>
  <c r="R85" i="42" l="1"/>
  <c r="R86" i="40"/>
  <c r="R90" i="51"/>
  <c r="R91" i="51" l="1"/>
  <c r="R87" i="40"/>
  <c r="R86" i="42"/>
  <c r="R87" i="42" l="1"/>
  <c r="R88" i="40"/>
  <c r="R92" i="51"/>
  <c r="R93" i="51" l="1"/>
  <c r="R89" i="40"/>
  <c r="R88" i="42"/>
  <c r="R89" i="42" l="1"/>
  <c r="R90" i="40"/>
  <c r="R94" i="51"/>
  <c r="R95" i="51" l="1"/>
  <c r="R91" i="40"/>
  <c r="R90" i="42"/>
  <c r="R91" i="42" l="1"/>
  <c r="R92" i="40"/>
  <c r="R96" i="51"/>
  <c r="R97" i="51" l="1"/>
  <c r="R93" i="40"/>
  <c r="R92" i="42"/>
  <c r="R93" i="42" l="1"/>
  <c r="R94" i="40"/>
  <c r="R98" i="51"/>
  <c r="R99" i="51" l="1"/>
  <c r="R95" i="40"/>
  <c r="R94" i="42"/>
  <c r="R95" i="42" l="1"/>
  <c r="R96" i="40"/>
  <c r="R100" i="51"/>
  <c r="R101" i="51" l="1"/>
  <c r="R97" i="40"/>
  <c r="R96" i="42"/>
  <c r="R97" i="42" l="1"/>
  <c r="R98" i="40"/>
  <c r="R102" i="51"/>
  <c r="R103" i="51" l="1"/>
  <c r="R99" i="40"/>
  <c r="R98" i="42"/>
  <c r="R99" i="42" l="1"/>
  <c r="R100" i="40"/>
  <c r="R104" i="51"/>
  <c r="R105" i="51" l="1"/>
  <c r="R101" i="40"/>
  <c r="R100" i="42"/>
  <c r="R101" i="42" l="1"/>
  <c r="R102" i="40"/>
  <c r="R106" i="51"/>
  <c r="R107" i="51" l="1"/>
  <c r="R103" i="40"/>
  <c r="R102" i="42"/>
  <c r="R103" i="42" l="1"/>
  <c r="R104" i="40"/>
  <c r="R108" i="51"/>
  <c r="R109" i="51" l="1"/>
  <c r="R105" i="40"/>
  <c r="R104" i="42"/>
  <c r="R105" i="42" l="1"/>
  <c r="R106" i="40"/>
  <c r="R110" i="51"/>
  <c r="R111" i="51" l="1"/>
  <c r="R107" i="40"/>
  <c r="R106" i="42"/>
  <c r="R107" i="42" l="1"/>
  <c r="R108" i="40"/>
  <c r="R112" i="51"/>
  <c r="R113" i="51" l="1"/>
  <c r="R108" i="42"/>
  <c r="R109" i="40"/>
  <c r="R110" i="40" l="1"/>
  <c r="R109" i="42"/>
  <c r="R114" i="51"/>
  <c r="R115" i="51" l="1"/>
  <c r="R110" i="42"/>
  <c r="R111" i="40"/>
  <c r="R112" i="40" l="1"/>
  <c r="R111" i="42"/>
  <c r="R116" i="51"/>
  <c r="R117" i="51" l="1"/>
  <c r="R112" i="42"/>
  <c r="R113" i="40"/>
  <c r="R114" i="40" l="1"/>
  <c r="R113" i="42"/>
  <c r="R118" i="51"/>
  <c r="R119" i="51" l="1"/>
  <c r="R114" i="42"/>
  <c r="R115" i="40"/>
  <c r="R116" i="40" l="1"/>
  <c r="R115" i="42"/>
  <c r="R120" i="51"/>
  <c r="R121" i="51" l="1"/>
  <c r="R116" i="42"/>
  <c r="R117" i="40"/>
  <c r="R118" i="40" l="1"/>
  <c r="R117" i="42"/>
  <c r="R122" i="51"/>
  <c r="R123" i="51" l="1"/>
  <c r="R118" i="42"/>
  <c r="R119" i="40"/>
  <c r="R120" i="40" l="1"/>
  <c r="R119" i="42"/>
  <c r="R124" i="51"/>
  <c r="R125" i="51" l="1"/>
  <c r="R120" i="42"/>
  <c r="R121" i="40"/>
  <c r="R122" i="40" l="1"/>
  <c r="R121" i="42"/>
  <c r="R126" i="51"/>
  <c r="R127" i="51" l="1"/>
  <c r="R123" i="40"/>
  <c r="R122" i="42"/>
  <c r="R123" i="42" l="1"/>
  <c r="R124" i="40"/>
  <c r="R128" i="51"/>
  <c r="R129" i="51" l="1"/>
  <c r="R125" i="40"/>
  <c r="R124" i="42"/>
  <c r="R125" i="42" l="1"/>
  <c r="R126" i="40"/>
  <c r="R130" i="51"/>
  <c r="R131" i="51" l="1"/>
  <c r="R127" i="40"/>
  <c r="R126" i="42"/>
  <c r="R127" i="42" l="1"/>
  <c r="R128" i="40"/>
  <c r="R132" i="51"/>
  <c r="R133" i="51" l="1"/>
  <c r="R129" i="40"/>
  <c r="R128" i="42"/>
  <c r="R129" i="42" l="1"/>
  <c r="R130" i="40"/>
  <c r="R134" i="51"/>
  <c r="R131" i="40" l="1"/>
  <c r="R130" i="42"/>
  <c r="R135" i="51"/>
  <c r="R136" i="51" l="1"/>
  <c r="R131" i="42"/>
  <c r="R132" i="40"/>
  <c r="R133" i="40" l="1"/>
  <c r="R132" i="42"/>
  <c r="R137" i="51"/>
  <c r="R138" i="51" l="1"/>
  <c r="R133" i="42"/>
  <c r="R134" i="40"/>
  <c r="R135" i="40" l="1"/>
  <c r="R139" i="51"/>
  <c r="R134" i="42"/>
  <c r="R135" i="42" l="1"/>
  <c r="R136" i="40"/>
  <c r="R140" i="51"/>
  <c r="R141" i="51" l="1"/>
  <c r="R137" i="40"/>
  <c r="R136" i="42"/>
  <c r="R137" i="42" l="1"/>
  <c r="R138" i="40"/>
  <c r="R142" i="51"/>
  <c r="R143" i="51" l="1"/>
  <c r="R139" i="40"/>
  <c r="R138" i="42"/>
  <c r="R139" i="42" l="1"/>
  <c r="R140" i="40"/>
  <c r="R144" i="51"/>
  <c r="R145" i="51" l="1"/>
  <c r="R141" i="40"/>
  <c r="R140" i="42"/>
  <c r="R141" i="42" l="1"/>
  <c r="R142" i="40"/>
  <c r="R146" i="51"/>
  <c r="R147" i="51" l="1"/>
  <c r="R143" i="40"/>
  <c r="R142" i="42"/>
  <c r="R143" i="42" l="1"/>
  <c r="R144" i="40"/>
  <c r="R148" i="51"/>
  <c r="R149" i="51" l="1"/>
  <c r="R145" i="40"/>
  <c r="R144" i="42"/>
  <c r="R145" i="42" l="1"/>
  <c r="R146" i="40"/>
  <c r="R150" i="51"/>
  <c r="R147" i="40" l="1"/>
  <c r="R146" i="42"/>
  <c r="R151" i="51"/>
  <c r="R152" i="51" l="1"/>
  <c r="R147" i="42"/>
  <c r="R148" i="40"/>
  <c r="R149" i="40" l="1"/>
  <c r="R148" i="42"/>
  <c r="R153" i="51"/>
  <c r="R154" i="51" l="1"/>
  <c r="R149" i="42"/>
  <c r="R150" i="40"/>
  <c r="R151" i="40" l="1"/>
  <c r="R150" i="42"/>
  <c r="R155" i="51"/>
  <c r="R156" i="51" l="1"/>
  <c r="R151" i="42"/>
  <c r="R152" i="40"/>
  <c r="R153" i="40" l="1"/>
  <c r="R152" i="42"/>
  <c r="R157" i="51"/>
  <c r="R158" i="51" l="1"/>
  <c r="R159" i="51" s="1"/>
  <c r="R153" i="42"/>
  <c r="R154" i="40"/>
  <c r="R155" i="40" l="1"/>
  <c r="R154" i="42"/>
  <c r="R160" i="51"/>
  <c r="R161" i="51" l="1"/>
  <c r="R155" i="42"/>
  <c r="R156" i="40"/>
  <c r="R157" i="40" l="1"/>
  <c r="R156" i="42"/>
  <c r="R162" i="51"/>
  <c r="R163" i="51" l="1"/>
  <c r="R157" i="42"/>
  <c r="R158" i="40"/>
  <c r="R159" i="40" l="1"/>
  <c r="R158" i="42"/>
  <c r="R164" i="51"/>
  <c r="R165" i="51" l="1"/>
  <c r="R159" i="42"/>
  <c r="R160" i="40"/>
  <c r="R161" i="40" l="1"/>
  <c r="R160" i="42"/>
  <c r="R166" i="51"/>
  <c r="R167" i="51" l="1"/>
  <c r="R161" i="42"/>
  <c r="R162" i="40"/>
  <c r="R163" i="40" l="1"/>
  <c r="R162" i="42"/>
  <c r="R168" i="51"/>
  <c r="R169" i="51" l="1"/>
  <c r="R163" i="42"/>
  <c r="R164" i="40"/>
  <c r="R165" i="40" l="1"/>
  <c r="R164" i="42"/>
  <c r="R170" i="51"/>
  <c r="R171" i="51" l="1"/>
  <c r="R172" i="51" s="1"/>
  <c r="R165" i="42"/>
  <c r="R166" i="40"/>
  <c r="R167" i="40" l="1"/>
  <c r="R166" i="42"/>
  <c r="R173" i="51"/>
  <c r="R174" i="51" l="1"/>
  <c r="R167" i="42"/>
  <c r="R168" i="40"/>
  <c r="R169" i="40" l="1"/>
  <c r="R168" i="42"/>
  <c r="R175" i="51"/>
  <c r="R176" i="51" l="1"/>
  <c r="R169" i="42"/>
  <c r="R170" i="40"/>
  <c r="R171" i="40" l="1"/>
  <c r="R170" i="42"/>
  <c r="R177" i="51"/>
  <c r="R178" i="51" l="1"/>
  <c r="R171" i="42"/>
  <c r="R172" i="40"/>
  <c r="R173" i="40" l="1"/>
  <c r="R172" i="42"/>
  <c r="R179" i="51"/>
  <c r="R180" i="51" l="1"/>
  <c r="R173" i="42"/>
  <c r="R174" i="40"/>
  <c r="R175" i="40" l="1"/>
  <c r="R174" i="42"/>
  <c r="R181" i="51"/>
  <c r="R182" i="51" l="1"/>
  <c r="R175" i="42"/>
  <c r="R176" i="40"/>
  <c r="R177" i="40" l="1"/>
  <c r="R176" i="42"/>
  <c r="R183" i="51"/>
  <c r="R184" i="51" l="1"/>
  <c r="R177" i="42"/>
  <c r="R178" i="40"/>
  <c r="R179" i="40" l="1"/>
  <c r="R178" i="42"/>
  <c r="R185" i="51"/>
  <c r="R186" i="51" l="1"/>
  <c r="R179" i="42"/>
  <c r="R180" i="40"/>
  <c r="R181" i="40" l="1"/>
  <c r="R180" i="42"/>
  <c r="R187" i="51"/>
  <c r="R188" i="51" l="1"/>
  <c r="R181" i="42"/>
  <c r="R182" i="40"/>
  <c r="R183" i="40" l="1"/>
  <c r="R182" i="42"/>
  <c r="R189" i="51"/>
  <c r="R190" i="51" s="1"/>
  <c r="R191" i="51" l="1"/>
  <c r="R183" i="42"/>
  <c r="R184" i="40"/>
  <c r="R185" i="40" s="1"/>
  <c r="R186" i="40" l="1"/>
  <c r="R184" i="42"/>
  <c r="R192" i="51"/>
  <c r="R193" i="51" l="1"/>
  <c r="R185" i="42"/>
  <c r="R187" i="40"/>
  <c r="R188" i="40" l="1"/>
  <c r="R186" i="42"/>
  <c r="R194" i="51"/>
  <c r="R195" i="51" l="1"/>
  <c r="R187" i="42"/>
  <c r="R189" i="40"/>
  <c r="R190" i="40" l="1"/>
  <c r="R196" i="51"/>
  <c r="R188" i="42"/>
  <c r="R189" i="42" l="1"/>
  <c r="R191" i="40"/>
  <c r="R197" i="51"/>
  <c r="R192" i="40" l="1"/>
  <c r="R190" i="42"/>
  <c r="R198" i="51"/>
  <c r="R199" i="51" l="1"/>
  <c r="R191" i="42"/>
  <c r="R193" i="40"/>
  <c r="R194" i="40" l="1"/>
  <c r="R192" i="42"/>
  <c r="R200" i="51"/>
  <c r="R201" i="51" l="1"/>
  <c r="R195" i="40"/>
  <c r="R193" i="42"/>
  <c r="R194" i="42" l="1"/>
  <c r="R202" i="51"/>
  <c r="R196" i="40"/>
  <c r="R197" i="40" l="1"/>
  <c r="R203" i="51"/>
  <c r="R195" i="42"/>
  <c r="R196" i="42" l="1"/>
  <c r="R204" i="51"/>
  <c r="R198" i="40"/>
  <c r="R199" i="40" l="1"/>
  <c r="R197" i="42"/>
  <c r="R205" i="51"/>
  <c r="R206" i="51" l="1"/>
  <c r="R198" i="42"/>
  <c r="R200" i="40"/>
  <c r="R201" i="40" l="1"/>
  <c r="R199" i="42"/>
  <c r="R207" i="51"/>
  <c r="R200" i="42" l="1"/>
  <c r="R202" i="40"/>
  <c r="R208" i="51"/>
  <c r="R209" i="51" l="1"/>
  <c r="R201" i="42"/>
  <c r="R203" i="40"/>
  <c r="R204" i="40" l="1"/>
  <c r="R202" i="42"/>
  <c r="R210" i="51"/>
  <c r="R203" i="42" l="1"/>
  <c r="R205" i="40"/>
  <c r="R211" i="51"/>
  <c r="R212" i="51" l="1"/>
  <c r="R206" i="40"/>
  <c r="R204" i="42"/>
  <c r="R205" i="42" l="1"/>
  <c r="R213" i="51"/>
  <c r="R207" i="40"/>
  <c r="R208" i="40" l="1"/>
  <c r="R214" i="51"/>
  <c r="R206" i="42"/>
  <c r="R207" i="42" l="1"/>
  <c r="R209" i="40"/>
  <c r="R215" i="51"/>
  <c r="R216" i="51" l="1"/>
  <c r="R210" i="40"/>
  <c r="R208" i="42"/>
  <c r="R209" i="42" l="1"/>
  <c r="R217" i="51"/>
  <c r="R211" i="40"/>
  <c r="R212" i="40" l="1"/>
  <c r="R210" i="42"/>
  <c r="R218" i="51"/>
  <c r="R219" i="51" s="1"/>
  <c r="R220" i="51" s="1"/>
  <c r="R221" i="51" l="1"/>
  <c r="R211" i="42"/>
  <c r="R213" i="40"/>
  <c r="R212" i="42" l="1"/>
  <c r="R222" i="51"/>
  <c r="R214" i="40"/>
  <c r="R215" i="40" l="1"/>
  <c r="R223" i="51"/>
  <c r="R213" i="42"/>
  <c r="R224" i="51" l="1"/>
  <c r="R216" i="40"/>
  <c r="R217" i="40" s="1"/>
  <c r="R214" i="42"/>
  <c r="R215" i="42" l="1"/>
  <c r="R218" i="40"/>
  <c r="R225" i="51"/>
  <c r="R226" i="51" l="1"/>
  <c r="R219" i="40"/>
  <c r="R216" i="42"/>
  <c r="R217" i="42" l="1"/>
  <c r="R220" i="40"/>
  <c r="R227" i="51"/>
  <c r="R228" i="51" l="1"/>
  <c r="R221" i="40"/>
  <c r="R218" i="42"/>
  <c r="R219" i="42" l="1"/>
  <c r="R222" i="40"/>
  <c r="R229" i="51"/>
  <c r="R230" i="51" l="1"/>
  <c r="R223" i="40"/>
  <c r="R220" i="42"/>
  <c r="R221" i="42" l="1"/>
  <c r="R224" i="40"/>
  <c r="R231" i="51"/>
  <c r="R232" i="51" l="1"/>
  <c r="R225" i="40"/>
  <c r="R222" i="42"/>
  <c r="R223" i="42" l="1"/>
  <c r="R226" i="40"/>
  <c r="R233" i="51"/>
  <c r="R234" i="51" l="1"/>
  <c r="R227" i="40"/>
  <c r="R224" i="42"/>
  <c r="R225" i="42" l="1"/>
  <c r="R228" i="40"/>
  <c r="R235" i="51"/>
  <c r="R236" i="51" l="1"/>
  <c r="R229" i="40"/>
  <c r="R226" i="42"/>
  <c r="R227" i="42" l="1"/>
  <c r="R230" i="40"/>
  <c r="R237" i="51"/>
  <c r="R238" i="51" l="1"/>
  <c r="R231" i="40"/>
  <c r="R228" i="42"/>
  <c r="R229" i="42" l="1"/>
  <c r="R232" i="40"/>
  <c r="R239" i="51"/>
  <c r="R240" i="51" l="1"/>
  <c r="R233" i="40"/>
  <c r="R230" i="42"/>
  <c r="R231" i="42" l="1"/>
  <c r="R234" i="40"/>
  <c r="R241" i="51"/>
  <c r="R242" i="51" l="1"/>
  <c r="R235" i="40"/>
  <c r="R232" i="42"/>
  <c r="R233" i="42" l="1"/>
  <c r="R236" i="40"/>
  <c r="R243" i="51"/>
  <c r="R244" i="51" l="1"/>
  <c r="R237" i="40"/>
  <c r="R234" i="42"/>
  <c r="R235" i="42" l="1"/>
  <c r="R238" i="40"/>
  <c r="R245" i="51"/>
  <c r="R246" i="51" l="1"/>
  <c r="R239" i="40"/>
  <c r="R236" i="42"/>
  <c r="R237" i="42" l="1"/>
  <c r="R240" i="40"/>
  <c r="R247" i="51"/>
  <c r="R248" i="51" l="1"/>
  <c r="R241" i="40"/>
  <c r="R238" i="42"/>
  <c r="R239" i="42" l="1"/>
  <c r="R242" i="40"/>
  <c r="R249" i="51"/>
  <c r="R250" i="51" l="1"/>
  <c r="R243" i="40"/>
  <c r="R240" i="42"/>
  <c r="R241" i="42" l="1"/>
  <c r="R244" i="40"/>
  <c r="R251" i="51"/>
  <c r="R245" i="40" l="1"/>
  <c r="R242" i="42"/>
  <c r="R252" i="51"/>
  <c r="R253" i="51" l="1"/>
  <c r="R243" i="42"/>
  <c r="R246" i="40"/>
  <c r="R244" i="42" l="1"/>
  <c r="R254" i="51"/>
  <c r="R247" i="40"/>
  <c r="R248" i="40" l="1"/>
  <c r="R255" i="51"/>
  <c r="R245" i="42"/>
  <c r="R246" i="42" l="1"/>
  <c r="R256" i="51"/>
  <c r="R249" i="40"/>
  <c r="R250" i="40" l="1"/>
  <c r="R257" i="51"/>
  <c r="R247" i="42"/>
  <c r="R248" i="42" l="1"/>
  <c r="R258" i="51"/>
  <c r="R251" i="40"/>
  <c r="R252" i="40" l="1"/>
  <c r="R259" i="51"/>
  <c r="R249" i="42"/>
  <c r="R250" i="42" l="1"/>
  <c r="R260" i="51"/>
  <c r="R253" i="40"/>
  <c r="R254" i="40" l="1"/>
  <c r="R261" i="51"/>
  <c r="R251" i="42"/>
  <c r="R252" i="42" l="1"/>
  <c r="R255" i="40"/>
  <c r="R262" i="51"/>
  <c r="R263" i="51" l="1"/>
  <c r="R256" i="40"/>
  <c r="R253" i="42"/>
  <c r="R254" i="42" l="1"/>
  <c r="R264" i="51"/>
  <c r="R257" i="40"/>
  <c r="R258" i="40" l="1"/>
  <c r="R255" i="42"/>
  <c r="R265" i="51"/>
  <c r="R266" i="51" l="1"/>
  <c r="R256" i="42"/>
  <c r="R259" i="40"/>
  <c r="R260" i="40" l="1"/>
  <c r="R257" i="42"/>
  <c r="R267" i="51"/>
  <c r="R258" i="42" l="1"/>
  <c r="R261" i="40"/>
  <c r="R262" i="40"/>
  <c r="R259" i="42"/>
  <c r="R260" i="42" l="1"/>
  <c r="R261" i="42" l="1"/>
  <c r="R262" i="42" l="1"/>
  <c r="R263" i="42" l="1"/>
  <c r="R264" i="42" l="1"/>
  <c r="R265" i="42" l="1"/>
  <c r="R266" i="42" l="1"/>
  <c r="R267" i="42" l="1"/>
  <c r="R268" i="42" l="1"/>
  <c r="R269" i="42" l="1"/>
  <c r="R270" i="42" l="1"/>
  <c r="R271" i="42" l="1"/>
  <c r="R272" i="42" l="1"/>
  <c r="R273" i="42" l="1"/>
  <c r="R274" i="42" l="1"/>
  <c r="R275" i="42" l="1"/>
  <c r="I7" i="29" l="1"/>
  <c r="H3" i="42"/>
  <c r="D3" i="39"/>
  <c r="D3" i="52"/>
  <c r="H3" i="40"/>
  <c r="H3" i="51"/>
  <c r="D3" i="43"/>
  <c r="D3" i="48"/>
  <c r="R276" i="42"/>
  <c r="E3" i="39"/>
  <c r="K3" i="39"/>
  <c r="E3" i="52"/>
  <c r="K3" i="52"/>
  <c r="K3" i="43"/>
  <c r="E3" i="43"/>
  <c r="G3" i="48"/>
  <c r="E3" i="48"/>
  <c r="H3" i="48" s="1"/>
  <c r="H3" i="39"/>
  <c r="L3" i="39"/>
  <c r="H3" i="52"/>
  <c r="L3" i="52"/>
  <c r="H3" i="43"/>
  <c r="L3" i="43"/>
  <c r="O3" i="43" l="1"/>
  <c r="N3" i="43"/>
  <c r="M3" i="43"/>
  <c r="O3" i="52"/>
  <c r="N3" i="52"/>
  <c r="M3" i="52"/>
  <c r="O3" i="39"/>
  <c r="N3" i="39"/>
  <c r="M3" i="39"/>
  <c r="J3" i="48"/>
  <c r="I3" i="48"/>
  <c r="K3" i="48"/>
  <c r="S3" i="43" a="1"/>
  <c r="U13" i="39" a="1"/>
  <c r="U9" i="39" a="1"/>
  <c r="U3" i="39" a="1"/>
  <c r="P3" i="48" a="1"/>
  <c r="P9" i="48" a="1"/>
  <c r="U3" i="43" a="1"/>
  <c r="U13" i="43" a="1"/>
  <c r="U9" i="43" a="1"/>
  <c r="Q3" i="48" a="1"/>
  <c r="Q9" i="48" a="1"/>
  <c r="Q13" i="48" a="1"/>
  <c r="S3" i="52" a="1"/>
  <c r="O3" i="48" a="1"/>
  <c r="U3" i="52" a="1"/>
  <c r="U9" i="52" a="1"/>
  <c r="U13" i="52" a="1"/>
  <c r="T3" i="39" a="1"/>
  <c r="T9" i="39" a="1"/>
  <c r="T3" i="43" a="1"/>
  <c r="T9" i="43" a="1"/>
  <c r="T3" i="52" a="1"/>
  <c r="T9" i="52" a="1"/>
  <c r="S3" i="39" a="1"/>
  <c r="R277" i="42"/>
  <c r="S4" i="39" l="1"/>
  <c r="S3" i="39"/>
  <c r="S5" i="39"/>
  <c r="T9" i="52"/>
  <c r="T10" i="52"/>
  <c r="T3" i="52"/>
  <c r="T5" i="52"/>
  <c r="T4" i="52"/>
  <c r="T10" i="43"/>
  <c r="T9" i="43"/>
  <c r="T3" i="43"/>
  <c r="T5" i="43"/>
  <c r="T4" i="43"/>
  <c r="T10" i="39"/>
  <c r="T9" i="39"/>
  <c r="T5" i="39"/>
  <c r="T4" i="39"/>
  <c r="T3" i="39"/>
  <c r="U13" i="52"/>
  <c r="AA13" i="52" s="1"/>
  <c r="U10" i="52"/>
  <c r="U9" i="52"/>
  <c r="U4" i="52"/>
  <c r="U3" i="52"/>
  <c r="U5" i="52"/>
  <c r="O4" i="48"/>
  <c r="O3" i="48"/>
  <c r="O5" i="48"/>
  <c r="S4" i="52"/>
  <c r="S5" i="52"/>
  <c r="S3" i="52"/>
  <c r="Q13" i="48"/>
  <c r="W13" i="48" s="1"/>
  <c r="Q10" i="48"/>
  <c r="Q9" i="48"/>
  <c r="Q3" i="48"/>
  <c r="Q5" i="48"/>
  <c r="Q4" i="48"/>
  <c r="U9" i="43"/>
  <c r="U10" i="43"/>
  <c r="U13" i="43"/>
  <c r="AA13" i="43" s="1"/>
  <c r="U4" i="43"/>
  <c r="U3" i="43"/>
  <c r="U5" i="43"/>
  <c r="P10" i="48"/>
  <c r="P9" i="48"/>
  <c r="P5" i="48"/>
  <c r="P3" i="48"/>
  <c r="P4" i="48"/>
  <c r="U3" i="39"/>
  <c r="U5" i="39"/>
  <c r="U4" i="39"/>
  <c r="U9" i="39"/>
  <c r="U10" i="39"/>
  <c r="U13" i="39"/>
  <c r="AA13" i="39" s="1"/>
  <c r="S4" i="43"/>
  <c r="S3" i="43"/>
  <c r="S5" i="43"/>
  <c r="R278" i="42"/>
  <c r="AA3" i="43" l="1" a="1"/>
  <c r="W9" i="48" a="1"/>
  <c r="I6" i="29"/>
  <c r="AC3" i="43"/>
  <c r="AB3" i="43"/>
  <c r="AA3" i="43"/>
  <c r="AA4" i="43"/>
  <c r="AB4" i="43"/>
  <c r="AA5" i="43"/>
  <c r="AC4" i="43"/>
  <c r="AB5" i="43"/>
  <c r="AC5" i="43"/>
  <c r="AA9" i="39" a="1"/>
  <c r="AA3" i="52" a="1"/>
  <c r="AA9" i="52" a="1"/>
  <c r="AA3" i="39" a="1"/>
  <c r="W10" i="48"/>
  <c r="W9" i="48"/>
  <c r="X9" i="48"/>
  <c r="X10" i="48"/>
  <c r="W3" i="48" a="1"/>
  <c r="AA9" i="43" a="1"/>
  <c r="G3" i="43"/>
  <c r="G3" i="52"/>
  <c r="G3" i="39"/>
  <c r="F3" i="43"/>
  <c r="F3" i="52"/>
  <c r="F3" i="39"/>
  <c r="J22" i="51"/>
  <c r="L16" i="52"/>
  <c r="H15" i="42"/>
  <c r="F7" i="39"/>
  <c r="L22" i="52"/>
  <c r="H17" i="48"/>
  <c r="J9" i="51"/>
  <c r="R5" i="45"/>
  <c r="L26" i="52"/>
  <c r="R7" i="45"/>
  <c r="H15" i="48"/>
  <c r="J4" i="51"/>
  <c r="J11" i="40"/>
  <c r="J26" i="51"/>
  <c r="J8" i="51"/>
  <c r="J4" i="42"/>
  <c r="G4" i="52"/>
  <c r="J5" i="51"/>
  <c r="L15" i="39"/>
  <c r="J7" i="51"/>
  <c r="L17" i="52"/>
  <c r="H18" i="48"/>
  <c r="J14" i="51"/>
  <c r="J12" i="51"/>
  <c r="J9" i="40"/>
  <c r="L19" i="52"/>
  <c r="V25" i="45"/>
  <c r="K21" i="52"/>
  <c r="K24" i="39"/>
  <c r="K17" i="39"/>
  <c r="K16" i="39"/>
  <c r="H9" i="42"/>
  <c r="H25" i="51"/>
  <c r="H11" i="40"/>
  <c r="H5" i="51"/>
  <c r="H17" i="40"/>
  <c r="H9" i="40"/>
  <c r="I3" i="51"/>
  <c r="Q5" i="45"/>
  <c r="I21" i="40"/>
  <c r="I7" i="51"/>
  <c r="I8" i="51"/>
  <c r="F6" i="39"/>
  <c r="Q3" i="45"/>
  <c r="F5" i="52"/>
  <c r="Q4" i="45"/>
  <c r="J14" i="42"/>
  <c r="R8" i="45"/>
  <c r="L24" i="39"/>
  <c r="K20" i="52"/>
  <c r="I12" i="51"/>
  <c r="J21" i="51"/>
  <c r="L21" i="39"/>
  <c r="J10" i="42"/>
  <c r="L23" i="39"/>
  <c r="J17" i="51"/>
  <c r="J12" i="40"/>
  <c r="J13" i="42"/>
  <c r="J18" i="40"/>
  <c r="J3" i="51"/>
  <c r="J3" i="40"/>
  <c r="J15" i="51"/>
  <c r="J13" i="40"/>
  <c r="L15" i="52"/>
  <c r="J6" i="51"/>
  <c r="G4" i="39"/>
  <c r="J9" i="42"/>
  <c r="L23" i="52"/>
  <c r="J16" i="40"/>
  <c r="L15" i="43"/>
  <c r="L28" i="52"/>
  <c r="H19" i="48"/>
  <c r="J4" i="40"/>
  <c r="R9" i="45"/>
  <c r="J11" i="51"/>
  <c r="J14" i="40"/>
  <c r="K18" i="39"/>
  <c r="K19" i="43"/>
  <c r="K21" i="43"/>
  <c r="K20" i="43"/>
  <c r="K28" i="52"/>
  <c r="K19" i="39"/>
  <c r="H10" i="40"/>
  <c r="H19" i="40"/>
  <c r="H22" i="51"/>
  <c r="H20" i="51"/>
  <c r="H14" i="40"/>
  <c r="I3" i="42"/>
  <c r="I6" i="40"/>
  <c r="I5" i="40"/>
  <c r="I8" i="42"/>
  <c r="I12" i="42"/>
  <c r="I6" i="42"/>
  <c r="Q7" i="45"/>
  <c r="I6" i="51"/>
  <c r="I16" i="40"/>
  <c r="I13" i="51"/>
  <c r="L18" i="43"/>
  <c r="L20" i="43"/>
  <c r="K22" i="39"/>
  <c r="H13" i="51"/>
  <c r="I19" i="40"/>
  <c r="I27" i="51"/>
  <c r="I9" i="51"/>
  <c r="G6" i="39"/>
  <c r="L25" i="52"/>
  <c r="J23" i="51"/>
  <c r="G6" i="52"/>
  <c r="G5" i="52"/>
  <c r="L18" i="52"/>
  <c r="L17" i="39"/>
  <c r="L18" i="39"/>
  <c r="J21" i="40"/>
  <c r="G17" i="48"/>
  <c r="K18" i="52"/>
  <c r="K25" i="52"/>
  <c r="H5" i="42"/>
  <c r="K26" i="52"/>
  <c r="K15" i="39"/>
  <c r="K17" i="52"/>
  <c r="H5" i="40"/>
  <c r="H6" i="51"/>
  <c r="H8" i="40"/>
  <c r="H19" i="51"/>
  <c r="H24" i="51"/>
  <c r="I3" i="40"/>
  <c r="I11" i="51"/>
  <c r="I5" i="51"/>
  <c r="I24" i="51"/>
  <c r="I20" i="40"/>
  <c r="I14" i="42"/>
  <c r="I20" i="51"/>
  <c r="F7" i="43"/>
  <c r="I14" i="51"/>
  <c r="I17" i="51"/>
  <c r="J25" i="51"/>
  <c r="L24" i="52"/>
  <c r="H7" i="42"/>
  <c r="H6" i="40"/>
  <c r="I22" i="51"/>
  <c r="I10" i="51"/>
  <c r="F6" i="43"/>
  <c r="I13" i="42"/>
  <c r="G7" i="43"/>
  <c r="J20" i="51"/>
  <c r="R6" i="45"/>
  <c r="L17" i="43"/>
  <c r="L16" i="43"/>
  <c r="J8" i="42"/>
  <c r="G15" i="48"/>
  <c r="H10" i="42"/>
  <c r="K24" i="52"/>
  <c r="K15" i="43"/>
  <c r="K16" i="43"/>
  <c r="H12" i="42"/>
  <c r="K17" i="43"/>
  <c r="H18" i="51"/>
  <c r="H14" i="51"/>
  <c r="H15" i="51"/>
  <c r="H7" i="51"/>
  <c r="H21" i="51"/>
  <c r="I23" i="51"/>
  <c r="I13" i="40"/>
  <c r="I11" i="42"/>
  <c r="F5" i="43"/>
  <c r="I4" i="51"/>
  <c r="I21" i="51"/>
  <c r="I16" i="51"/>
  <c r="I4" i="40"/>
  <c r="I7" i="40"/>
  <c r="L20" i="39"/>
  <c r="J8" i="40"/>
  <c r="H14" i="42"/>
  <c r="H16" i="48"/>
  <c r="L21" i="43"/>
  <c r="J19" i="51"/>
  <c r="J3" i="42"/>
  <c r="G18" i="48"/>
  <c r="K16" i="52"/>
  <c r="K18" i="43"/>
  <c r="K23" i="52"/>
  <c r="K19" i="52"/>
  <c r="H13" i="42"/>
  <c r="H13" i="40"/>
  <c r="H15" i="40"/>
  <c r="H7" i="40"/>
  <c r="H11" i="51"/>
  <c r="H21" i="40"/>
  <c r="H20" i="40"/>
  <c r="F6" i="52"/>
  <c r="I25" i="51"/>
  <c r="I15" i="51"/>
  <c r="F7" i="52"/>
  <c r="I15" i="42"/>
  <c r="I15" i="40"/>
  <c r="Q8" i="45"/>
  <c r="F5" i="39"/>
  <c r="I14" i="40"/>
  <c r="I5" i="42"/>
  <c r="G5" i="39"/>
  <c r="K15" i="52"/>
  <c r="H26" i="51"/>
  <c r="J11" i="42"/>
  <c r="L30" i="52"/>
  <c r="G7" i="39"/>
  <c r="G5" i="43"/>
  <c r="J13" i="51"/>
  <c r="G7" i="52"/>
  <c r="J16" i="51"/>
  <c r="J24" i="51"/>
  <c r="L20" i="52"/>
  <c r="J15" i="40"/>
  <c r="J6" i="40"/>
  <c r="G16" i="48"/>
  <c r="H11" i="42"/>
  <c r="K27" i="52"/>
  <c r="K20" i="39"/>
  <c r="H8" i="42"/>
  <c r="K29" i="52"/>
  <c r="H17" i="51"/>
  <c r="H16" i="40"/>
  <c r="H16" i="51"/>
  <c r="H12" i="40"/>
  <c r="H10" i="51"/>
  <c r="H4" i="51"/>
  <c r="I9" i="42"/>
  <c r="I7" i="42"/>
  <c r="I8" i="40"/>
  <c r="I11" i="40"/>
  <c r="I26" i="51"/>
  <c r="Q6" i="45"/>
  <c r="F4" i="43"/>
  <c r="I18" i="40"/>
  <c r="I18" i="51"/>
  <c r="J19" i="40"/>
  <c r="J10" i="51"/>
  <c r="J7" i="40"/>
  <c r="K21" i="39"/>
  <c r="H23" i="51"/>
  <c r="F4" i="39"/>
  <c r="L27" i="52"/>
  <c r="G4" i="43"/>
  <c r="L29" i="52"/>
  <c r="J20" i="40"/>
  <c r="L19" i="39"/>
  <c r="J5" i="40"/>
  <c r="L16" i="39"/>
  <c r="G6" i="43"/>
  <c r="J27" i="51"/>
  <c r="L21" i="52"/>
  <c r="J6" i="42"/>
  <c r="R4" i="45"/>
  <c r="J12" i="42"/>
  <c r="J17" i="40"/>
  <c r="L19" i="43"/>
  <c r="J10" i="40"/>
  <c r="J15" i="42"/>
  <c r="J5" i="42"/>
  <c r="J18" i="51"/>
  <c r="J7" i="42"/>
  <c r="L22" i="39"/>
  <c r="G19" i="48"/>
  <c r="H4" i="42"/>
  <c r="K30" i="52"/>
  <c r="H6" i="42"/>
  <c r="K23" i="39"/>
  <c r="K22" i="52"/>
  <c r="H8" i="51"/>
  <c r="H9" i="51"/>
  <c r="H12" i="51"/>
  <c r="H27" i="51"/>
  <c r="H18" i="40"/>
  <c r="H4" i="40"/>
  <c r="I10" i="40"/>
  <c r="I12" i="40"/>
  <c r="I19" i="51"/>
  <c r="Q9" i="45"/>
  <c r="I10" i="42"/>
  <c r="F4" i="52"/>
  <c r="I9" i="40"/>
  <c r="I4" i="42"/>
  <c r="I17" i="40"/>
  <c r="R279" i="42"/>
  <c r="K17" i="40" l="1"/>
  <c r="P17" i="40" s="1"/>
  <c r="K4" i="42"/>
  <c r="L4" i="42" s="1"/>
  <c r="K9" i="40"/>
  <c r="P9" i="40" s="1"/>
  <c r="I4" i="52"/>
  <c r="K10" i="42"/>
  <c r="L10" i="42" s="1"/>
  <c r="S9" i="45"/>
  <c r="K19" i="51"/>
  <c r="P19" i="51" s="1"/>
  <c r="K12" i="40"/>
  <c r="L12" i="40" s="1"/>
  <c r="K10" i="40"/>
  <c r="L10" i="40" s="1"/>
  <c r="M4" i="40"/>
  <c r="M18" i="40"/>
  <c r="M27" i="51"/>
  <c r="M12" i="51"/>
  <c r="M9" i="51"/>
  <c r="M8" i="51"/>
  <c r="M22" i="52"/>
  <c r="M23" i="39"/>
  <c r="M30" i="52"/>
  <c r="P4" i="42"/>
  <c r="I19" i="48"/>
  <c r="I4" i="39"/>
  <c r="M23" i="51"/>
  <c r="M21" i="39"/>
  <c r="K18" i="51"/>
  <c r="P18" i="51" s="1"/>
  <c r="K18" i="40"/>
  <c r="L18" i="40" s="1"/>
  <c r="I4" i="43"/>
  <c r="S6" i="45"/>
  <c r="K26" i="51"/>
  <c r="P26" i="51" s="1"/>
  <c r="K11" i="40"/>
  <c r="L11" i="40" s="1"/>
  <c r="K8" i="40"/>
  <c r="P8" i="40" s="1"/>
  <c r="K7" i="42"/>
  <c r="L7" i="42" s="1"/>
  <c r="K9" i="42"/>
  <c r="P9" i="42" s="1"/>
  <c r="M4" i="51"/>
  <c r="M10" i="51"/>
  <c r="M12" i="40"/>
  <c r="M16" i="51"/>
  <c r="M16" i="40"/>
  <c r="M17" i="51"/>
  <c r="M29" i="52"/>
  <c r="M20" i="39"/>
  <c r="M27" i="52"/>
  <c r="I16" i="48"/>
  <c r="M26" i="51"/>
  <c r="M15" i="52"/>
  <c r="K5" i="42"/>
  <c r="L5" i="42" s="1"/>
  <c r="K14" i="40"/>
  <c r="L14" i="40" s="1"/>
  <c r="I5" i="39"/>
  <c r="S8" i="45"/>
  <c r="K15" i="40"/>
  <c r="L15" i="40" s="1"/>
  <c r="K15" i="42"/>
  <c r="L15" i="42" s="1"/>
  <c r="I7" i="52"/>
  <c r="K15" i="51"/>
  <c r="P15" i="51" s="1"/>
  <c r="K25" i="51"/>
  <c r="P25" i="51" s="1"/>
  <c r="I6" i="52"/>
  <c r="M20" i="40"/>
  <c r="M21" i="40"/>
  <c r="M11" i="51"/>
  <c r="M7" i="40"/>
  <c r="M15" i="40"/>
  <c r="M13" i="40"/>
  <c r="M19" i="52"/>
  <c r="M23" i="52"/>
  <c r="M18" i="43"/>
  <c r="M16" i="52"/>
  <c r="I18" i="48"/>
  <c r="K7" i="40"/>
  <c r="L7" i="40" s="1"/>
  <c r="K4" i="40"/>
  <c r="L4" i="40" s="1"/>
  <c r="K16" i="51"/>
  <c r="P16" i="51" s="1"/>
  <c r="K21" i="51"/>
  <c r="L21" i="51" s="1"/>
  <c r="K4" i="51"/>
  <c r="L4" i="51" s="1"/>
  <c r="I5" i="43"/>
  <c r="K11" i="42"/>
  <c r="L11" i="42" s="1"/>
  <c r="K13" i="40"/>
  <c r="L13" i="40" s="1"/>
  <c r="K23" i="51"/>
  <c r="P23" i="51" s="1"/>
  <c r="M21" i="51"/>
  <c r="M7" i="51"/>
  <c r="M15" i="51"/>
  <c r="M14" i="51"/>
  <c r="M18" i="51"/>
  <c r="M17" i="43"/>
  <c r="M16" i="43"/>
  <c r="M15" i="43"/>
  <c r="M24" i="52"/>
  <c r="I15" i="48"/>
  <c r="K13" i="42"/>
  <c r="L13" i="42" s="1"/>
  <c r="I6" i="43"/>
  <c r="K10" i="51"/>
  <c r="P10" i="51" s="1"/>
  <c r="K22" i="51"/>
  <c r="P22" i="51" s="1"/>
  <c r="M6" i="40"/>
  <c r="K17" i="51"/>
  <c r="L17" i="51" s="1"/>
  <c r="K14" i="51"/>
  <c r="P14" i="51" s="1"/>
  <c r="I7" i="43"/>
  <c r="K20" i="51"/>
  <c r="L20" i="51" s="1"/>
  <c r="K14" i="42"/>
  <c r="P14" i="42" s="1"/>
  <c r="K20" i="40"/>
  <c r="L20" i="40" s="1"/>
  <c r="K24" i="51"/>
  <c r="L24" i="51" s="1"/>
  <c r="K5" i="51"/>
  <c r="L5" i="51" s="1"/>
  <c r="K11" i="51"/>
  <c r="L11" i="51" s="1"/>
  <c r="K3" i="40"/>
  <c r="M24" i="51"/>
  <c r="M19" i="51"/>
  <c r="M8" i="40"/>
  <c r="M6" i="51"/>
  <c r="M5" i="40"/>
  <c r="M17" i="52"/>
  <c r="M15" i="39"/>
  <c r="M26" i="52"/>
  <c r="M25" i="52"/>
  <c r="M18" i="52"/>
  <c r="I17" i="48"/>
  <c r="K9" i="51"/>
  <c r="P9" i="51" s="1"/>
  <c r="K27" i="51"/>
  <c r="P27" i="51" s="1"/>
  <c r="K19" i="40"/>
  <c r="L19" i="40" s="1"/>
  <c r="M13" i="51"/>
  <c r="M22" i="39"/>
  <c r="K13" i="51"/>
  <c r="L13" i="51" s="1"/>
  <c r="K16" i="40"/>
  <c r="L16" i="40" s="1"/>
  <c r="K6" i="51"/>
  <c r="P6" i="51" s="1"/>
  <c r="S7" i="45"/>
  <c r="K6" i="42"/>
  <c r="L6" i="42" s="1"/>
  <c r="K12" i="42"/>
  <c r="L12" i="42" s="1"/>
  <c r="K8" i="42"/>
  <c r="L8" i="42" s="1"/>
  <c r="K5" i="40"/>
  <c r="P5" i="40" s="1"/>
  <c r="K6" i="40"/>
  <c r="P6" i="40" s="1"/>
  <c r="K3" i="42"/>
  <c r="M14" i="40"/>
  <c r="M20" i="51"/>
  <c r="M22" i="51"/>
  <c r="M19" i="40"/>
  <c r="P19" i="40"/>
  <c r="M10" i="40"/>
  <c r="P10" i="40"/>
  <c r="M19" i="39"/>
  <c r="M28" i="52"/>
  <c r="M20" i="43"/>
  <c r="M21" i="43"/>
  <c r="M19" i="43"/>
  <c r="M18" i="39"/>
  <c r="K12" i="51"/>
  <c r="P12" i="51" s="1"/>
  <c r="M20" i="52"/>
  <c r="S4" i="45"/>
  <c r="I5" i="52"/>
  <c r="S3" i="45"/>
  <c r="I6" i="39"/>
  <c r="K8" i="51"/>
  <c r="L8" i="51" s="1"/>
  <c r="K7" i="51"/>
  <c r="L7" i="51" s="1"/>
  <c r="K21" i="40"/>
  <c r="L21" i="40" s="1"/>
  <c r="S5" i="45"/>
  <c r="K3" i="51"/>
  <c r="M9" i="40"/>
  <c r="M17" i="40"/>
  <c r="L17" i="40"/>
  <c r="M5" i="51"/>
  <c r="M11" i="40"/>
  <c r="M25" i="51"/>
  <c r="M16" i="39"/>
  <c r="M17" i="39"/>
  <c r="M24" i="39"/>
  <c r="M21" i="52"/>
  <c r="I7" i="39"/>
  <c r="I3" i="39"/>
  <c r="I3" i="52"/>
  <c r="I3" i="43"/>
  <c r="AA5" i="39"/>
  <c r="AA4" i="39"/>
  <c r="AB5" i="39"/>
  <c r="AA3" i="39"/>
  <c r="AC4" i="39"/>
  <c r="AB3" i="39"/>
  <c r="AC3" i="39"/>
  <c r="AB4" i="39"/>
  <c r="AC5" i="39"/>
  <c r="AB10" i="52"/>
  <c r="AA9" i="52"/>
  <c r="AB9" i="52"/>
  <c r="AA10" i="52"/>
  <c r="AA10" i="43"/>
  <c r="AA9" i="43"/>
  <c r="AB10" i="43"/>
  <c r="AB9" i="43"/>
  <c r="AB9" i="39"/>
  <c r="AB10" i="39"/>
  <c r="AA9" i="39"/>
  <c r="AA10" i="39"/>
  <c r="AB4" i="52"/>
  <c r="AA4" i="52"/>
  <c r="AC4" i="52"/>
  <c r="AB3" i="52"/>
  <c r="AA3" i="52"/>
  <c r="AA5" i="52"/>
  <c r="AC5" i="52"/>
  <c r="AC3" i="52"/>
  <c r="AB5" i="52"/>
  <c r="Y5" i="48"/>
  <c r="X4" i="48"/>
  <c r="W4" i="48"/>
  <c r="Y4" i="48"/>
  <c r="W5" i="48"/>
  <c r="Y3" i="48"/>
  <c r="W3" i="48"/>
  <c r="X3" i="48"/>
  <c r="X5" i="48"/>
  <c r="R280" i="42"/>
  <c r="P7" i="40" l="1"/>
  <c r="L5" i="40"/>
  <c r="L9" i="40"/>
  <c r="P12" i="40"/>
  <c r="P8" i="42"/>
  <c r="L27" i="51"/>
  <c r="P6" i="42"/>
  <c r="P18" i="40"/>
  <c r="L26" i="51"/>
  <c r="P11" i="51"/>
  <c r="L16" i="51"/>
  <c r="L23" i="51"/>
  <c r="P7" i="51"/>
  <c r="P12" i="42"/>
  <c r="P15" i="42"/>
  <c r="P5" i="51"/>
  <c r="P24" i="51"/>
  <c r="P14" i="40"/>
  <c r="P3" i="42"/>
  <c r="J3" i="43" s="1"/>
  <c r="L3" i="42"/>
  <c r="L6" i="51"/>
  <c r="L3" i="40"/>
  <c r="P3" i="40"/>
  <c r="J3" i="39" s="1"/>
  <c r="L18" i="51"/>
  <c r="P21" i="51"/>
  <c r="P8" i="51"/>
  <c r="L9" i="42"/>
  <c r="L22" i="51"/>
  <c r="P13" i="42"/>
  <c r="P17" i="51"/>
  <c r="L10" i="51"/>
  <c r="L25" i="51"/>
  <c r="P13" i="51"/>
  <c r="P5" i="42"/>
  <c r="L8" i="40"/>
  <c r="P7" i="42"/>
  <c r="P10" i="42"/>
  <c r="L14" i="51"/>
  <c r="P13" i="40"/>
  <c r="P21" i="40"/>
  <c r="L9" i="51"/>
  <c r="P4" i="40"/>
  <c r="L6" i="40"/>
  <c r="L14" i="42"/>
  <c r="P16" i="40"/>
  <c r="P4" i="51"/>
  <c r="P20" i="51"/>
  <c r="P11" i="40"/>
  <c r="P3" i="51"/>
  <c r="J3" i="52" s="1"/>
  <c r="L3" i="51"/>
  <c r="L19" i="51"/>
  <c r="L15" i="51"/>
  <c r="P15" i="40"/>
  <c r="P20" i="40"/>
  <c r="P11" i="42"/>
  <c r="L12" i="51"/>
  <c r="N1" i="51"/>
  <c r="N1" i="40"/>
  <c r="R281" i="42"/>
  <c r="N9" i="51"/>
  <c r="S84" i="51"/>
  <c r="S257" i="51"/>
  <c r="S5" i="51"/>
  <c r="S97" i="51"/>
  <c r="S7" i="51"/>
  <c r="S162" i="51"/>
  <c r="S239" i="51"/>
  <c r="S109" i="51"/>
  <c r="N15" i="51"/>
  <c r="S39" i="51"/>
  <c r="S103" i="51"/>
  <c r="S231" i="51"/>
  <c r="S232" i="51"/>
  <c r="S81" i="51"/>
  <c r="S145" i="51"/>
  <c r="S197" i="51"/>
  <c r="S77" i="51"/>
  <c r="S267" i="51"/>
  <c r="S193" i="51"/>
  <c r="S177" i="51"/>
  <c r="S71" i="51"/>
  <c r="N5" i="51"/>
  <c r="S18" i="51"/>
  <c r="S235" i="51"/>
  <c r="S106" i="51"/>
  <c r="S256" i="51"/>
  <c r="S28" i="51"/>
  <c r="S260" i="51"/>
  <c r="S72" i="51"/>
  <c r="S245" i="51"/>
  <c r="S250" i="51"/>
  <c r="S203" i="51"/>
  <c r="N17" i="51"/>
  <c r="S140" i="51"/>
  <c r="S43" i="51"/>
  <c r="S31" i="51"/>
  <c r="S226" i="51"/>
  <c r="S55" i="51"/>
  <c r="S51" i="51"/>
  <c r="N14" i="51"/>
  <c r="S137" i="51"/>
  <c r="S180" i="51"/>
  <c r="S16" i="51"/>
  <c r="S261" i="51"/>
  <c r="S209" i="51"/>
  <c r="S3" i="51"/>
  <c r="S75" i="51"/>
  <c r="S265" i="51"/>
  <c r="S128" i="51"/>
  <c r="S37" i="51"/>
  <c r="S14" i="51"/>
  <c r="S221" i="51"/>
  <c r="S20" i="51"/>
  <c r="S254" i="51"/>
  <c r="S253" i="51"/>
  <c r="S171" i="51"/>
  <c r="S194" i="51"/>
  <c r="N26" i="51"/>
  <c r="S216" i="51"/>
  <c r="S70" i="51"/>
  <c r="S242" i="51"/>
  <c r="S114" i="51"/>
  <c r="S240" i="51"/>
  <c r="S252" i="51"/>
  <c r="S246" i="51"/>
  <c r="N4" i="51"/>
  <c r="S108" i="51"/>
  <c r="S154" i="51"/>
  <c r="S198" i="51"/>
  <c r="S33" i="51"/>
  <c r="S157" i="51"/>
  <c r="S248" i="51"/>
  <c r="S234" i="51"/>
  <c r="S143" i="51"/>
  <c r="S262" i="51"/>
  <c r="S113" i="51"/>
  <c r="S255" i="51"/>
  <c r="S170" i="51"/>
  <c r="S204" i="51"/>
  <c r="S107" i="51"/>
  <c r="S110" i="51"/>
  <c r="S68" i="51"/>
  <c r="S151" i="51"/>
  <c r="S158" i="51"/>
  <c r="S22" i="51"/>
  <c r="S146" i="51"/>
  <c r="S36" i="51"/>
  <c r="S122" i="51"/>
  <c r="S99" i="51"/>
  <c r="S57" i="51"/>
  <c r="S63" i="51"/>
  <c r="S91" i="51"/>
  <c r="S259" i="51"/>
  <c r="N18" i="51"/>
  <c r="S223" i="51"/>
  <c r="S92" i="51"/>
  <c r="S129" i="51"/>
  <c r="S10" i="51"/>
  <c r="S195" i="51"/>
  <c r="S58" i="51"/>
  <c r="S117" i="51"/>
  <c r="S8" i="51"/>
  <c r="S49" i="51"/>
  <c r="N10" i="51"/>
  <c r="S101" i="51"/>
  <c r="S132" i="51"/>
  <c r="S112" i="51"/>
  <c r="S85" i="51"/>
  <c r="S236" i="51"/>
  <c r="S9" i="51"/>
  <c r="S62" i="51"/>
  <c r="S67" i="51"/>
  <c r="S205" i="51"/>
  <c r="S163" i="51"/>
  <c r="S184" i="51"/>
  <c r="S90" i="51"/>
  <c r="S212" i="51"/>
  <c r="S104" i="51"/>
  <c r="S187" i="51"/>
  <c r="S73" i="51"/>
  <c r="N12" i="51"/>
  <c r="S166" i="51"/>
  <c r="S56" i="51"/>
  <c r="S142" i="51"/>
  <c r="S121" i="51"/>
  <c r="S201" i="51"/>
  <c r="S116" i="51"/>
  <c r="S224" i="51"/>
  <c r="S61" i="51"/>
  <c r="S59" i="51"/>
  <c r="S40" i="51"/>
  <c r="S48" i="51"/>
  <c r="S179" i="51"/>
  <c r="S50" i="51"/>
  <c r="S105" i="51"/>
  <c r="S220" i="51"/>
  <c r="S144" i="51"/>
  <c r="S230" i="51"/>
  <c r="S176" i="51"/>
  <c r="S190" i="51"/>
  <c r="S192" i="51"/>
  <c r="S213" i="51"/>
  <c r="S38" i="51"/>
  <c r="S211" i="51"/>
  <c r="S131" i="51"/>
  <c r="S46" i="51"/>
  <c r="S119" i="51"/>
  <c r="S141" i="51"/>
  <c r="S88" i="51"/>
  <c r="S167" i="51"/>
  <c r="S218" i="51"/>
  <c r="S153" i="51"/>
  <c r="N25" i="51"/>
  <c r="N7" i="51"/>
  <c r="S79" i="51"/>
  <c r="S126" i="51"/>
  <c r="S23" i="51"/>
  <c r="S135" i="51"/>
  <c r="S136" i="51"/>
  <c r="S89" i="51"/>
  <c r="S150" i="51"/>
  <c r="S82" i="51"/>
  <c r="S206" i="51"/>
  <c r="S264" i="51"/>
  <c r="S238" i="51"/>
  <c r="S185" i="51"/>
  <c r="S74" i="51"/>
  <c r="S168" i="51"/>
  <c r="S98" i="51"/>
  <c r="S243" i="51"/>
  <c r="S249" i="51"/>
  <c r="S83" i="51"/>
  <c r="S202" i="51"/>
  <c r="S95" i="51"/>
  <c r="S4" i="51"/>
  <c r="S13" i="51"/>
  <c r="S165" i="51"/>
  <c r="N20" i="51"/>
  <c r="S148" i="51"/>
  <c r="S45" i="51"/>
  <c r="N21" i="51"/>
  <c r="S47" i="51"/>
  <c r="S21" i="51"/>
  <c r="J7" i="52"/>
  <c r="S127" i="51"/>
  <c r="S263" i="51"/>
  <c r="S25" i="51"/>
  <c r="S120" i="51"/>
  <c r="S159" i="51"/>
  <c r="S78" i="51"/>
  <c r="S214" i="51"/>
  <c r="S147" i="51"/>
  <c r="S134" i="51"/>
  <c r="N16" i="51"/>
  <c r="S30" i="51"/>
  <c r="S174" i="51"/>
  <c r="S96" i="51"/>
  <c r="S44" i="51"/>
  <c r="S188" i="51"/>
  <c r="S118" i="51"/>
  <c r="S175" i="51"/>
  <c r="S111" i="51"/>
  <c r="S93" i="51"/>
  <c r="N8" i="51"/>
  <c r="S123" i="51"/>
  <c r="S161" i="51"/>
  <c r="N6" i="51"/>
  <c r="S54" i="51"/>
  <c r="S181" i="51"/>
  <c r="S152" i="51"/>
  <c r="S29" i="51"/>
  <c r="S228" i="51"/>
  <c r="S100" i="51"/>
  <c r="S26" i="51"/>
  <c r="S237" i="51"/>
  <c r="S19" i="51"/>
  <c r="S196" i="51"/>
  <c r="S251" i="51"/>
  <c r="S241" i="51"/>
  <c r="S155" i="51"/>
  <c r="N11" i="51"/>
  <c r="S12" i="51"/>
  <c r="S32" i="51"/>
  <c r="N24" i="51"/>
  <c r="J6" i="52"/>
  <c r="S258" i="51"/>
  <c r="S15" i="51"/>
  <c r="S24" i="51"/>
  <c r="S219" i="51"/>
  <c r="S133" i="51"/>
  <c r="N19" i="51"/>
  <c r="S164" i="51"/>
  <c r="S42" i="51"/>
  <c r="S60" i="51"/>
  <c r="J5" i="52"/>
  <c r="S69" i="51"/>
  <c r="S208" i="51"/>
  <c r="S247" i="51"/>
  <c r="N22" i="51"/>
  <c r="S35" i="51"/>
  <c r="S172" i="51"/>
  <c r="S200" i="51"/>
  <c r="N13" i="51"/>
  <c r="S102" i="51"/>
  <c r="S64" i="51"/>
  <c r="S210" i="51"/>
  <c r="S76" i="51"/>
  <c r="S233" i="51"/>
  <c r="S86" i="51"/>
  <c r="S156" i="51"/>
  <c r="S130" i="51"/>
  <c r="S215" i="51"/>
  <c r="S173" i="51"/>
  <c r="S178" i="51"/>
  <c r="S52" i="51"/>
  <c r="S94" i="51"/>
  <c r="S217" i="51"/>
  <c r="S11" i="51"/>
  <c r="S266" i="51"/>
  <c r="S66" i="51"/>
  <c r="S169" i="51"/>
  <c r="S225" i="51"/>
  <c r="S27" i="51"/>
  <c r="S6" i="51"/>
  <c r="S191" i="51"/>
  <c r="N3" i="51"/>
  <c r="S149" i="51"/>
  <c r="S186" i="51"/>
  <c r="S183" i="51"/>
  <c r="S87" i="51"/>
  <c r="S199" i="51"/>
  <c r="S53" i="51"/>
  <c r="S80" i="51"/>
  <c r="S139" i="51"/>
  <c r="J4" i="52"/>
  <c r="S182" i="51"/>
  <c r="S41" i="51"/>
  <c r="S160" i="51"/>
  <c r="N23" i="51"/>
  <c r="S124" i="51"/>
  <c r="S17" i="51"/>
  <c r="S138" i="51"/>
  <c r="S207" i="51"/>
  <c r="S115" i="51"/>
  <c r="S244" i="51"/>
  <c r="S229" i="51"/>
  <c r="S65" i="51"/>
  <c r="S125" i="51"/>
  <c r="S34" i="51"/>
  <c r="S222" i="51"/>
  <c r="S189" i="51"/>
  <c r="S227" i="51"/>
  <c r="N27" i="51"/>
  <c r="S6" i="40"/>
  <c r="S26" i="40"/>
  <c r="S189" i="40"/>
  <c r="S77" i="40"/>
  <c r="S35" i="40"/>
  <c r="S186" i="40"/>
  <c r="S31" i="40"/>
  <c r="S192" i="40"/>
  <c r="S71" i="40"/>
  <c r="S65" i="40"/>
  <c r="S202" i="40"/>
  <c r="S152" i="40"/>
  <c r="S104" i="40"/>
  <c r="S260" i="40"/>
  <c r="S230" i="40"/>
  <c r="S80" i="40"/>
  <c r="S45" i="40"/>
  <c r="S67" i="40"/>
  <c r="S151" i="40"/>
  <c r="S76" i="40"/>
  <c r="S136" i="40"/>
  <c r="S19" i="40"/>
  <c r="S92" i="40"/>
  <c r="S245" i="40"/>
  <c r="S96" i="40"/>
  <c r="S197" i="40"/>
  <c r="S139" i="40"/>
  <c r="S32" i="40"/>
  <c r="S157" i="40"/>
  <c r="S253" i="40"/>
  <c r="S49" i="40"/>
  <c r="S239" i="40"/>
  <c r="S206" i="40"/>
  <c r="S156" i="40"/>
  <c r="S221" i="40"/>
  <c r="S15" i="40"/>
  <c r="S33" i="40"/>
  <c r="S13" i="40"/>
  <c r="S40" i="40"/>
  <c r="S43" i="40"/>
  <c r="S97" i="40"/>
  <c r="S138" i="40"/>
  <c r="S90" i="40"/>
  <c r="S210" i="40"/>
  <c r="S41" i="40"/>
  <c r="S226" i="40"/>
  <c r="S242" i="40"/>
  <c r="S46" i="40"/>
  <c r="S63" i="40"/>
  <c r="S199" i="40"/>
  <c r="S129" i="40"/>
  <c r="S246" i="40"/>
  <c r="S261" i="40"/>
  <c r="S232" i="40"/>
  <c r="S212" i="40"/>
  <c r="N16" i="40"/>
  <c r="N18" i="40"/>
  <c r="S124" i="40"/>
  <c r="J7" i="39"/>
  <c r="S117" i="40"/>
  <c r="S114" i="40"/>
  <c r="S255" i="40"/>
  <c r="S24" i="40"/>
  <c r="S166" i="40"/>
  <c r="S237" i="40"/>
  <c r="S251" i="40"/>
  <c r="S164" i="40"/>
  <c r="S167" i="40"/>
  <c r="S21" i="40"/>
  <c r="S113" i="40"/>
  <c r="S116" i="40"/>
  <c r="S141" i="40"/>
  <c r="S236" i="40"/>
  <c r="S169" i="40"/>
  <c r="S137" i="40"/>
  <c r="S244" i="40"/>
  <c r="S254" i="40"/>
  <c r="S229" i="40"/>
  <c r="S205" i="40"/>
  <c r="S37" i="40"/>
  <c r="N10" i="40"/>
  <c r="S59" i="40"/>
  <c r="S227" i="40"/>
  <c r="S240" i="40"/>
  <c r="N5" i="40"/>
  <c r="S110" i="40"/>
  <c r="S173" i="40"/>
  <c r="S191" i="40"/>
  <c r="S224" i="40"/>
  <c r="S70" i="40"/>
  <c r="S228" i="40"/>
  <c r="S16" i="40"/>
  <c r="S51" i="40"/>
  <c r="S257" i="40"/>
  <c r="S9" i="40"/>
  <c r="S47" i="40"/>
  <c r="S53" i="40"/>
  <c r="S184" i="40"/>
  <c r="S42" i="40"/>
  <c r="S198" i="40"/>
  <c r="S5" i="40"/>
  <c r="S30" i="40"/>
  <c r="S27" i="40"/>
  <c r="S176" i="40"/>
  <c r="S126" i="40"/>
  <c r="S55" i="40"/>
  <c r="N8" i="40"/>
  <c r="S10" i="40"/>
  <c r="S18" i="40"/>
  <c r="S121" i="40"/>
  <c r="S243" i="40"/>
  <c r="S78" i="40"/>
  <c r="S93" i="40"/>
  <c r="S50" i="40"/>
  <c r="S213" i="40"/>
  <c r="S86" i="40"/>
  <c r="S175" i="40"/>
  <c r="S196" i="40"/>
  <c r="S64" i="40"/>
  <c r="S72" i="40"/>
  <c r="S94" i="40"/>
  <c r="S132" i="40"/>
  <c r="S56" i="40"/>
  <c r="S122" i="40"/>
  <c r="S88" i="40"/>
  <c r="S81" i="40"/>
  <c r="N12" i="40"/>
  <c r="S100" i="40"/>
  <c r="S4" i="40"/>
  <c r="S238" i="40"/>
  <c r="S158" i="40"/>
  <c r="S183" i="40"/>
  <c r="S256" i="40"/>
  <c r="S48" i="40"/>
  <c r="S29" i="40"/>
  <c r="S181" i="40"/>
  <c r="S208" i="40"/>
  <c r="S83" i="40"/>
  <c r="S8" i="40"/>
  <c r="N13" i="40"/>
  <c r="N14" i="40"/>
  <c r="S73" i="40"/>
  <c r="S101" i="40"/>
  <c r="S148" i="40"/>
  <c r="S195" i="40"/>
  <c r="S159" i="40"/>
  <c r="S180" i="40"/>
  <c r="S91" i="40"/>
  <c r="S235" i="40"/>
  <c r="S162" i="40"/>
  <c r="S118" i="40"/>
  <c r="S44" i="40"/>
  <c r="S123" i="40"/>
  <c r="S194" i="40"/>
  <c r="S203" i="40"/>
  <c r="S99" i="40"/>
  <c r="S225" i="40"/>
  <c r="J6" i="39"/>
  <c r="S209" i="40"/>
  <c r="S262" i="40"/>
  <c r="S7" i="40"/>
  <c r="S259" i="40"/>
  <c r="S174" i="40"/>
  <c r="S219" i="40"/>
  <c r="S223" i="40"/>
  <c r="S214" i="40"/>
  <c r="S222" i="40"/>
  <c r="S125" i="40"/>
  <c r="S145" i="40"/>
  <c r="S250" i="40"/>
  <c r="S233" i="40"/>
  <c r="S28" i="40"/>
  <c r="S170" i="40"/>
  <c r="S204" i="40"/>
  <c r="S85" i="40"/>
  <c r="S252" i="40"/>
  <c r="S217" i="40"/>
  <c r="S172" i="40"/>
  <c r="S14" i="40"/>
  <c r="S58" i="40"/>
  <c r="S216" i="40"/>
  <c r="S108" i="40"/>
  <c r="S119" i="40"/>
  <c r="N4" i="40"/>
  <c r="N21" i="40"/>
  <c r="S84" i="40"/>
  <c r="S120" i="40"/>
  <c r="S128" i="40"/>
  <c r="S171" i="40"/>
  <c r="S131" i="40"/>
  <c r="S103" i="40"/>
  <c r="S147" i="40"/>
  <c r="N15" i="40"/>
  <c r="N19" i="40"/>
  <c r="S3" i="40"/>
  <c r="S87" i="40"/>
  <c r="S154" i="40"/>
  <c r="S146" i="40"/>
  <c r="S135" i="40"/>
  <c r="S207" i="40"/>
  <c r="S211" i="40"/>
  <c r="S25" i="40"/>
  <c r="S201" i="40"/>
  <c r="S193" i="40"/>
  <c r="S98" i="40"/>
  <c r="S247" i="40"/>
  <c r="S127" i="40"/>
  <c r="S161" i="40"/>
  <c r="J4" i="39"/>
  <c r="S150" i="40"/>
  <c r="S200" i="40"/>
  <c r="S160" i="40"/>
  <c r="S130" i="40"/>
  <c r="S215" i="40"/>
  <c r="S57" i="40"/>
  <c r="J5" i="39"/>
  <c r="N11" i="40"/>
  <c r="S79" i="40"/>
  <c r="S107" i="40"/>
  <c r="S60" i="40"/>
  <c r="S66" i="40"/>
  <c r="S144" i="40"/>
  <c r="S17" i="40"/>
  <c r="N17" i="40"/>
  <c r="S133" i="40"/>
  <c r="S220" i="40"/>
  <c r="S153" i="40"/>
  <c r="S39" i="40"/>
  <c r="N20" i="40"/>
  <c r="S149" i="40"/>
  <c r="S142" i="40"/>
  <c r="S190" i="40"/>
  <c r="S74" i="40"/>
  <c r="S163" i="40"/>
  <c r="S248" i="40"/>
  <c r="S75" i="40"/>
  <c r="S82" i="40"/>
  <c r="S38" i="40"/>
  <c r="S115" i="40"/>
  <c r="S22" i="40"/>
  <c r="S241" i="40"/>
  <c r="S112" i="40"/>
  <c r="S109" i="40"/>
  <c r="S177" i="40"/>
  <c r="S111" i="40"/>
  <c r="S249" i="40"/>
  <c r="S234" i="40"/>
  <c r="S36" i="40"/>
  <c r="S11" i="40"/>
  <c r="N9" i="40"/>
  <c r="N6" i="40"/>
  <c r="S143" i="40"/>
  <c r="S155" i="40"/>
  <c r="S34" i="40"/>
  <c r="S218" i="40"/>
  <c r="S54" i="40"/>
  <c r="S185" i="40"/>
  <c r="S188" i="40"/>
  <c r="S95" i="40"/>
  <c r="N3" i="40"/>
  <c r="S140" i="40"/>
  <c r="S105" i="40"/>
  <c r="S231" i="40"/>
  <c r="S89" i="40"/>
  <c r="S106" i="40"/>
  <c r="S165" i="40"/>
  <c r="S182" i="40"/>
  <c r="S258" i="40"/>
  <c r="S61" i="40"/>
  <c r="S168" i="40"/>
  <c r="S68" i="40"/>
  <c r="S179" i="40"/>
  <c r="S62" i="40"/>
  <c r="S52" i="40"/>
  <c r="S12" i="40"/>
  <c r="S23" i="40"/>
  <c r="S20" i="40"/>
  <c r="S69" i="40"/>
  <c r="S187" i="40"/>
  <c r="S102" i="40"/>
  <c r="S134" i="40"/>
  <c r="N7" i="40"/>
  <c r="S178" i="40"/>
  <c r="O7" i="40" l="1"/>
  <c r="O9" i="40"/>
  <c r="O20" i="40"/>
  <c r="O17" i="40"/>
  <c r="O11" i="40"/>
  <c r="O19" i="40"/>
  <c r="O15" i="40"/>
  <c r="O21" i="40"/>
  <c r="O4" i="40"/>
  <c r="O14" i="40"/>
  <c r="O13" i="40"/>
  <c r="O12" i="40"/>
  <c r="O5" i="40"/>
  <c r="O10" i="40"/>
  <c r="O18" i="40"/>
  <c r="O16" i="40"/>
  <c r="O27" i="51"/>
  <c r="O23" i="51"/>
  <c r="O13" i="51"/>
  <c r="O24" i="51"/>
  <c r="O11" i="51"/>
  <c r="O8" i="51"/>
  <c r="O16" i="51"/>
  <c r="O21" i="51"/>
  <c r="O20" i="51"/>
  <c r="O7" i="51"/>
  <c r="O4" i="51"/>
  <c r="O26" i="51"/>
  <c r="O17" i="51"/>
  <c r="O5" i="51"/>
  <c r="O22" i="51"/>
  <c r="O14" i="51"/>
  <c r="O15" i="51"/>
  <c r="O10" i="51"/>
  <c r="O8" i="40"/>
  <c r="O6" i="51"/>
  <c r="O12" i="51"/>
  <c r="O6" i="40"/>
  <c r="O18" i="51"/>
  <c r="O25" i="51"/>
  <c r="O9" i="51"/>
  <c r="O3" i="40"/>
  <c r="O19" i="51"/>
  <c r="O3" i="51"/>
  <c r="R282" i="42"/>
  <c r="R283" i="42"/>
  <c r="R284" i="42"/>
  <c r="R285" i="42"/>
  <c r="R286" i="42"/>
  <c r="R287" i="42"/>
  <c r="R288" i="42"/>
  <c r="R289" i="42"/>
  <c r="Y13" i="39" a="1"/>
  <c r="Y13" i="39"/>
  <c r="W13" i="39"/>
  <c r="Y13" i="52" a="1"/>
  <c r="Y13" i="52"/>
  <c r="W13" i="52" s="1"/>
  <c r="AH18" i="52" s="1"/>
  <c r="AH103" i="39"/>
  <c r="AH26" i="39"/>
  <c r="AH122" i="39"/>
  <c r="AH10" i="39"/>
  <c r="AH98" i="39"/>
  <c r="AH100" i="39"/>
  <c r="AH89" i="39"/>
  <c r="AH38" i="39"/>
  <c r="AH5" i="39"/>
  <c r="AH108" i="39"/>
  <c r="AH68" i="39"/>
  <c r="AH119" i="39"/>
  <c r="AH31" i="39"/>
  <c r="AH95" i="39"/>
  <c r="AH128" i="39"/>
  <c r="AH64" i="39"/>
  <c r="AH16" i="39"/>
  <c r="AH91" i="39"/>
  <c r="AH33" i="39"/>
  <c r="AH107" i="39"/>
  <c r="AH113" i="39"/>
  <c r="AH72" i="39"/>
  <c r="AH59" i="39"/>
  <c r="AH94" i="39"/>
  <c r="AH32" i="39"/>
  <c r="AH105" i="39"/>
  <c r="AH39" i="39"/>
  <c r="AH63" i="39"/>
  <c r="AH79" i="39"/>
  <c r="AH45" i="39"/>
  <c r="AH118" i="39"/>
  <c r="AH4" i="39"/>
  <c r="AH28" i="39"/>
  <c r="AH71" i="39"/>
  <c r="AH55" i="39"/>
  <c r="AH127" i="39"/>
  <c r="AH83" i="39"/>
  <c r="AH65" i="39"/>
  <c r="AH99" i="39"/>
  <c r="AH51" i="39"/>
  <c r="AH40" i="39"/>
  <c r="AH11" i="39"/>
  <c r="AH47" i="39"/>
  <c r="AH102" i="39"/>
  <c r="AH120" i="39"/>
  <c r="AH115" i="39"/>
  <c r="AH110" i="39"/>
  <c r="AH129" i="39"/>
  <c r="AH78" i="39"/>
  <c r="AH19" i="39"/>
  <c r="AH70" i="39"/>
  <c r="AH56" i="39"/>
  <c r="AH6" i="39"/>
  <c r="AH101" i="39"/>
  <c r="AH112" i="39"/>
  <c r="AH7" i="39"/>
  <c r="AH44" i="39"/>
  <c r="AH21" i="39"/>
  <c r="AH125" i="39"/>
  <c r="AH114" i="39"/>
  <c r="AH48" i="39"/>
  <c r="AH86" i="39"/>
  <c r="AH130" i="39"/>
  <c r="AH50" i="39"/>
  <c r="AH20" i="39"/>
  <c r="AH90" i="39"/>
  <c r="AH42" i="39"/>
  <c r="AH22" i="39"/>
  <c r="AH23" i="39"/>
  <c r="AH96" i="39"/>
  <c r="AH24" i="39"/>
  <c r="AH8" i="39"/>
  <c r="AH43" i="39"/>
  <c r="AH25" i="39"/>
  <c r="AH131" i="39"/>
  <c r="AH75" i="39"/>
  <c r="AH82" i="39"/>
  <c r="AH123" i="39"/>
  <c r="AH111" i="39"/>
  <c r="AH35" i="39"/>
  <c r="AH34" i="39"/>
  <c r="AH92" i="39"/>
  <c r="AH61" i="39"/>
  <c r="AH74" i="39"/>
  <c r="AH29" i="39"/>
  <c r="AH67" i="39"/>
  <c r="AH15" i="39"/>
  <c r="AH30" i="39"/>
  <c r="AH87" i="39"/>
  <c r="AH121" i="39"/>
  <c r="AH104" i="39"/>
  <c r="AH132" i="39"/>
  <c r="AH17" i="39"/>
  <c r="AH73" i="39"/>
  <c r="AH109" i="39"/>
  <c r="AH36" i="39"/>
  <c r="AH76" i="39"/>
  <c r="AH53" i="39"/>
  <c r="AH58" i="39"/>
  <c r="AH13" i="39"/>
  <c r="AH85" i="39"/>
  <c r="AH117" i="39"/>
  <c r="AH116" i="39"/>
  <c r="AH66" i="39"/>
  <c r="AH3" i="39"/>
  <c r="AH69" i="39"/>
  <c r="AH37" i="39"/>
  <c r="AH46" i="39"/>
  <c r="AH57" i="39"/>
  <c r="AH52" i="39"/>
  <c r="AH14" i="39"/>
  <c r="AH27" i="39"/>
  <c r="AH93" i="39"/>
  <c r="AH124" i="39"/>
  <c r="AH126" i="39"/>
  <c r="AH81" i="39"/>
  <c r="AH80" i="39"/>
  <c r="AH88" i="39"/>
  <c r="AH12" i="39"/>
  <c r="AH60" i="39"/>
  <c r="AH41" i="39"/>
  <c r="AH106" i="39"/>
  <c r="AH54" i="39"/>
  <c r="AH18" i="39"/>
  <c r="AH77" i="39"/>
  <c r="AH62" i="39"/>
  <c r="AH9" i="39"/>
  <c r="AH84" i="39"/>
  <c r="AH49" i="39"/>
  <c r="AH97" i="39"/>
  <c r="AH134" i="52"/>
  <c r="AH43" i="52"/>
  <c r="AH148" i="52"/>
  <c r="AH133" i="52"/>
  <c r="AH233" i="52"/>
  <c r="AH96" i="52"/>
  <c r="AH212" i="52"/>
  <c r="AH121" i="52"/>
  <c r="AH193" i="52"/>
  <c r="AH14" i="52"/>
  <c r="AH22" i="52"/>
  <c r="AH179" i="52"/>
  <c r="AH189" i="52"/>
  <c r="AH124" i="52"/>
  <c r="AH141" i="52"/>
  <c r="AH142" i="52"/>
  <c r="AH113" i="52"/>
  <c r="AH154" i="52"/>
  <c r="AH178" i="52"/>
  <c r="AH31" i="52"/>
  <c r="AH36" i="52"/>
  <c r="AH222" i="52"/>
  <c r="AH116" i="52"/>
  <c r="AH20" i="52"/>
  <c r="AH236" i="52"/>
  <c r="AH80" i="52"/>
  <c r="AH160" i="52"/>
  <c r="AH117" i="52"/>
  <c r="AH202" i="52"/>
  <c r="AH152" i="52"/>
  <c r="AH186" i="52"/>
  <c r="AH59" i="52"/>
  <c r="AH7" i="52"/>
  <c r="AH78" i="52"/>
  <c r="AH227" i="52"/>
  <c r="AH153" i="52"/>
  <c r="AH81" i="52"/>
  <c r="AH29" i="52"/>
  <c r="AH248" i="52"/>
  <c r="AH32" i="52"/>
  <c r="AH175" i="52"/>
  <c r="AH23" i="52"/>
  <c r="AH216" i="52"/>
  <c r="AH130" i="52"/>
  <c r="AH48" i="52"/>
  <c r="AH68" i="52"/>
  <c r="AH93" i="52"/>
  <c r="AH53" i="52"/>
  <c r="AH170" i="52"/>
  <c r="AH135" i="52"/>
  <c r="AH143" i="52"/>
  <c r="AH73" i="52"/>
  <c r="AH136" i="52"/>
  <c r="AH3" i="52"/>
  <c r="AH52" i="52"/>
  <c r="AH165" i="52"/>
  <c r="AH13" i="52"/>
  <c r="AH210" i="52"/>
  <c r="AH169" i="52"/>
  <c r="AH249" i="52"/>
  <c r="AH176" i="52"/>
  <c r="AH51" i="52"/>
  <c r="AH151" i="52"/>
  <c r="AH172" i="52"/>
  <c r="AH58" i="52"/>
  <c r="AH158" i="52"/>
  <c r="AH107" i="52"/>
  <c r="AH229" i="52"/>
  <c r="AH41" i="52"/>
  <c r="AH28" i="52"/>
  <c r="AH208" i="52"/>
  <c r="AH34" i="52"/>
  <c r="AH19" i="52"/>
  <c r="AH231" i="52"/>
  <c r="AH104" i="52"/>
  <c r="AH71" i="52"/>
  <c r="AH94" i="52"/>
  <c r="AH12" i="52"/>
  <c r="AH220" i="52"/>
  <c r="AH126" i="52"/>
  <c r="AH146" i="52"/>
  <c r="AH245" i="52"/>
  <c r="AH168" i="52"/>
  <c r="AH88" i="52"/>
  <c r="AH47" i="52"/>
  <c r="AH214" i="52"/>
  <c r="AH228" i="52"/>
  <c r="AH197" i="52"/>
  <c r="AH40" i="52"/>
  <c r="M13" i="45" a="1"/>
  <c r="AH15" i="52" l="1"/>
  <c r="AH50" i="52"/>
  <c r="AH21" i="52"/>
  <c r="AH240" i="52"/>
  <c r="AH84" i="52"/>
  <c r="AH87" i="52"/>
  <c r="AH225" i="52"/>
  <c r="AH185" i="52"/>
  <c r="AH253" i="52"/>
  <c r="AH166" i="52"/>
  <c r="AH131" i="52"/>
  <c r="AH69" i="52"/>
  <c r="AH194" i="52"/>
  <c r="AH33" i="52"/>
  <c r="AH196" i="52"/>
  <c r="AH198" i="52"/>
  <c r="AH45" i="52"/>
  <c r="AH16" i="52"/>
  <c r="AH250" i="52"/>
  <c r="AH159" i="52"/>
  <c r="AH125" i="52"/>
  <c r="AH17" i="52"/>
  <c r="AH103" i="52"/>
  <c r="AH173" i="52"/>
  <c r="AH109" i="52"/>
  <c r="AH188" i="52"/>
  <c r="AH251" i="52"/>
  <c r="AH100" i="52"/>
  <c r="AH211" i="52"/>
  <c r="AH161" i="52"/>
  <c r="AH82" i="52"/>
  <c r="AH112" i="52"/>
  <c r="AH26" i="52"/>
  <c r="AH76" i="52"/>
  <c r="AH37" i="52"/>
  <c r="AH213" i="52"/>
  <c r="AH223" i="52"/>
  <c r="AH92" i="52"/>
  <c r="AH171" i="52"/>
  <c r="AH187" i="52"/>
  <c r="AH239" i="52"/>
  <c r="AH157" i="52"/>
  <c r="AH190" i="52"/>
  <c r="AH204" i="52"/>
  <c r="AH97" i="52"/>
  <c r="AH6" i="52"/>
  <c r="AH39" i="52"/>
  <c r="AH42" i="52"/>
  <c r="AH246" i="52"/>
  <c r="AH139" i="52"/>
  <c r="AH10" i="52"/>
  <c r="AH72" i="52"/>
  <c r="AH199" i="52"/>
  <c r="AH123" i="52"/>
  <c r="AH150" i="52"/>
  <c r="AH129" i="52"/>
  <c r="AH191" i="52"/>
  <c r="AH217" i="52"/>
  <c r="AH110" i="52"/>
  <c r="AH63" i="52"/>
  <c r="AH44" i="52"/>
  <c r="AH30" i="52"/>
  <c r="AH98" i="52"/>
  <c r="AH99" i="52"/>
  <c r="AH60" i="52"/>
  <c r="AH201" i="52"/>
  <c r="AH207" i="52"/>
  <c r="AH221" i="52"/>
  <c r="AH64" i="52"/>
  <c r="AH115" i="52"/>
  <c r="AH174" i="52"/>
  <c r="AH156" i="52"/>
  <c r="AH230" i="52"/>
  <c r="AH140" i="52"/>
  <c r="AH27" i="52"/>
  <c r="AH9" i="52"/>
  <c r="AH218" i="52"/>
  <c r="AH164" i="52"/>
  <c r="AH83" i="52"/>
  <c r="AH127" i="52"/>
  <c r="AH122" i="52"/>
  <c r="AH4" i="52"/>
  <c r="AH128" i="52"/>
  <c r="AH137" i="52"/>
  <c r="AH119" i="52"/>
  <c r="AH120" i="52"/>
  <c r="AH102" i="52"/>
  <c r="AH114" i="52"/>
  <c r="AH244" i="52"/>
  <c r="AH70" i="52"/>
  <c r="AH95" i="52"/>
  <c r="AH77" i="52"/>
  <c r="AH252" i="52"/>
  <c r="AH79" i="52"/>
  <c r="AH132" i="52"/>
  <c r="AH118" i="52"/>
  <c r="AH91" i="52"/>
  <c r="AH167" i="52"/>
  <c r="AH195" i="52"/>
  <c r="AH56" i="52"/>
  <c r="AH147" i="52"/>
  <c r="AH203" i="52"/>
  <c r="AH5" i="52"/>
  <c r="AH75" i="52"/>
  <c r="AH238" i="52"/>
  <c r="AH138" i="52"/>
  <c r="AH90" i="52"/>
  <c r="AH89" i="52"/>
  <c r="AH35" i="52"/>
  <c r="AH181" i="52"/>
  <c r="AH200" i="52"/>
  <c r="AH209" i="52"/>
  <c r="AH234" i="52"/>
  <c r="AH149" i="52"/>
  <c r="AH226" i="52"/>
  <c r="AH49" i="52"/>
  <c r="AH184" i="52"/>
  <c r="AH232" i="52"/>
  <c r="AH180" i="52"/>
  <c r="AH66" i="52"/>
  <c r="AH54" i="52"/>
  <c r="AH206" i="52"/>
  <c r="AH67" i="52"/>
  <c r="AH24" i="52"/>
  <c r="AH106" i="52"/>
  <c r="AH62" i="52"/>
  <c r="AH241" i="52"/>
  <c r="AH85" i="52"/>
  <c r="AH192" i="52"/>
  <c r="AH242" i="52"/>
  <c r="AH182" i="52"/>
  <c r="AH105" i="52"/>
  <c r="AH162" i="52"/>
  <c r="AH57" i="52"/>
  <c r="AH38" i="52"/>
  <c r="AH144" i="52"/>
  <c r="AH155" i="52"/>
  <c r="AH74" i="52"/>
  <c r="AH224" i="52"/>
  <c r="AH163" i="52"/>
  <c r="AH247" i="52"/>
  <c r="AH177" i="52"/>
  <c r="AH65" i="52"/>
  <c r="AH215" i="52"/>
  <c r="AH46" i="52"/>
  <c r="AH111" i="52"/>
  <c r="AH108" i="52"/>
  <c r="AH61" i="52"/>
  <c r="AH243" i="52"/>
  <c r="AH86" i="52"/>
  <c r="AH55" i="52"/>
  <c r="AH8" i="52"/>
  <c r="AH145" i="52"/>
  <c r="AH11" i="52"/>
  <c r="AH25" i="52"/>
  <c r="AH237" i="52"/>
  <c r="AH205" i="52"/>
  <c r="AH219" i="52"/>
  <c r="AH183" i="52"/>
  <c r="AH101" i="52"/>
  <c r="AH235" i="52"/>
  <c r="M18" i="45"/>
  <c r="M13" i="45"/>
  <c r="M16" i="45"/>
  <c r="M20" i="45"/>
  <c r="M15" i="45"/>
  <c r="M14" i="45"/>
  <c r="M19" i="45"/>
  <c r="M17" i="45"/>
  <c r="M21" i="45"/>
  <c r="Q13" i="45"/>
  <c r="S16" i="45"/>
  <c r="T20" i="45"/>
  <c r="Q14" i="45"/>
  <c r="T19" i="45"/>
  <c r="R18" i="45"/>
  <c r="T13" i="45"/>
  <c r="T16" i="45"/>
  <c r="P20" i="45"/>
  <c r="T14" i="45"/>
  <c r="P21" i="45"/>
  <c r="T17" i="45"/>
  <c r="P15" i="45"/>
  <c r="Q20" i="45"/>
  <c r="R21" i="45"/>
  <c r="P13" i="45"/>
  <c r="Q19" i="45"/>
  <c r="P18" i="45"/>
  <c r="P19" i="45"/>
  <c r="R17" i="45"/>
  <c r="S19" i="45"/>
  <c r="Q17" i="45"/>
  <c r="N1" i="42"/>
  <c r="S182" i="42"/>
  <c r="S117" i="42"/>
  <c r="S201" i="42"/>
  <c r="S137" i="42"/>
  <c r="S196" i="42"/>
  <c r="S56" i="42"/>
  <c r="S104" i="42"/>
  <c r="S10" i="42"/>
  <c r="S220" i="42"/>
  <c r="S92" i="42"/>
  <c r="S43" i="42"/>
  <c r="S18" i="45"/>
  <c r="S13" i="45"/>
  <c r="P16" i="45"/>
  <c r="T15" i="45"/>
  <c r="R14" i="45"/>
  <c r="Q21" i="45"/>
  <c r="S48" i="42"/>
  <c r="N10" i="42"/>
  <c r="N15" i="42"/>
  <c r="S32" i="42"/>
  <c r="S69" i="42"/>
  <c r="S198" i="42"/>
  <c r="S126" i="42"/>
  <c r="S115" i="42"/>
  <c r="S156" i="42"/>
  <c r="S152" i="42"/>
  <c r="N11" i="42"/>
  <c r="S122" i="42"/>
  <c r="S175" i="42"/>
  <c r="S50" i="42"/>
  <c r="S249" i="42"/>
  <c r="S91" i="42"/>
  <c r="S87" i="42"/>
  <c r="N9" i="42"/>
  <c r="S143" i="42"/>
  <c r="S242" i="42"/>
  <c r="S88" i="42"/>
  <c r="S232" i="42"/>
  <c r="S195" i="42"/>
  <c r="S5" i="42"/>
  <c r="S40" i="42"/>
  <c r="S234" i="42"/>
  <c r="S261" i="42"/>
  <c r="S199" i="42"/>
  <c r="S246" i="42"/>
  <c r="S263" i="42"/>
  <c r="S225" i="42"/>
  <c r="R16" i="45"/>
  <c r="S21" i="45"/>
  <c r="S247" i="42"/>
  <c r="S270" i="42"/>
  <c r="S37" i="42"/>
  <c r="N13" i="42"/>
  <c r="S194" i="42"/>
  <c r="N6" i="42"/>
  <c r="S29" i="42"/>
  <c r="S123" i="42"/>
  <c r="S85" i="42"/>
  <c r="S165" i="42"/>
  <c r="S60" i="42"/>
  <c r="N3" i="42"/>
  <c r="S95" i="42"/>
  <c r="S151" i="42"/>
  <c r="Q18" i="45"/>
  <c r="R15" i="45"/>
  <c r="S70" i="42"/>
  <c r="S100" i="42"/>
  <c r="S276" i="42"/>
  <c r="S187" i="42"/>
  <c r="S59" i="42"/>
  <c r="S111" i="42"/>
  <c r="S68" i="42"/>
  <c r="S260" i="42"/>
  <c r="S283" i="42"/>
  <c r="S159" i="42"/>
  <c r="S127" i="42"/>
  <c r="S169" i="42"/>
  <c r="S80" i="42"/>
  <c r="S244" i="42"/>
  <c r="S26" i="42"/>
  <c r="S15" i="45"/>
  <c r="S97" i="42"/>
  <c r="S255" i="42"/>
  <c r="S147" i="42"/>
  <c r="S61" i="42"/>
  <c r="S289" i="42"/>
  <c r="S99" i="42"/>
  <c r="S23" i="42"/>
  <c r="S62" i="42"/>
  <c r="S105" i="42"/>
  <c r="S216" i="42"/>
  <c r="S181" i="42"/>
  <c r="S75" i="42"/>
  <c r="S140" i="42"/>
  <c r="T18" i="45"/>
  <c r="S17" i="45"/>
  <c r="Q16" i="45"/>
  <c r="Q15" i="45"/>
  <c r="S14" i="45"/>
  <c r="T21" i="45"/>
  <c r="S124" i="42"/>
  <c r="S133" i="42"/>
  <c r="S204" i="42"/>
  <c r="R20" i="45"/>
  <c r="R13" i="45"/>
  <c r="P17" i="45"/>
  <c r="S20" i="45"/>
  <c r="P14" i="45"/>
  <c r="R19" i="45"/>
  <c r="S71" i="42"/>
  <c r="S157" i="42"/>
  <c r="S164" i="42"/>
  <c r="S280" i="42"/>
  <c r="S145" i="42"/>
  <c r="S258" i="42"/>
  <c r="S108" i="42"/>
  <c r="S64" i="42"/>
  <c r="S213" i="42"/>
  <c r="S149" i="42"/>
  <c r="S212" i="42"/>
  <c r="S233" i="42"/>
  <c r="S243" i="42"/>
  <c r="S101" i="42"/>
  <c r="S130" i="42"/>
  <c r="S13" i="42"/>
  <c r="S38" i="42"/>
  <c r="S240" i="42"/>
  <c r="S252" i="42"/>
  <c r="S28" i="42"/>
  <c r="S161" i="42"/>
  <c r="S200" i="42"/>
  <c r="S166" i="42"/>
  <c r="S11" i="42"/>
  <c r="S134" i="42"/>
  <c r="S203" i="42"/>
  <c r="J6" i="43"/>
  <c r="S79" i="42"/>
  <c r="S217" i="42"/>
  <c r="S98" i="42"/>
  <c r="S131" i="42"/>
  <c r="S47" i="42"/>
  <c r="S218" i="42"/>
  <c r="S160" i="42"/>
  <c r="S35" i="42"/>
  <c r="S125" i="42"/>
  <c r="S93" i="42"/>
  <c r="S264" i="42"/>
  <c r="S77" i="42"/>
  <c r="S119" i="42"/>
  <c r="S230" i="42"/>
  <c r="S155" i="42"/>
  <c r="S273" i="42"/>
  <c r="S72" i="42"/>
  <c r="S31" i="42"/>
  <c r="J5" i="43"/>
  <c r="S227" i="42"/>
  <c r="S245" i="42"/>
  <c r="S65" i="42"/>
  <c r="S148" i="42"/>
  <c r="S49" i="42"/>
  <c r="S268" i="42"/>
  <c r="S229" i="42"/>
  <c r="S58" i="42"/>
  <c r="S14" i="42"/>
  <c r="S188" i="42"/>
  <c r="S285" i="42"/>
  <c r="S278" i="42"/>
  <c r="N12" i="42"/>
  <c r="S269" i="42"/>
  <c r="S96" i="42"/>
  <c r="S22" i="42"/>
  <c r="S144" i="42"/>
  <c r="S81" i="42"/>
  <c r="S39" i="42"/>
  <c r="S15" i="42"/>
  <c r="S54" i="42"/>
  <c r="S237" i="42"/>
  <c r="S63" i="42"/>
  <c r="S9" i="42"/>
  <c r="N8" i="42"/>
  <c r="S17" i="42"/>
  <c r="S34" i="42"/>
  <c r="S16" i="42"/>
  <c r="S288" i="42"/>
  <c r="S106" i="42"/>
  <c r="S271" i="42"/>
  <c r="S138" i="42"/>
  <c r="S112" i="42"/>
  <c r="S107" i="42"/>
  <c r="S42" i="42"/>
  <c r="S52" i="42"/>
  <c r="S116" i="42"/>
  <c r="S171" i="42"/>
  <c r="S224" i="42"/>
  <c r="S209" i="42"/>
  <c r="S21" i="42"/>
  <c r="S179" i="42"/>
  <c r="S109" i="42"/>
  <c r="S118" i="42"/>
  <c r="S129" i="42"/>
  <c r="S262" i="42"/>
  <c r="J4" i="43"/>
  <c r="S55" i="42"/>
  <c r="S86" i="42"/>
  <c r="S33" i="42"/>
  <c r="S251" i="42"/>
  <c r="S173" i="42"/>
  <c r="S102" i="42"/>
  <c r="S257" i="42"/>
  <c r="S274" i="42"/>
  <c r="S57" i="42"/>
  <c r="N5" i="42"/>
  <c r="S185" i="42"/>
  <c r="S142" i="42"/>
  <c r="S226" i="42"/>
  <c r="S214" i="42"/>
  <c r="S132" i="42"/>
  <c r="S170" i="42"/>
  <c r="S20" i="42"/>
  <c r="S168" i="42"/>
  <c r="S184" i="42"/>
  <c r="S286" i="42"/>
  <c r="S120" i="42"/>
  <c r="S284" i="42"/>
  <c r="S154" i="42"/>
  <c r="S172" i="42"/>
  <c r="S7" i="42"/>
  <c r="S44" i="42"/>
  <c r="S78" i="42"/>
  <c r="S176" i="42"/>
  <c r="S128" i="42"/>
  <c r="S177" i="42"/>
  <c r="S139" i="42"/>
  <c r="S281" i="42"/>
  <c r="S192" i="42"/>
  <c r="S231" i="42"/>
  <c r="S228" i="42"/>
  <c r="S67" i="42"/>
  <c r="S259" i="42"/>
  <c r="S27" i="42"/>
  <c r="S73" i="42"/>
  <c r="S45" i="42"/>
  <c r="S18" i="42"/>
  <c r="S197" i="42"/>
  <c r="N7" i="42"/>
  <c r="S146" i="42"/>
  <c r="S110" i="42"/>
  <c r="S153" i="42"/>
  <c r="S121" i="42"/>
  <c r="S277" i="42"/>
  <c r="S186" i="42"/>
  <c r="S174" i="42"/>
  <c r="S236" i="42"/>
  <c r="S163" i="42"/>
  <c r="N14" i="42"/>
  <c r="S210" i="42"/>
  <c r="S46" i="42"/>
  <c r="J7" i="43"/>
  <c r="S158" i="42"/>
  <c r="S205" i="42"/>
  <c r="N4" i="42"/>
  <c r="S150" i="42"/>
  <c r="S215" i="42"/>
  <c r="S206" i="42"/>
  <c r="S89" i="42"/>
  <c r="S8" i="42"/>
  <c r="S141" i="42"/>
  <c r="S254" i="42"/>
  <c r="S113" i="42"/>
  <c r="S248" i="42"/>
  <c r="S180" i="42"/>
  <c r="S223" i="42"/>
  <c r="S178" i="42"/>
  <c r="S183" i="42"/>
  <c r="S239" i="42"/>
  <c r="S36" i="42"/>
  <c r="S219" i="42"/>
  <c r="S24" i="42"/>
  <c r="S4" i="42"/>
  <c r="S82" i="42"/>
  <c r="S208" i="42"/>
  <c r="S241" i="42"/>
  <c r="S202" i="42"/>
  <c r="S136" i="42"/>
  <c r="S84" i="42"/>
  <c r="S12" i="42"/>
  <c r="S83" i="42"/>
  <c r="S235" i="42"/>
  <c r="S90" i="42"/>
  <c r="S162" i="42"/>
  <c r="S191" i="42"/>
  <c r="S275" i="42"/>
  <c r="S53" i="42"/>
  <c r="S74" i="42"/>
  <c r="S51" i="42"/>
  <c r="S41" i="42"/>
  <c r="S279" i="42"/>
  <c r="S207" i="42"/>
  <c r="S25" i="42"/>
  <c r="S189" i="42"/>
  <c r="S103" i="42"/>
  <c r="S221" i="42"/>
  <c r="S3" i="42"/>
  <c r="S193" i="42"/>
  <c r="S94" i="42"/>
  <c r="S272" i="42"/>
  <c r="S211" i="42"/>
  <c r="S135" i="42"/>
  <c r="S6" i="42"/>
  <c r="S250" i="42"/>
  <c r="S253" i="42"/>
  <c r="S222" i="42"/>
  <c r="S30" i="42"/>
  <c r="S238" i="42"/>
  <c r="S19" i="42"/>
  <c r="S287" i="42"/>
  <c r="S256" i="42"/>
  <c r="S66" i="42"/>
  <c r="S282" i="42"/>
  <c r="S167" i="42"/>
  <c r="S265" i="42"/>
  <c r="S114" i="42"/>
  <c r="S76" i="42"/>
  <c r="S266" i="42"/>
  <c r="S190" i="42"/>
  <c r="S267" i="42"/>
  <c r="Y9" i="43" a="1"/>
  <c r="Y13" i="43" a="1"/>
  <c r="Y3" i="43" a="1"/>
  <c r="Y13" i="43"/>
  <c r="W13" i="43"/>
  <c r="Y5" i="43"/>
  <c r="Y9" i="43"/>
  <c r="Y4" i="43"/>
  <c r="Y3" i="43"/>
  <c r="W3" i="43" a="1"/>
  <c r="Y10" i="43"/>
  <c r="Y3" i="52" a="1"/>
  <c r="AH43" i="43"/>
  <c r="AH8" i="43"/>
  <c r="AH34" i="43"/>
  <c r="AH4" i="43"/>
  <c r="AH15" i="43"/>
  <c r="AH45" i="43"/>
  <c r="AH36" i="43"/>
  <c r="AH19" i="43"/>
  <c r="AH51" i="43"/>
  <c r="AH23" i="43"/>
  <c r="AH46" i="43"/>
  <c r="AH58" i="43"/>
  <c r="AH42" i="43"/>
  <c r="AH29" i="43"/>
  <c r="AH16" i="43"/>
  <c r="AH9" i="43"/>
  <c r="AH63" i="43"/>
  <c r="AH41" i="43"/>
  <c r="W3" i="43"/>
  <c r="AH17" i="43"/>
  <c r="AH24" i="43"/>
  <c r="AH57" i="43"/>
  <c r="Y3" i="52"/>
  <c r="AH56" i="43"/>
  <c r="AH11" i="43"/>
  <c r="AH21" i="43"/>
  <c r="AH25" i="43"/>
  <c r="AH5" i="43"/>
  <c r="AH49" i="43"/>
  <c r="AH39" i="43"/>
  <c r="AH18" i="43"/>
  <c r="AH27" i="43"/>
  <c r="AH12" i="43"/>
  <c r="AH59" i="43"/>
  <c r="AH44" i="43"/>
  <c r="AH20" i="43"/>
  <c r="AH22" i="43"/>
  <c r="AH61" i="43"/>
  <c r="AH64" i="43"/>
  <c r="AH10" i="43"/>
  <c r="AH54" i="43"/>
  <c r="AH52" i="43"/>
  <c r="AH40" i="43"/>
  <c r="Y5" i="52"/>
  <c r="AH38" i="43"/>
  <c r="AH33" i="43"/>
  <c r="Y4" i="52"/>
  <c r="AH60" i="43"/>
  <c r="AH7" i="43"/>
  <c r="AH37" i="43"/>
  <c r="AH48" i="43"/>
  <c r="AH31" i="43"/>
  <c r="AH6" i="43"/>
  <c r="AH30" i="43"/>
  <c r="W5" i="43"/>
  <c r="AH14" i="43"/>
  <c r="AH13" i="43"/>
  <c r="AH35" i="43"/>
  <c r="AH55" i="43"/>
  <c r="AH28" i="43"/>
  <c r="W4" i="43"/>
  <c r="AH47" i="43"/>
  <c r="AH32" i="43"/>
  <c r="AH65" i="43"/>
  <c r="AH26" i="43"/>
  <c r="AH50" i="43"/>
  <c r="AH62" i="43"/>
  <c r="AH53" i="43"/>
  <c r="AH3" i="43"/>
  <c r="Y9" i="39" a="1"/>
  <c r="Y10" i="39"/>
  <c r="AJ38" i="43"/>
  <c r="AJ63" i="43"/>
  <c r="AJ39" i="43"/>
  <c r="AJ6" i="43"/>
  <c r="AJ19" i="43"/>
  <c r="AJ57" i="43"/>
  <c r="AJ8" i="43"/>
  <c r="AJ13" i="43"/>
  <c r="AJ31" i="43"/>
  <c r="AJ64" i="43"/>
  <c r="Y9" i="39"/>
  <c r="W9" i="39" a="1"/>
  <c r="AJ61" i="43"/>
  <c r="AJ46" i="43"/>
  <c r="AJ29" i="43"/>
  <c r="AJ54" i="43"/>
  <c r="AJ41" i="43"/>
  <c r="AJ5" i="43"/>
  <c r="AJ26" i="43"/>
  <c r="AJ37" i="43"/>
  <c r="AJ16" i="43"/>
  <c r="AJ3" i="43"/>
  <c r="AJ44" i="43"/>
  <c r="AJ48" i="43"/>
  <c r="AJ50" i="43"/>
  <c r="AJ62" i="43"/>
  <c r="AJ32" i="43"/>
  <c r="AJ7" i="43"/>
  <c r="AJ9" i="43"/>
  <c r="AJ42" i="43"/>
  <c r="AJ21" i="43"/>
  <c r="AJ55" i="43"/>
  <c r="AJ43" i="43"/>
  <c r="AJ17" i="43"/>
  <c r="AJ59" i="43"/>
  <c r="AJ25" i="43"/>
  <c r="AJ60" i="43"/>
  <c r="AJ10" i="43"/>
  <c r="AJ34" i="43"/>
  <c r="AJ52" i="43"/>
  <c r="AJ36" i="43"/>
  <c r="AJ47" i="43"/>
  <c r="AJ49" i="43"/>
  <c r="AJ27" i="43"/>
  <c r="AJ12" i="43"/>
  <c r="AJ23" i="43"/>
  <c r="AJ58" i="43"/>
  <c r="AJ51" i="43"/>
  <c r="AJ35" i="43"/>
  <c r="AJ45" i="43"/>
  <c r="AJ30" i="43"/>
  <c r="AJ15" i="43"/>
  <c r="AJ14" i="43"/>
  <c r="AJ24" i="43"/>
  <c r="AJ53" i="43"/>
  <c r="AJ56" i="43"/>
  <c r="AJ18" i="43"/>
  <c r="AJ4" i="43"/>
  <c r="AJ65" i="43"/>
  <c r="AJ22" i="43"/>
  <c r="AJ40" i="43"/>
  <c r="AJ28" i="43"/>
  <c r="AJ33" i="43"/>
  <c r="AJ20" i="43"/>
  <c r="AJ11" i="43"/>
  <c r="Y9" i="52" a="1"/>
  <c r="Y9" i="52"/>
  <c r="Y10" i="52"/>
  <c r="W9" i="39"/>
  <c r="W10" i="39"/>
  <c r="Y3" i="39" a="1"/>
  <c r="Y5" i="39"/>
  <c r="AI95" i="39"/>
  <c r="AI30" i="39"/>
  <c r="AI48" i="39"/>
  <c r="AI37" i="39"/>
  <c r="AI110" i="39"/>
  <c r="AI127" i="39"/>
  <c r="AI70" i="39"/>
  <c r="AI27" i="39"/>
  <c r="AI3" i="39"/>
  <c r="AI62" i="39"/>
  <c r="AI112" i="39"/>
  <c r="AI119" i="39"/>
  <c r="AI55" i="39"/>
  <c r="AI59" i="39"/>
  <c r="AI86" i="39"/>
  <c r="AI47" i="39"/>
  <c r="AI71" i="39"/>
  <c r="AI115" i="39"/>
  <c r="AI114" i="39"/>
  <c r="AI66" i="39"/>
  <c r="AI41" i="39"/>
  <c r="Y3" i="39"/>
  <c r="AI94" i="39"/>
  <c r="AI12" i="39"/>
  <c r="AI34" i="39"/>
  <c r="AI45" i="39"/>
  <c r="AI63" i="39"/>
  <c r="AI126" i="39"/>
  <c r="AI109" i="39"/>
  <c r="AI92" i="39"/>
  <c r="AI24" i="39"/>
  <c r="AI132" i="39"/>
  <c r="AI8" i="39"/>
  <c r="AI116" i="39"/>
  <c r="AI31" i="39"/>
  <c r="AI72" i="39"/>
  <c r="AI51" i="39"/>
  <c r="AI85" i="39"/>
  <c r="AI5" i="39"/>
  <c r="AI73" i="39"/>
  <c r="Y4" i="39"/>
  <c r="AI77" i="39"/>
  <c r="AI42" i="39"/>
  <c r="AI105" i="39"/>
  <c r="AI54" i="39"/>
  <c r="AI129" i="39"/>
  <c r="AI104" i="39"/>
  <c r="AI4" i="39"/>
  <c r="AI25" i="39"/>
  <c r="AI117" i="39"/>
  <c r="AI23" i="39"/>
  <c r="AI36" i="39"/>
  <c r="AI80" i="39"/>
  <c r="AI102" i="39"/>
  <c r="AI125" i="39"/>
  <c r="AI111" i="39"/>
  <c r="AI93" i="39"/>
  <c r="AI87" i="39"/>
  <c r="AI82" i="39"/>
  <c r="AI18" i="39"/>
  <c r="AI106" i="39"/>
  <c r="AI103" i="39"/>
  <c r="AI74" i="39"/>
  <c r="AI101" i="39"/>
  <c r="AI81" i="39"/>
  <c r="AI13" i="39"/>
  <c r="AI56" i="39"/>
  <c r="AI11" i="39"/>
  <c r="AI33" i="39"/>
  <c r="AI118" i="39"/>
  <c r="AI97" i="39"/>
  <c r="AI113" i="39"/>
  <c r="AI121" i="39"/>
  <c r="AI35" i="39"/>
  <c r="AI108" i="39"/>
  <c r="AI9" i="39"/>
  <c r="AI122" i="39"/>
  <c r="AI99" i="39"/>
  <c r="AI17" i="39"/>
  <c r="AI79" i="39"/>
  <c r="AI16" i="39"/>
  <c r="AI98" i="39"/>
  <c r="AI32" i="39"/>
  <c r="AI78" i="39"/>
  <c r="AI84" i="39"/>
  <c r="AI10" i="39"/>
  <c r="AI67" i="39"/>
  <c r="AI120" i="39"/>
  <c r="AI53" i="39"/>
  <c r="AI91" i="39"/>
  <c r="AI131" i="39"/>
  <c r="AI88" i="39"/>
  <c r="AI76" i="39"/>
  <c r="AI83" i="39"/>
  <c r="AI43" i="39"/>
  <c r="AI128" i="39"/>
  <c r="AI28" i="39"/>
  <c r="AI57" i="39"/>
  <c r="AI64" i="39"/>
  <c r="AI100" i="39"/>
  <c r="AI49" i="39"/>
  <c r="AI26" i="39"/>
  <c r="AI75" i="39"/>
  <c r="AI123" i="39"/>
  <c r="AI39" i="39"/>
  <c r="AI124" i="39"/>
  <c r="AI21" i="39"/>
  <c r="AI90" i="39"/>
  <c r="AI52" i="39"/>
  <c r="AI40" i="39"/>
  <c r="AI14" i="39"/>
  <c r="AI19" i="39"/>
  <c r="AI22" i="39"/>
  <c r="AI46" i="39"/>
  <c r="AI107" i="39"/>
  <c r="AI89" i="39"/>
  <c r="AI29" i="39"/>
  <c r="AI7" i="39"/>
  <c r="AI130" i="39"/>
  <c r="AI68" i="39"/>
  <c r="AI58" i="39"/>
  <c r="AI6" i="39"/>
  <c r="AI69" i="39"/>
  <c r="AI60" i="39"/>
  <c r="AI20" i="39"/>
  <c r="AI61" i="39"/>
  <c r="AI15" i="39"/>
  <c r="AI65" i="39"/>
  <c r="AI38" i="39"/>
  <c r="AI50" i="39"/>
  <c r="AI44" i="39"/>
  <c r="AI96" i="39"/>
  <c r="D31" i="29"/>
  <c r="D25" i="29"/>
  <c r="D32" i="29"/>
  <c r="C34" i="29"/>
  <c r="U12" i="45" a="1"/>
  <c r="C35" i="29"/>
  <c r="T25" i="45"/>
  <c r="D34" i="29"/>
  <c r="D35" i="29"/>
  <c r="R25" i="45"/>
  <c r="S25" i="45"/>
  <c r="W25" i="45"/>
  <c r="U15" i="45"/>
  <c r="U18" i="45"/>
  <c r="U25" i="45"/>
  <c r="Y25" i="45"/>
  <c r="X25" i="45"/>
  <c r="U21" i="45"/>
  <c r="U14" i="45"/>
  <c r="Q26" i="45"/>
  <c r="U17" i="45"/>
  <c r="U19" i="45"/>
  <c r="U16" i="45"/>
  <c r="U12" i="45"/>
  <c r="U13" i="45"/>
  <c r="U20" i="45"/>
  <c r="T26" i="45"/>
  <c r="R26" i="45"/>
  <c r="S26" i="45"/>
  <c r="V26" i="45"/>
  <c r="W26" i="45"/>
  <c r="Q27" i="45"/>
  <c r="U26" i="45"/>
  <c r="Y26" i="45"/>
  <c r="F3" i="48"/>
  <c r="F4" i="48"/>
  <c r="V27" i="45"/>
  <c r="R27" i="45"/>
  <c r="T27" i="45"/>
  <c r="S27" i="45"/>
  <c r="W27" i="45"/>
  <c r="Q28" i="45"/>
  <c r="U27" i="45"/>
  <c r="Y27" i="45"/>
  <c r="X26" i="45"/>
  <c r="F5" i="48"/>
  <c r="V28" i="45"/>
  <c r="T28" i="45"/>
  <c r="R28" i="45"/>
  <c r="S28" i="45"/>
  <c r="W28" i="45"/>
  <c r="U28" i="45"/>
  <c r="Y28" i="45"/>
  <c r="X27" i="45"/>
  <c r="F6" i="48"/>
  <c r="X28" i="45"/>
  <c r="F7" i="48"/>
  <c r="U9" i="48" a="1"/>
  <c r="U9" i="48"/>
  <c r="U10" i="48"/>
  <c r="S9" i="48" s="1" a="1"/>
  <c r="U3" i="48" a="1"/>
  <c r="U13" i="48" a="1"/>
  <c r="S9" i="48" l="1"/>
  <c r="S10" i="48"/>
  <c r="AE11" i="48"/>
  <c r="AE25" i="48"/>
  <c r="AE17" i="48"/>
  <c r="AE24" i="48"/>
  <c r="AE21" i="48"/>
  <c r="AE22" i="48"/>
  <c r="AE16" i="48"/>
  <c r="AE18" i="48"/>
  <c r="AE13" i="48"/>
  <c r="AE12" i="48"/>
  <c r="AE7" i="48"/>
  <c r="AE15" i="48"/>
  <c r="AE26" i="48"/>
  <c r="AE5" i="48"/>
  <c r="AE3" i="48"/>
  <c r="AE14" i="48"/>
  <c r="AE10" i="48"/>
  <c r="AE4" i="48"/>
  <c r="AE20" i="48"/>
  <c r="K18" i="48"/>
  <c r="O11" i="42"/>
  <c r="O6" i="42"/>
  <c r="W9" i="43" a="1"/>
  <c r="W10" i="43" s="1"/>
  <c r="U13" i="48"/>
  <c r="U3" i="48"/>
  <c r="S3" i="48" a="1"/>
  <c r="W3" i="52" a="1"/>
  <c r="W4" i="52" s="1"/>
  <c r="W3" i="39" a="1"/>
  <c r="W3" i="39" s="1"/>
  <c r="W5" i="39"/>
  <c r="O4" i="42"/>
  <c r="K16" i="48"/>
  <c r="O12" i="42"/>
  <c r="S13" i="48"/>
  <c r="AD11" i="48" s="1"/>
  <c r="W9" i="52" a="1"/>
  <c r="W10" i="52" s="1"/>
  <c r="W9" i="52"/>
  <c r="AI183" i="52" s="1"/>
  <c r="AI39" i="52"/>
  <c r="AI14" i="52"/>
  <c r="AI100" i="52"/>
  <c r="AI69" i="52"/>
  <c r="AI47" i="52"/>
  <c r="K19" i="48"/>
  <c r="O15" i="42"/>
  <c r="O8" i="42"/>
  <c r="U5" i="48"/>
  <c r="K15" i="48"/>
  <c r="U4" i="48"/>
  <c r="O10" i="42"/>
  <c r="O13" i="42"/>
  <c r="O7" i="42"/>
  <c r="O5" i="42"/>
  <c r="K17" i="48"/>
  <c r="N20" i="52"/>
  <c r="P16" i="43"/>
  <c r="C26" i="43"/>
  <c r="H9" i="33"/>
  <c r="L9" i="33"/>
  <c r="M9" i="33"/>
  <c r="AI108" i="52" l="1"/>
  <c r="AI236" i="52"/>
  <c r="AI176" i="52"/>
  <c r="AI124" i="52"/>
  <c r="AE8" i="48"/>
  <c r="AE9" i="48"/>
  <c r="AE23" i="48"/>
  <c r="AE19" i="48"/>
  <c r="AI172" i="52"/>
  <c r="AI223" i="52"/>
  <c r="AI82" i="52"/>
  <c r="AI232" i="52"/>
  <c r="AI83" i="52"/>
  <c r="AI110" i="52"/>
  <c r="AI86" i="52"/>
  <c r="AI145" i="52"/>
  <c r="AI12" i="52"/>
  <c r="AI95" i="52"/>
  <c r="AI219" i="52"/>
  <c r="AI142" i="52"/>
  <c r="AI173" i="52"/>
  <c r="AI151" i="52"/>
  <c r="AI252" i="52"/>
  <c r="W4" i="39"/>
  <c r="AJ114" i="39" s="1"/>
  <c r="AE6" i="48"/>
  <c r="AI133" i="52"/>
  <c r="AI239" i="52"/>
  <c r="AI19" i="52"/>
  <c r="AI63" i="52"/>
  <c r="AI6" i="52"/>
  <c r="AI103" i="52"/>
  <c r="AI61" i="43"/>
  <c r="AI78" i="52"/>
  <c r="AI89" i="52"/>
  <c r="AI50" i="52"/>
  <c r="AI35" i="52"/>
  <c r="AI20" i="52"/>
  <c r="AI163" i="52"/>
  <c r="AD23" i="48"/>
  <c r="AD15" i="48"/>
  <c r="AI32" i="52"/>
  <c r="AI87" i="52"/>
  <c r="AI251" i="52"/>
  <c r="AI209" i="52"/>
  <c r="AI75" i="52"/>
  <c r="AI237" i="52"/>
  <c r="AD24" i="48"/>
  <c r="AD16" i="48"/>
  <c r="AI30" i="52"/>
  <c r="AI180" i="52"/>
  <c r="AI18" i="52"/>
  <c r="AI246" i="52"/>
  <c r="AI101" i="52"/>
  <c r="AD5" i="48"/>
  <c r="W5" i="52"/>
  <c r="W9" i="43"/>
  <c r="AI45" i="43" s="1"/>
  <c r="AI146" i="52"/>
  <c r="AI140" i="52"/>
  <c r="AI25" i="52"/>
  <c r="AI185" i="52"/>
  <c r="AI41" i="43"/>
  <c r="AI33" i="52"/>
  <c r="AI96" i="52"/>
  <c r="AI169" i="52"/>
  <c r="AI235" i="52"/>
  <c r="AI165" i="52"/>
  <c r="AD26" i="48"/>
  <c r="AI234" i="52"/>
  <c r="AI187" i="52"/>
  <c r="AI202" i="52"/>
  <c r="AI114" i="52"/>
  <c r="AI175" i="52"/>
  <c r="AI198" i="52"/>
  <c r="AI51" i="52"/>
  <c r="AI81" i="52"/>
  <c r="AD19" i="48"/>
  <c r="AI224" i="52"/>
  <c r="AI230" i="52"/>
  <c r="AI4" i="52"/>
  <c r="AI23" i="52"/>
  <c r="AI181" i="52"/>
  <c r="AI131" i="52"/>
  <c r="AI73" i="52"/>
  <c r="AI106" i="52"/>
  <c r="AI22" i="52"/>
  <c r="AI65" i="52"/>
  <c r="AI113" i="52"/>
  <c r="AI31" i="52"/>
  <c r="AD12" i="48"/>
  <c r="AI4" i="43"/>
  <c r="AI27" i="43"/>
  <c r="AI58" i="43"/>
  <c r="AJ27" i="39"/>
  <c r="AJ44" i="39"/>
  <c r="AJ73" i="39"/>
  <c r="AJ29" i="39"/>
  <c r="AJ128" i="39"/>
  <c r="AJ84" i="39"/>
  <c r="AJ10" i="39"/>
  <c r="AJ46" i="39"/>
  <c r="AI51" i="43"/>
  <c r="AI19" i="43"/>
  <c r="AI60" i="43"/>
  <c r="AI31" i="43"/>
  <c r="AJ70" i="39"/>
  <c r="AI50" i="43"/>
  <c r="AI52" i="43"/>
  <c r="AI49" i="43"/>
  <c r="AI62" i="52"/>
  <c r="AI137" i="52"/>
  <c r="AI156" i="52"/>
  <c r="AI238" i="52"/>
  <c r="AI118" i="52"/>
  <c r="AI41" i="52"/>
  <c r="AI194" i="52"/>
  <c r="AI221" i="52"/>
  <c r="AI244" i="52"/>
  <c r="AI27" i="52"/>
  <c r="AI52" i="52"/>
  <c r="AI186" i="52"/>
  <c r="AI43" i="52"/>
  <c r="AI102" i="52"/>
  <c r="AI54" i="52"/>
  <c r="AI189" i="52"/>
  <c r="AI37" i="52"/>
  <c r="AI158" i="52"/>
  <c r="AI167" i="52"/>
  <c r="AI199" i="52"/>
  <c r="AI136" i="52"/>
  <c r="AI155" i="52"/>
  <c r="AI84" i="52"/>
  <c r="AI150" i="52"/>
  <c r="AI222" i="52"/>
  <c r="AI128" i="52"/>
  <c r="AI119" i="52"/>
  <c r="AI134" i="52"/>
  <c r="AI139" i="52"/>
  <c r="AI129" i="52"/>
  <c r="AI207" i="52"/>
  <c r="AI225" i="52"/>
  <c r="AI218" i="52"/>
  <c r="AI126" i="52"/>
  <c r="AI10" i="52"/>
  <c r="AI34" i="52"/>
  <c r="AI211" i="52"/>
  <c r="AI59" i="52"/>
  <c r="AI53" i="52"/>
  <c r="AI242" i="52"/>
  <c r="AI55" i="52"/>
  <c r="AI70" i="52"/>
  <c r="AI154" i="52"/>
  <c r="AI203" i="52"/>
  <c r="AI26" i="52"/>
  <c r="AI204" i="52"/>
  <c r="AI92" i="52"/>
  <c r="AI138" i="52"/>
  <c r="AI245" i="52"/>
  <c r="AI76" i="52"/>
  <c r="AI104" i="52"/>
  <c r="AI200" i="52"/>
  <c r="AI28" i="52"/>
  <c r="AI195" i="52"/>
  <c r="AI164" i="52"/>
  <c r="AI153" i="52"/>
  <c r="AI40" i="52"/>
  <c r="AI93" i="52"/>
  <c r="AI98" i="52"/>
  <c r="AI64" i="52"/>
  <c r="AI147" i="52"/>
  <c r="AI141" i="52"/>
  <c r="AI21" i="52"/>
  <c r="AI161" i="52"/>
  <c r="AI233" i="52"/>
  <c r="AI48" i="52"/>
  <c r="AI201" i="52"/>
  <c r="AI253" i="52"/>
  <c r="AI66" i="52"/>
  <c r="AI212" i="52"/>
  <c r="AI5" i="52"/>
  <c r="AI115" i="52"/>
  <c r="AI249" i="52"/>
  <c r="AI162" i="52"/>
  <c r="AI243" i="52"/>
  <c r="AI77" i="52"/>
  <c r="AI29" i="52"/>
  <c r="AI170" i="52"/>
  <c r="AI121" i="52"/>
  <c r="AI179" i="52"/>
  <c r="AI152" i="52"/>
  <c r="AI60" i="52"/>
  <c r="AI241" i="52"/>
  <c r="AI168" i="52"/>
  <c r="AI117" i="52"/>
  <c r="AI125" i="52"/>
  <c r="AI226" i="52"/>
  <c r="AI94" i="52"/>
  <c r="AI45" i="52"/>
  <c r="AI144" i="52"/>
  <c r="AI184" i="52"/>
  <c r="AI247" i="52"/>
  <c r="AI216" i="52"/>
  <c r="AI57" i="52"/>
  <c r="AI171" i="52"/>
  <c r="AI67" i="52"/>
  <c r="AI127" i="52"/>
  <c r="AI120" i="52"/>
  <c r="AI159" i="52"/>
  <c r="AI72" i="52"/>
  <c r="AI68" i="52"/>
  <c r="AI122" i="52"/>
  <c r="AI250" i="52"/>
  <c r="AI71" i="52"/>
  <c r="AI74" i="52"/>
  <c r="AI105" i="52"/>
  <c r="AI177" i="52"/>
  <c r="AI220" i="52"/>
  <c r="AI149" i="52"/>
  <c r="AI11" i="52"/>
  <c r="AI205" i="52"/>
  <c r="AI210" i="52"/>
  <c r="AI178" i="52"/>
  <c r="AI174" i="52"/>
  <c r="AI166" i="52"/>
  <c r="AI46" i="52"/>
  <c r="AI112" i="52"/>
  <c r="AI15" i="52"/>
  <c r="AI217" i="52"/>
  <c r="AI42" i="52"/>
  <c r="AI7" i="52"/>
  <c r="AI213" i="52"/>
  <c r="AI13" i="52"/>
  <c r="AI160" i="52"/>
  <c r="AI193" i="52"/>
  <c r="AI111" i="52"/>
  <c r="AI130" i="52"/>
  <c r="AI56" i="52"/>
  <c r="AI80" i="52"/>
  <c r="AI132" i="52"/>
  <c r="AI197" i="52"/>
  <c r="AI206" i="52"/>
  <c r="AI240" i="52"/>
  <c r="AI188" i="52"/>
  <c r="AI58" i="52"/>
  <c r="AI191" i="52"/>
  <c r="AI109" i="52"/>
  <c r="AI17" i="52"/>
  <c r="AJ110" i="39"/>
  <c r="AI37" i="43"/>
  <c r="AI34" i="43"/>
  <c r="AI116" i="52"/>
  <c r="AI99" i="52"/>
  <c r="AI214" i="52"/>
  <c r="AD6" i="48"/>
  <c r="AI88" i="52"/>
  <c r="AI248" i="52"/>
  <c r="AI229" i="52"/>
  <c r="AI107" i="52"/>
  <c r="AI36" i="52"/>
  <c r="AI49" i="52"/>
  <c r="AI190" i="52"/>
  <c r="AI8" i="52"/>
  <c r="AI97" i="52"/>
  <c r="AI123" i="52"/>
  <c r="AI61" i="52"/>
  <c r="AI143" i="52"/>
  <c r="AI157" i="52"/>
  <c r="AI228" i="52"/>
  <c r="AI215" i="52"/>
  <c r="AJ85" i="39"/>
  <c r="W3" i="52"/>
  <c r="AJ127" i="52" s="1"/>
  <c r="AI35" i="43"/>
  <c r="AI26" i="43"/>
  <c r="AI56" i="43"/>
  <c r="AJ218" i="52"/>
  <c r="AJ63" i="52"/>
  <c r="AJ142" i="52"/>
  <c r="AJ138" i="52"/>
  <c r="AJ193" i="52"/>
  <c r="AJ122" i="52"/>
  <c r="AI54" i="43"/>
  <c r="AI64" i="43"/>
  <c r="AI16" i="43"/>
  <c r="AI42" i="43"/>
  <c r="AI39" i="43"/>
  <c r="AI6" i="43"/>
  <c r="AI47" i="43"/>
  <c r="AI62" i="43"/>
  <c r="AI13" i="43"/>
  <c r="AI43" i="43"/>
  <c r="AI12" i="43"/>
  <c r="AI22" i="43"/>
  <c r="AI5" i="43"/>
  <c r="AI44" i="43"/>
  <c r="AI18" i="43"/>
  <c r="AI59" i="43"/>
  <c r="AI29" i="43"/>
  <c r="AI32" i="43"/>
  <c r="AI48" i="43"/>
  <c r="AI21" i="43"/>
  <c r="AI46" i="43"/>
  <c r="AI14" i="43"/>
  <c r="AI17" i="43"/>
  <c r="AI20" i="43"/>
  <c r="AI53" i="43"/>
  <c r="AI55" i="43"/>
  <c r="AI38" i="43"/>
  <c r="AI65" i="43"/>
  <c r="AI33" i="43"/>
  <c r="AJ37" i="39"/>
  <c r="AI24" i="52"/>
  <c r="AI9" i="52"/>
  <c r="AD4" i="48"/>
  <c r="AD10" i="48"/>
  <c r="AD17" i="48"/>
  <c r="AD9" i="48"/>
  <c r="J19" i="48"/>
  <c r="AD18" i="48"/>
  <c r="AD8" i="48"/>
  <c r="AJ211" i="52"/>
  <c r="AI15" i="43"/>
  <c r="J15" i="48"/>
  <c r="AD22" i="48"/>
  <c r="AI90" i="52"/>
  <c r="AI135" i="52"/>
  <c r="AI231" i="52"/>
  <c r="AI44" i="52"/>
  <c r="AI192" i="52"/>
  <c r="AI182" i="52"/>
  <c r="AI227" i="52"/>
  <c r="AI85" i="52"/>
  <c r="AI16" i="52"/>
  <c r="AI3" i="52"/>
  <c r="AI148" i="52"/>
  <c r="AI79" i="52"/>
  <c r="AI196" i="52"/>
  <c r="AI208" i="52"/>
  <c r="AI38" i="52"/>
  <c r="AI91" i="52"/>
  <c r="AD14" i="48"/>
  <c r="AJ104" i="39"/>
  <c r="AI11" i="43"/>
  <c r="AI23" i="43"/>
  <c r="AI57" i="43"/>
  <c r="AI9" i="43"/>
  <c r="O21" i="39"/>
  <c r="P17" i="43"/>
  <c r="C27" i="43" s="1"/>
  <c r="H10" i="33" s="1"/>
  <c r="L10" i="33" s="1"/>
  <c r="M10" i="33"/>
  <c r="AJ130" i="39" l="1"/>
  <c r="AJ55" i="39"/>
  <c r="AJ82" i="39"/>
  <c r="AJ113" i="39"/>
  <c r="AJ90" i="39"/>
  <c r="AJ62" i="39"/>
  <c r="AJ117" i="39"/>
  <c r="AJ107" i="52"/>
  <c r="AJ98" i="39"/>
  <c r="AJ31" i="39"/>
  <c r="AJ53" i="39"/>
  <c r="AJ92" i="39"/>
  <c r="AJ67" i="39"/>
  <c r="AJ97" i="39"/>
  <c r="AJ121" i="39"/>
  <c r="AJ126" i="39"/>
  <c r="AJ77" i="39"/>
  <c r="AJ71" i="39"/>
  <c r="AJ87" i="39"/>
  <c r="AJ99" i="39"/>
  <c r="AJ115" i="39"/>
  <c r="AJ19" i="39"/>
  <c r="AJ131" i="39"/>
  <c r="AJ66" i="39"/>
  <c r="AJ24" i="39"/>
  <c r="AJ63" i="39"/>
  <c r="AJ12" i="39"/>
  <c r="AJ124" i="39"/>
  <c r="AJ96" i="52"/>
  <c r="AJ64" i="39"/>
  <c r="AJ72" i="39"/>
  <c r="AJ8" i="39"/>
  <c r="AJ57" i="39"/>
  <c r="AJ81" i="39"/>
  <c r="AJ47" i="39"/>
  <c r="AJ4" i="39"/>
  <c r="AJ39" i="39"/>
  <c r="AJ9" i="39"/>
  <c r="AJ86" i="39"/>
  <c r="AJ177" i="52"/>
  <c r="AJ59" i="39"/>
  <c r="AJ18" i="39"/>
  <c r="AJ45" i="39"/>
  <c r="AJ102" i="39"/>
  <c r="AJ107" i="39"/>
  <c r="AJ48" i="39"/>
  <c r="AJ13" i="39"/>
  <c r="AJ105" i="52"/>
  <c r="AJ123" i="39"/>
  <c r="AJ42" i="52"/>
  <c r="AJ128" i="52"/>
  <c r="AJ111" i="39"/>
  <c r="AJ20" i="39"/>
  <c r="AJ129" i="39"/>
  <c r="AJ80" i="39"/>
  <c r="AJ89" i="39"/>
  <c r="AJ105" i="39"/>
  <c r="AJ69" i="39"/>
  <c r="AJ15" i="39"/>
  <c r="AJ112" i="39"/>
  <c r="AJ127" i="39"/>
  <c r="AJ83" i="39"/>
  <c r="AJ153" i="52"/>
  <c r="AJ66" i="52"/>
  <c r="AJ21" i="39"/>
  <c r="AJ11" i="39"/>
  <c r="AJ38" i="39"/>
  <c r="AJ3" i="39"/>
  <c r="AJ7" i="39"/>
  <c r="AJ79" i="39"/>
  <c r="AJ56" i="39"/>
  <c r="AJ95" i="39"/>
  <c r="AJ60" i="39"/>
  <c r="AJ26" i="39"/>
  <c r="AJ61" i="39"/>
  <c r="AJ34" i="39"/>
  <c r="AJ108" i="39"/>
  <c r="AJ75" i="39"/>
  <c r="AJ100" i="39"/>
  <c r="AJ132" i="39"/>
  <c r="AJ65" i="39"/>
  <c r="AJ96" i="39"/>
  <c r="AJ120" i="39"/>
  <c r="AJ58" i="39"/>
  <c r="AJ42" i="39"/>
  <c r="AJ14" i="39"/>
  <c r="AJ36" i="39"/>
  <c r="AJ91" i="39"/>
  <c r="AJ8" i="52"/>
  <c r="AJ118" i="39"/>
  <c r="AJ6" i="39"/>
  <c r="AJ74" i="39"/>
  <c r="AJ12" i="52"/>
  <c r="AJ116" i="39"/>
  <c r="AJ36" i="52"/>
  <c r="AJ76" i="39"/>
  <c r="AJ43" i="39"/>
  <c r="AJ68" i="39"/>
  <c r="AJ101" i="39"/>
  <c r="AJ49" i="39"/>
  <c r="AJ93" i="39"/>
  <c r="AJ103" i="39"/>
  <c r="AJ125" i="39"/>
  <c r="AJ106" i="39"/>
  <c r="AJ33" i="39"/>
  <c r="AJ16" i="39"/>
  <c r="AJ51" i="39"/>
  <c r="AJ122" i="39"/>
  <c r="AJ41" i="39"/>
  <c r="AJ23" i="39"/>
  <c r="AJ28" i="39"/>
  <c r="AJ25" i="39"/>
  <c r="AJ17" i="39"/>
  <c r="AJ244" i="52"/>
  <c r="AJ78" i="39"/>
  <c r="AJ52" i="39"/>
  <c r="AJ109" i="39"/>
  <c r="AJ50" i="39"/>
  <c r="AJ22" i="39"/>
  <c r="AJ119" i="39"/>
  <c r="AJ32" i="39"/>
  <c r="AJ30" i="39"/>
  <c r="AJ88" i="39"/>
  <c r="AJ35" i="39"/>
  <c r="AJ5" i="39"/>
  <c r="AJ54" i="39"/>
  <c r="AJ40" i="39"/>
  <c r="AJ94" i="39"/>
  <c r="AI40" i="43"/>
  <c r="AI63" i="43"/>
  <c r="AI28" i="43"/>
  <c r="AI7" i="43"/>
  <c r="AI30" i="43"/>
  <c r="AI36" i="43"/>
  <c r="AI8" i="43"/>
  <c r="AI24" i="43"/>
  <c r="AI25" i="43"/>
  <c r="AJ252" i="52"/>
  <c r="AJ166" i="52"/>
  <c r="AJ137" i="52"/>
  <c r="AI3" i="43"/>
  <c r="AI10" i="43"/>
  <c r="AJ130" i="52"/>
  <c r="AJ82" i="52"/>
  <c r="AJ52" i="52"/>
  <c r="AJ113" i="52"/>
  <c r="AJ43" i="52"/>
  <c r="AJ91" i="52"/>
  <c r="AJ29" i="52"/>
  <c r="AJ243" i="52"/>
  <c r="AJ89" i="52"/>
  <c r="AJ124" i="52"/>
  <c r="AJ205" i="52"/>
  <c r="AJ84" i="52"/>
  <c r="AJ100" i="52"/>
  <c r="AJ126" i="52"/>
  <c r="AJ165" i="52"/>
  <c r="AJ230" i="52"/>
  <c r="AJ46" i="52"/>
  <c r="AJ10" i="52"/>
  <c r="AJ139" i="52"/>
  <c r="AJ174" i="52"/>
  <c r="AJ228" i="52"/>
  <c r="AJ114" i="52"/>
  <c r="AJ101" i="52"/>
  <c r="AJ150" i="52"/>
  <c r="AJ173" i="52"/>
  <c r="AJ141" i="52"/>
  <c r="AJ159" i="52"/>
  <c r="AJ98" i="52"/>
  <c r="AJ48" i="52"/>
  <c r="AJ195" i="52"/>
  <c r="AJ30" i="52"/>
  <c r="AJ192" i="52"/>
  <c r="AJ213" i="52"/>
  <c r="AJ181" i="52"/>
  <c r="AJ225" i="52"/>
  <c r="AJ242" i="52"/>
  <c r="AJ151" i="52"/>
  <c r="AJ136" i="52"/>
  <c r="AJ187" i="52"/>
  <c r="AJ184" i="52"/>
  <c r="AJ169" i="52"/>
  <c r="AJ111" i="52"/>
  <c r="AJ216" i="52"/>
  <c r="AJ196" i="52"/>
  <c r="AJ145" i="52"/>
  <c r="AJ49" i="52"/>
  <c r="AJ172" i="52"/>
  <c r="AJ15" i="52"/>
  <c r="AJ92" i="52"/>
  <c r="AJ22" i="52"/>
  <c r="AJ65" i="52"/>
  <c r="AJ121" i="52"/>
  <c r="AJ5" i="52"/>
  <c r="AJ206" i="52"/>
  <c r="AJ39" i="52"/>
  <c r="AJ99" i="52"/>
  <c r="AJ37" i="52"/>
  <c r="AJ25" i="52"/>
  <c r="AJ103" i="52"/>
  <c r="AJ123" i="52"/>
  <c r="AJ27" i="52"/>
  <c r="AJ212" i="52"/>
  <c r="AJ28" i="52"/>
  <c r="AJ200" i="52"/>
  <c r="AJ156" i="52"/>
  <c r="AJ85" i="52"/>
  <c r="AJ62" i="52"/>
  <c r="AJ167" i="52"/>
  <c r="AJ35" i="52"/>
  <c r="AJ154" i="52"/>
  <c r="AJ241" i="52"/>
  <c r="AJ45" i="52"/>
  <c r="AJ199" i="52"/>
  <c r="AJ19" i="52"/>
  <c r="AJ219" i="52"/>
  <c r="AJ131" i="52"/>
  <c r="AJ34" i="52"/>
  <c r="AJ6" i="52"/>
  <c r="AJ232" i="52"/>
  <c r="AJ160" i="52"/>
  <c r="AJ41" i="52"/>
  <c r="AJ50" i="52"/>
  <c r="AJ143" i="52"/>
  <c r="AJ70" i="52"/>
  <c r="AJ202" i="52"/>
  <c r="AJ149" i="52"/>
  <c r="AJ87" i="52"/>
  <c r="AJ3" i="52"/>
  <c r="AJ53" i="52"/>
  <c r="AJ4" i="52"/>
  <c r="AJ24" i="52"/>
  <c r="AJ215" i="52"/>
  <c r="AJ129" i="52"/>
  <c r="AJ17" i="52"/>
  <c r="AJ182" i="52"/>
  <c r="AJ224" i="52"/>
  <c r="AJ176" i="52"/>
  <c r="AJ210" i="52"/>
  <c r="AJ203" i="52"/>
  <c r="AJ94" i="52"/>
  <c r="AJ118" i="52"/>
  <c r="AJ222" i="52"/>
  <c r="AJ110" i="52"/>
  <c r="AJ67" i="52"/>
  <c r="AJ135" i="52"/>
  <c r="AJ190" i="52"/>
  <c r="AJ236" i="52"/>
  <c r="AJ71" i="52"/>
  <c r="AJ125" i="52"/>
  <c r="AJ168" i="52"/>
  <c r="AJ83" i="52"/>
  <c r="AJ247" i="52"/>
  <c r="AJ44" i="52"/>
  <c r="AJ227" i="52"/>
  <c r="AJ133" i="52"/>
  <c r="AJ72" i="52"/>
  <c r="AJ93" i="52"/>
  <c r="AJ161" i="52"/>
  <c r="AJ77" i="52"/>
  <c r="AJ223" i="52"/>
  <c r="AJ178" i="52"/>
  <c r="AJ60" i="52"/>
  <c r="AJ11" i="52"/>
  <c r="AJ246" i="52"/>
  <c r="AJ235" i="52"/>
  <c r="AJ112" i="52"/>
  <c r="AJ86" i="52"/>
  <c r="AJ51" i="52"/>
  <c r="AJ148" i="52"/>
  <c r="AJ32" i="52"/>
  <c r="AJ78" i="52"/>
  <c r="AJ21" i="52"/>
  <c r="AJ231" i="52"/>
  <c r="AJ197" i="52"/>
  <c r="AJ108" i="52"/>
  <c r="AJ80" i="52"/>
  <c r="AJ81" i="52"/>
  <c r="AJ146" i="52"/>
  <c r="AJ13" i="52"/>
  <c r="AJ208" i="52"/>
  <c r="AJ234" i="52"/>
  <c r="AJ239" i="52"/>
  <c r="AJ204" i="52"/>
  <c r="AJ249" i="52"/>
  <c r="AJ157" i="52"/>
  <c r="AJ179" i="52"/>
  <c r="AJ33" i="52"/>
  <c r="AJ69" i="52"/>
  <c r="AJ116" i="52"/>
  <c r="AJ186" i="52"/>
  <c r="AJ253" i="52"/>
  <c r="AJ237" i="52"/>
  <c r="AJ14" i="52"/>
  <c r="AJ164" i="52"/>
  <c r="AJ140" i="52"/>
  <c r="AJ198" i="52"/>
  <c r="AJ189" i="52"/>
  <c r="AJ109" i="52"/>
  <c r="AJ229" i="52"/>
  <c r="AJ248" i="52"/>
  <c r="AJ75" i="52"/>
  <c r="AJ201" i="52"/>
  <c r="AJ64" i="52"/>
  <c r="AJ250" i="52"/>
  <c r="AJ76" i="52"/>
  <c r="AJ220" i="52"/>
  <c r="AJ16" i="52"/>
  <c r="AJ26" i="52"/>
  <c r="AJ175" i="52"/>
  <c r="AJ31" i="52"/>
  <c r="AJ185" i="52"/>
  <c r="AJ115" i="52"/>
  <c r="AJ74" i="52"/>
  <c r="AJ183" i="52"/>
  <c r="AJ170" i="52"/>
  <c r="AJ155" i="52"/>
  <c r="AJ9" i="52"/>
  <c r="AJ102" i="52"/>
  <c r="AJ23" i="52"/>
  <c r="AJ245" i="52"/>
  <c r="AJ217" i="52"/>
  <c r="AJ61" i="52"/>
  <c r="AJ95" i="52"/>
  <c r="AJ132" i="52"/>
  <c r="AJ57" i="52"/>
  <c r="AJ152" i="52"/>
  <c r="AJ147" i="52"/>
  <c r="AJ214" i="52"/>
  <c r="AJ209" i="52"/>
  <c r="AJ58" i="52"/>
  <c r="AJ79" i="52"/>
  <c r="AJ171" i="52"/>
  <c r="AJ55" i="52"/>
  <c r="AJ73" i="52"/>
  <c r="AJ7" i="52"/>
  <c r="AJ144" i="52"/>
  <c r="AJ47" i="52"/>
  <c r="AJ104" i="52"/>
  <c r="AJ221" i="52"/>
  <c r="AJ158" i="52"/>
  <c r="AJ240" i="52"/>
  <c r="AJ119" i="52"/>
  <c r="AJ88" i="52"/>
  <c r="AJ163" i="52"/>
  <c r="AJ162" i="52"/>
  <c r="AJ18" i="52"/>
  <c r="AJ251" i="52"/>
  <c r="AJ40" i="52"/>
  <c r="AJ188" i="52"/>
  <c r="AJ134" i="52"/>
  <c r="AJ68" i="52"/>
  <c r="AJ238" i="52"/>
  <c r="AJ180" i="52"/>
  <c r="AJ59" i="52"/>
  <c r="AJ56" i="52"/>
  <c r="AJ106" i="52"/>
  <c r="AJ194" i="52"/>
  <c r="AJ117" i="52"/>
  <c r="AJ207" i="52"/>
  <c r="AJ38" i="52"/>
  <c r="AJ90" i="52"/>
  <c r="AJ54" i="52"/>
  <c r="AJ233" i="52"/>
  <c r="AJ20" i="52"/>
  <c r="AJ226" i="52"/>
  <c r="AJ191" i="52"/>
  <c r="AJ120" i="52"/>
  <c r="AJ97" i="52"/>
  <c r="P22" i="52"/>
  <c r="O18" i="52"/>
  <c r="C37" i="52"/>
  <c r="H28" i="33" s="1"/>
  <c r="L28" i="33" s="1"/>
  <c r="M28" i="33"/>
  <c r="O19" i="52"/>
  <c r="C38" i="52" s="1"/>
  <c r="H29" i="33" s="1"/>
  <c r="L29" i="33" s="1"/>
  <c r="M29" i="33"/>
  <c r="O24" i="39"/>
  <c r="N22" i="39"/>
  <c r="O23" i="39"/>
  <c r="O28" i="52"/>
  <c r="C47" i="52"/>
  <c r="H38" i="33" s="1"/>
  <c r="L38" i="33" s="1"/>
  <c r="M38" i="33"/>
  <c r="O24" i="52"/>
  <c r="C43" i="52"/>
  <c r="H34" i="33" s="1"/>
  <c r="L34" i="33" s="1"/>
  <c r="M34" i="33"/>
  <c r="S3" i="48"/>
  <c r="J18" i="48"/>
  <c r="P21" i="39"/>
  <c r="C34" i="39"/>
  <c r="H21" i="33" s="1"/>
  <c r="L21" i="33" s="1"/>
  <c r="M21" i="33"/>
  <c r="P23" i="39"/>
  <c r="C36" i="39" s="1"/>
  <c r="H23" i="33" s="1"/>
  <c r="L23" i="33" s="1"/>
  <c r="M23" i="33"/>
  <c r="N20" i="39"/>
  <c r="N26" i="52"/>
  <c r="J17" i="48"/>
  <c r="AD3" i="48"/>
  <c r="O20" i="52"/>
  <c r="C39" i="52" s="1"/>
  <c r="H30" i="33" s="1"/>
  <c r="L30" i="33" s="1"/>
  <c r="M30" i="33"/>
  <c r="P22" i="39"/>
  <c r="C35" i="39" s="1"/>
  <c r="H22" i="33" s="1"/>
  <c r="L22" i="33" s="1"/>
  <c r="M22" i="33"/>
  <c r="P26" i="52"/>
  <c r="N15" i="43"/>
  <c r="AD7" i="48"/>
  <c r="P16" i="52"/>
  <c r="O19" i="43"/>
  <c r="O15" i="52"/>
  <c r="C34" i="52"/>
  <c r="H25" i="33" s="1"/>
  <c r="L25" i="33" s="1"/>
  <c r="M25" i="33"/>
  <c r="O9" i="42"/>
  <c r="O26" i="52"/>
  <c r="C45" i="52" s="1"/>
  <c r="H36" i="33" s="1"/>
  <c r="L36" i="33" s="1"/>
  <c r="M36" i="33"/>
  <c r="P30" i="52"/>
  <c r="O16" i="52"/>
  <c r="C35" i="52"/>
  <c r="H26" i="33" s="1"/>
  <c r="L26" i="33" s="1"/>
  <c r="M26" i="33"/>
  <c r="N21" i="43"/>
  <c r="O15" i="43"/>
  <c r="O23" i="52"/>
  <c r="C42" i="52" s="1"/>
  <c r="H33" i="33" s="1"/>
  <c r="L33" i="33" s="1"/>
  <c r="M33" i="33"/>
  <c r="O21" i="43"/>
  <c r="O16" i="39"/>
  <c r="N24" i="52"/>
  <c r="P18" i="52"/>
  <c r="P20" i="52"/>
  <c r="O16" i="43"/>
  <c r="N18" i="39"/>
  <c r="O17" i="43"/>
  <c r="O22" i="52"/>
  <c r="C41" i="52"/>
  <c r="H32" i="33" s="1"/>
  <c r="L32" i="33" s="1"/>
  <c r="M32" i="33"/>
  <c r="N15" i="52"/>
  <c r="P24" i="39"/>
  <c r="C37" i="39" s="1"/>
  <c r="H24" i="33" s="1"/>
  <c r="L24" i="33" s="1"/>
  <c r="M24" i="33"/>
  <c r="O22" i="39"/>
  <c r="N19" i="39"/>
  <c r="S5" i="48"/>
  <c r="O18" i="39"/>
  <c r="N19" i="43"/>
  <c r="P15" i="52"/>
  <c r="O20" i="39"/>
  <c r="O14" i="42"/>
  <c r="O19" i="39"/>
  <c r="N30" i="52"/>
  <c r="P18" i="39"/>
  <c r="C31" i="39"/>
  <c r="H18" i="33" s="1"/>
  <c r="L18" i="33" s="1"/>
  <c r="M18" i="33"/>
  <c r="N25" i="52"/>
  <c r="P20" i="39"/>
  <c r="C33" i="39" s="1"/>
  <c r="H20" i="33" s="1"/>
  <c r="L20" i="33" s="1"/>
  <c r="M20" i="33"/>
  <c r="P19" i="43"/>
  <c r="C29" i="43" s="1"/>
  <c r="H12" i="33" s="1"/>
  <c r="L12" i="33" s="1"/>
  <c r="M12" i="33"/>
  <c r="N29" i="52"/>
  <c r="N18" i="43"/>
  <c r="O30" i="52"/>
  <c r="C49" i="52" s="1"/>
  <c r="H40" i="33" s="1"/>
  <c r="L40" i="33" s="1"/>
  <c r="M40" i="33"/>
  <c r="N17" i="39"/>
  <c r="P29" i="52"/>
  <c r="O25" i="52"/>
  <c r="C44" i="52" s="1"/>
  <c r="H35" i="33" s="1"/>
  <c r="L35" i="33" s="1"/>
  <c r="M35" i="33"/>
  <c r="N20" i="43"/>
  <c r="P18" i="43"/>
  <c r="C28" i="43" s="1"/>
  <c r="H11" i="33" s="1"/>
  <c r="L11" i="33" s="1"/>
  <c r="M11" i="33"/>
  <c r="N18" i="52"/>
  <c r="P21" i="43"/>
  <c r="C31" i="43" s="1"/>
  <c r="H14" i="33" s="1"/>
  <c r="L14" i="33" s="1"/>
  <c r="M14" i="33"/>
  <c r="N28" i="52"/>
  <c r="AD25" i="48"/>
  <c r="P28" i="52"/>
  <c r="N16" i="52"/>
  <c r="P19" i="39"/>
  <c r="C32" i="39" s="1"/>
  <c r="H19" i="33" s="1"/>
  <c r="L19" i="33" s="1"/>
  <c r="M19" i="33"/>
  <c r="AD20" i="48"/>
  <c r="N17" i="52"/>
  <c r="N21" i="52"/>
  <c r="N16" i="39"/>
  <c r="P27" i="52"/>
  <c r="N19" i="52"/>
  <c r="O20" i="43"/>
  <c r="O15" i="39"/>
  <c r="N23" i="52"/>
  <c r="P15" i="43"/>
  <c r="C25" i="43" s="1"/>
  <c r="H8" i="33" s="1"/>
  <c r="L8" i="33" s="1"/>
  <c r="M8" i="33"/>
  <c r="P23" i="52"/>
  <c r="P25" i="52"/>
  <c r="J16" i="48"/>
  <c r="N27" i="52"/>
  <c r="O3" i="42"/>
  <c r="AD13" i="48"/>
  <c r="O17" i="52"/>
  <c r="C36" i="52" s="1"/>
  <c r="H27" i="33" s="1"/>
  <c r="L27" i="33" s="1"/>
  <c r="M27" i="33"/>
  <c r="O17" i="39"/>
  <c r="O29" i="52"/>
  <c r="C48" i="52"/>
  <c r="H39" i="33" s="1"/>
  <c r="L39" i="33" s="1"/>
  <c r="M39" i="33"/>
  <c r="P24" i="52"/>
  <c r="P15" i="39"/>
  <c r="C28" i="39" s="1"/>
  <c r="H15" i="33" s="1"/>
  <c r="L15" i="33" s="1"/>
  <c r="M15" i="33"/>
  <c r="P17" i="52"/>
  <c r="N15" i="39"/>
  <c r="P21" i="52"/>
  <c r="O18" i="43"/>
  <c r="P20" i="43"/>
  <c r="C30" i="43" s="1"/>
  <c r="H13" i="33" s="1"/>
  <c r="L13" i="33" s="1"/>
  <c r="M13" i="33"/>
  <c r="S4" i="48"/>
  <c r="AD21" i="48"/>
  <c r="O21" i="52"/>
  <c r="C40" i="52" s="1"/>
  <c r="H31" i="33" s="1"/>
  <c r="L31" i="33" s="1"/>
  <c r="M31" i="33"/>
  <c r="N16" i="43"/>
  <c r="O27" i="52"/>
  <c r="C46" i="52"/>
  <c r="H37" i="33" s="1"/>
  <c r="L37" i="33" s="1"/>
  <c r="M37" i="33"/>
  <c r="N21" i="39"/>
  <c r="P17" i="39"/>
  <c r="C30" i="39" s="1"/>
  <c r="H17" i="33" s="1"/>
  <c r="L17" i="33" s="1"/>
  <c r="M17" i="33"/>
  <c r="P16" i="39"/>
  <c r="C29" i="39" s="1"/>
  <c r="H16" i="33" s="1"/>
  <c r="L16" i="33" s="1"/>
  <c r="M16" i="33"/>
  <c r="N15" i="33"/>
  <c r="N17" i="43"/>
  <c r="N22" i="52"/>
  <c r="P19" i="52"/>
  <c r="N24" i="39"/>
  <c r="N23" i="39"/>
  <c r="AF17" i="48"/>
  <c r="AF4" i="48"/>
  <c r="AF26" i="48"/>
  <c r="L15" i="48"/>
  <c r="C23" i="48" s="1"/>
  <c r="H3" i="33" s="1"/>
  <c r="L3" i="33" s="1"/>
  <c r="AF14" i="48"/>
  <c r="AF8" i="48"/>
  <c r="AF20" i="48"/>
  <c r="AF12" i="48"/>
  <c r="AF5" i="48"/>
  <c r="AF25" i="48"/>
  <c r="AF13" i="48"/>
  <c r="AF10" i="48"/>
  <c r="AF3" i="48"/>
  <c r="AF15" i="48"/>
  <c r="AF11" i="48"/>
  <c r="L17" i="48"/>
  <c r="C25" i="48" s="1"/>
  <c r="H5" i="33" s="1"/>
  <c r="L5" i="33" s="1"/>
  <c r="L19" i="48"/>
  <c r="C27" i="48" s="1"/>
  <c r="H7" i="33" s="1"/>
  <c r="L7" i="33" s="1"/>
  <c r="AF6" i="48"/>
  <c r="AF23" i="48"/>
  <c r="AF21" i="48"/>
  <c r="AF19" i="48"/>
  <c r="AF18" i="48"/>
  <c r="AF16" i="48"/>
  <c r="AF24" i="48"/>
  <c r="AF9" i="48"/>
  <c r="AF7" i="48"/>
  <c r="L16" i="48"/>
  <c r="C24" i="48" s="1"/>
  <c r="H4" i="33" s="1"/>
  <c r="L4" i="33" s="1"/>
  <c r="AF22" i="48"/>
  <c r="L18" i="48"/>
  <c r="C26" i="48" s="1"/>
  <c r="H6" i="33" s="1"/>
  <c r="L6" i="33" s="1"/>
  <c r="M7" i="33"/>
  <c r="M4" i="33"/>
  <c r="M3" i="33"/>
  <c r="M5" i="33"/>
  <c r="M6" i="33"/>
  <c r="N2" i="33"/>
  <c r="N25" i="33"/>
  <c r="N8" i="33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<sst xmlns="http://schemas.openxmlformats.org/spreadsheetml/2006/main" count="919" uniqueCount="187">
  <si>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</si>
  <si>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</si>
  <si>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</si>
  <si>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</si>
  <si>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</si>
  <si>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</si>
  <si>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</si>
  <si>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</si>
  <si>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</si>
  <si>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</si>
  <si>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</si>
  <si>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</si>
  <si>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</si>
  <si>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</si>
  <si>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</si>
  <si>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</si>
  <si>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</si>
  <si>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</si>
  <si>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</si>
  <si>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</si>
  <si>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</si>
  <si>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</si>
  <si>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</si>
  <si>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</si>
  <si>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</si>
  <si>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</si>
  <si>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</si>
  <si>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</si>
  <si>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</si>
  <si>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</si>
  <si>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</si>
  <si>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</si>
  <si>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</si>
  <si>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</si>
  <si>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</si>
  <si>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</si>
  <si>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</si>
  <si>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</si>
  <si>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</si>
  <si>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</si>
  <si>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</si>
  <si>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</si>
  <si>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</si>
  <si>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</si>
  <si>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</si>
  <si>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</si>
  <si>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</si>
  <si>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</si>
  <si>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</si>
  <si>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</si>
  <si>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</si>
  <si>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</si>
  <si>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</si>
  <si>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</si>
  <si>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</si>
  <si>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</si>
  <si>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</si>
  <si>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</si>
  <si>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</si>
  <si>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</si>
  <si>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</si>
  <si>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</si>
  <si>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</si>
  <si>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</si>
  <si>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</si>
  <si>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</si>
  <si>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</si>
  <si>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</si>
  <si>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</si>
  <si>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</si>
  <si>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</si>
  <si>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</si>
  <si>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</si>
  <si>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</si>
  <si>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</si>
  <si>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</si>
  <si>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</si>
  <si>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</si>
  <si>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</si>
  <si>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</si>
  <si>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</si>
  <si>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</si>
  <si>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</si>
  <si>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</si>
  <si>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</si>
  <si>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</si>
  <si>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</si>
  <si>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</si>
  <si>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</si>
  <si>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</si>
  <si>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</si>
  <si>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</si>
  <si>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</si>
  <si>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</si>
  <si>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</si>
  <si>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</si>
  <si>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</si>
  <si>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</si>
  <si>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</si>
  <si>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</si>
  <si>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</si>
  <si>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</si>
  <si>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</si>
  <si>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</si>
  <si>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</si>
  <si>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</si>
  <si>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</si>
  <si>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</si>
  <si>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</si>
  <si>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</si>
  <si>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</si>
  <si>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</si>
  <si>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</si>
  <si>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</si>
  <si>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</si>
  <si>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</si>
  <si>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</si>
  <si>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</si>
  <si>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</si>
  <si>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</si>
  <si>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</si>
  <si>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</si>
  <si>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</si>
  <si>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</si>
  <si>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</si>
  <si>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</si>
  <si>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</si>
  <si>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</si>
  <si>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</si>
  <si>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</si>
  <si>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</si>
  <si>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</si>
  <si>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</si>
  <si>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</si>
  <si>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</si>
  <si>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</si>
  <si>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</si>
  <si>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UnitedKingdom::Exchange</t>
  </si>
  <si>
    <t>Swap index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</si>
  <si>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</si>
  <si>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</si>
  <si>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</si>
  <si>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</si>
  <si>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</si>
  <si>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</si>
  <si>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</si>
  <si>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</si>
  <si>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</si>
  <si>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</si>
  <si>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</si>
  <si>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</si>
  <si>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</si>
  <si>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</si>
  <si>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</si>
  <si>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</si>
  <si>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</si>
  <si>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</si>
  <si>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</si>
  <si>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</si>
  <si>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</si>
  <si>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</si>
  <si>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</si>
  <si>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</si>
  <si>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</si>
  <si>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</si>
  <si>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</si>
  <si>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</si>
  <si>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</si>
  <si>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</si>
  <si>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</si>
  <si>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</si>
  <si>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</si>
  <si>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</si>
  <si>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</si>
  <si>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</si>
  <si>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3L</t>
  </si>
  <si>
    <t>AM</t>
  </si>
  <si>
    <t>Calendars</t>
  </si>
  <si>
    <t>Join Calendar Rule</t>
  </si>
  <si>
    <t>Join Calendar</t>
  </si>
  <si>
    <t>JoinHolidays</t>
  </si>
  <si>
    <t xml:space="preserve"> </t>
  </si>
  <si>
    <t>Errors</t>
  </si>
  <si>
    <t>Settl Days</t>
  </si>
  <si>
    <t>Quote ID</t>
  </si>
  <si>
    <t xml:space="preserve">Quote Object </t>
  </si>
  <si>
    <t>Quote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</si>
</sst>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80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171" fontId="11" fillId="0" borderId="3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69" fontId="11" fillId="3" borderId="8" xfId="0" applyNumberFormat="1" applyFont="1" applyFill="1" applyBorder="1" applyAlignment="1">
      <alignment horizontal="right"/>
    </xf>
    <xf numFmtId="169" fontId="11" fillId="3" borderId="10" xfId="0" applyNumberFormat="1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3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0" fontId="11" fillId="4" borderId="0" xfId="0" applyFont="1" applyFill="1"/>
    <xf numFmtId="170" fontId="11" fillId="4" borderId="3" xfId="0" applyNumberFormat="1" applyFont="1" applyFill="1" applyBorder="1" applyAlignment="1"/>
    <xf numFmtId="171" fontId="11" fillId="4" borderId="3" xfId="0" applyNumberFormat="1" applyFont="1" applyFill="1" applyBorder="1" applyAlignment="1"/>
    <xf numFmtId="0" fontId="11" fillId="4" borderId="0" xfId="0" applyFont="1" applyFill="1" applyBorder="1"/>
    <xf numFmtId="171" fontId="11" fillId="4" borderId="5" xfId="17" applyNumberFormat="1" applyFont="1" applyFill="1" applyBorder="1"/>
    <xf numFmtId="171" fontId="11" fillId="4" borderId="8" xfId="0" applyNumberFormat="1" applyFont="1" applyFill="1" applyBorder="1"/>
    <xf numFmtId="171" fontId="11" fillId="4" borderId="3" xfId="0" applyNumberFormat="1" applyFont="1" applyFill="1" applyBorder="1"/>
    <xf numFmtId="170" fontId="11" fillId="4" borderId="8" xfId="0" applyNumberFormat="1" applyFont="1" applyFill="1" applyBorder="1" applyAlignment="1"/>
    <xf numFmtId="170" fontId="11" fillId="4" borderId="8" xfId="0" applyNumberFormat="1" applyFont="1" applyFill="1" applyBorder="1"/>
    <xf numFmtId="170" fontId="11" fillId="4" borderId="3" xfId="0" applyNumberFormat="1" applyFont="1" applyFill="1" applyBorder="1"/>
    <xf numFmtId="172" fontId="11" fillId="4" borderId="3" xfId="0" applyNumberFormat="1" applyFont="1" applyFill="1" applyBorder="1"/>
    <xf numFmtId="171" fontId="11" fillId="4" borderId="10" xfId="0" applyNumberFormat="1" applyFont="1" applyFill="1" applyBorder="1"/>
    <xf numFmtId="170" fontId="11" fillId="0" borderId="3" xfId="0" applyNumberFormat="1" applyFont="1" applyBorder="1"/>
    <xf numFmtId="0" fontId="11" fillId="4" borderId="3" xfId="14" applyFont="1" applyFill="1" applyBorder="1"/>
    <xf numFmtId="171" fontId="11" fillId="4" borderId="3" xfId="14" applyNumberFormat="1" applyFont="1" applyFill="1" applyBorder="1"/>
    <xf numFmtId="170" fontId="11" fillId="4" borderId="3" xfId="14" applyNumberFormat="1" applyFont="1" applyFill="1" applyBorder="1"/>
    <xf numFmtId="0" fontId="11" fillId="4" borderId="10" xfId="14" applyFont="1" applyFill="1" applyBorder="1"/>
    <xf numFmtId="171" fontId="11" fillId="4" borderId="10" xfId="14" applyNumberFormat="1" applyFont="1" applyFill="1" applyBorder="1"/>
    <xf numFmtId="170" fontId="11" fillId="4" borderId="10" xfId="14" applyNumberFormat="1" applyFont="1" applyFill="1" applyBorder="1"/>
    <xf numFmtId="174" fontId="11" fillId="4" borderId="8" xfId="14" applyNumberFormat="1" applyFont="1" applyFill="1" applyBorder="1"/>
    <xf numFmtId="174" fontId="11" fillId="4" borderId="3" xfId="14" applyNumberFormat="1" applyFont="1" applyFill="1" applyBorder="1"/>
    <xf numFmtId="174" fontId="11" fillId="4" borderId="10" xfId="14" applyNumberFormat="1" applyFont="1" applyFill="1" applyBorder="1"/>
    <xf numFmtId="0" fontId="11" fillId="4" borderId="5" xfId="14" applyFont="1" applyFill="1" applyBorder="1"/>
    <xf numFmtId="0" fontId="11" fillId="4" borderId="6" xfId="14" applyFont="1" applyFill="1" applyBorder="1"/>
    <xf numFmtId="170" fontId="23" fillId="4" borderId="3" xfId="43" applyNumberFormat="1" applyFont="1" applyFill="1" applyBorder="1"/>
    <xf numFmtId="0" fontId="11" fillId="0" borderId="14" xfId="14" applyFont="1" applyBorder="1"/>
    <xf numFmtId="174" fontId="11" fillId="3" borderId="8" xfId="0" applyNumberFormat="1" applyFont="1" applyFill="1" applyBorder="1" applyAlignment="1">
      <alignment horizontal="center"/>
    </xf>
    <xf numFmtId="174" fontId="11" fillId="3" borderId="10" xfId="0" applyNumberFormat="1" applyFont="1" applyFill="1" applyBorder="1" applyAlignment="1">
      <alignment horizontal="center"/>
    </xf>
    <xf numFmtId="171" fontId="11" fillId="4" borderId="3" xfId="14" applyNumberFormat="1" applyFont="1" applyFill="1" applyBorder="1" applyAlignment="1">
      <alignment horizontal="center" vertical="center"/>
    </xf>
    <xf numFmtId="171" fontId="11" fillId="4" borderId="10" xfId="14" applyNumberFormat="1" applyFont="1" applyFill="1" applyBorder="1" applyAlignment="1">
      <alignment horizontal="center" vertical="center"/>
    </xf>
    <xf numFmtId="171" fontId="11" fillId="4" borderId="3" xfId="14" applyNumberFormat="1" applyFont="1" applyFill="1" applyBorder="1" applyAlignment="1">
      <alignment horizontal="center"/>
    </xf>
    <xf numFmtId="171" fontId="11" fillId="4" borderId="10" xfId="14" applyNumberFormat="1" applyFont="1" applyFill="1" applyBorder="1" applyAlignment="1">
      <alignment horizontal="center"/>
    </xf>
    <xf numFmtId="170" fontId="11" fillId="4" borderId="1" xfId="0" applyNumberFormat="1" applyFont="1" applyFill="1" applyBorder="1" applyAlignment="1"/>
    <xf numFmtId="0" fontId="11" fillId="6" borderId="3" xfId="0" applyFont="1" applyFill="1" applyBorder="1" applyAlignment="1">
      <alignment horizontal="center"/>
    </xf>
    <xf numFmtId="172" fontId="11" fillId="0" borderId="3" xfId="0" applyNumberFormat="1" applyFont="1" applyBorder="1"/>
    <xf numFmtId="174" fontId="11" fillId="0" borderId="3" xfId="0" applyNumberFormat="1" applyFont="1" applyBorder="1"/>
    <xf numFmtId="174" fontId="11" fillId="4" borderId="13" xfId="0" applyNumberFormat="1" applyFont="1" applyFill="1" applyBorder="1"/>
    <xf numFmtId="174" fontId="11" fillId="4" borderId="5" xfId="0" applyNumberFormat="1" applyFont="1" applyFill="1" applyBorder="1"/>
    <xf numFmtId="172" fontId="11" fillId="4" borderId="1" xfId="0" applyNumberFormat="1" applyFont="1" applyFill="1" applyBorder="1"/>
    <xf numFmtId="174" fontId="11" fillId="4" borderId="3" xfId="17" applyNumberFormat="1" applyFont="1" applyFill="1" applyBorder="1"/>
    <xf numFmtId="172" fontId="11" fillId="4" borderId="8" xfId="0" applyNumberFormat="1" applyFont="1" applyFill="1" applyBorder="1"/>
    <xf numFmtId="171" fontId="11" fillId="4" borderId="13" xfId="17" applyNumberFormat="1" applyFont="1" applyFill="1" applyBorder="1"/>
    <xf numFmtId="171" fontId="11" fillId="4" borderId="5" xfId="0" applyNumberFormat="1" applyFont="1" applyFill="1" applyBorder="1"/>
    <xf numFmtId="171" fontId="11" fillId="0" borderId="8" xfId="0" applyNumberFormat="1" applyFont="1" applyBorder="1"/>
    <xf numFmtId="174" fontId="11" fillId="0" borderId="8" xfId="0" applyNumberFormat="1" applyFont="1" applyBorder="1"/>
    <xf numFmtId="171" fontId="11" fillId="0" borderId="10" xfId="0" applyNumberFormat="1" applyFont="1" applyBorder="1"/>
    <xf numFmtId="174" fontId="11" fillId="0" borderId="10" xfId="0" applyNumberFormat="1" applyFont="1" applyBorder="1"/>
    <xf numFmtId="0" fontId="11" fillId="3" borderId="14" xfId="0" quotePrefix="1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174" fontId="11" fillId="4" borderId="8" xfId="0" applyNumberFormat="1" applyFont="1" applyFill="1" applyBorder="1"/>
    <xf numFmtId="174" fontId="11" fillId="4" borderId="3" xfId="0" applyNumberFormat="1" applyFont="1" applyFill="1" applyBorder="1"/>
    <xf numFmtId="0" fontId="11" fillId="0" borderId="3" xfId="0" applyNumberFormat="1" applyFont="1" applyBorder="1"/>
    <xf numFmtId="178" fontId="21" fillId="4" borderId="1" xfId="0" applyNumberFormat="1" applyFont="1" applyFill="1" applyBorder="1" applyAlignment="1"/>
    <xf numFmtId="178" fontId="11" fillId="4" borderId="3" xfId="0" applyNumberFormat="1" applyFont="1" applyFill="1" applyBorder="1" applyAlignment="1"/>
    <xf numFmtId="170" fontId="11" fillId="0" borderId="10" xfId="0" applyNumberFormat="1" applyFont="1" applyBorder="1"/>
    <xf numFmtId="172" fontId="11" fillId="0" borderId="10" xfId="0" applyNumberFormat="1" applyFont="1" applyBorder="1"/>
    <xf numFmtId="0" fontId="11" fillId="6" borderId="10" xfId="0" applyFont="1" applyFill="1" applyBorder="1" applyAlignment="1">
      <alignment horizontal="center"/>
    </xf>
    <xf numFmtId="2" fontId="11" fillId="0" borderId="3" xfId="0" applyNumberFormat="1" applyFont="1" applyBorder="1"/>
    <xf numFmtId="174" fontId="11" fillId="4" borderId="1" xfId="0" applyNumberFormat="1" applyFont="1" applyFill="1" applyBorder="1" applyAlignment="1"/>
    <xf numFmtId="174" fontId="11" fillId="4" borderId="3" xfId="0" applyNumberFormat="1" applyFont="1" applyFill="1" applyBorder="1" applyAlignment="1"/>
    <xf numFmtId="172" fontId="11" fillId="4" borderId="1" xfId="0" applyNumberFormat="1" applyFont="1" applyFill="1" applyBorder="1" applyAlignment="1"/>
    <xf numFmtId="172" fontId="11" fillId="4" borderId="3" xfId="0" applyNumberFormat="1" applyFont="1" applyFill="1" applyBorder="1" applyAlignment="1"/>
    <xf numFmtId="171" fontId="11" fillId="4" borderId="1" xfId="0" applyNumberFormat="1" applyFont="1" applyFill="1" applyBorder="1" applyAlignment="1"/>
    <xf numFmtId="2" fontId="11" fillId="0" borderId="10" xfId="0" applyNumberFormat="1" applyFont="1" applyBorder="1"/>
    <xf numFmtId="0" fontId="11" fillId="4" borderId="3" xfId="0" applyFont="1" applyFill="1" applyBorder="1" applyAlignment="1">
      <alignment horizontal="center" vertical="center"/>
    </xf>
    <xf numFmtId="0" fontId="11" fillId="9" borderId="0" xfId="15" applyFont="1" applyFill="1"/>
    <xf numFmtId="0" fontId="11" fillId="9" borderId="0" xfId="16" applyFont="1" applyFill="1"/>
    <xf numFmtId="0" fontId="11" fillId="9" borderId="0" xfId="0" applyFont="1" applyFill="1"/>
    <xf numFmtId="0" fontId="11" fillId="9" borderId="0" xfId="0" applyNumberFormat="1" applyFont="1" applyFill="1"/>
    <xf numFmtId="0" fontId="11" fillId="9" borderId="0" xfId="0" applyFont="1" applyFill="1" applyBorder="1"/>
    <xf numFmtId="0" fontId="11" fillId="9" borderId="0" xfId="0" applyFont="1" applyFill="1" applyBorder="1" applyAlignment="1"/>
    <xf numFmtId="170" fontId="11" fillId="9" borderId="0" xfId="0" applyNumberFormat="1" applyFont="1" applyFill="1" applyBorder="1" applyAlignment="1"/>
    <xf numFmtId="171" fontId="11" fillId="9" borderId="0" xfId="0" applyNumberFormat="1" applyFont="1" applyFill="1" applyBorder="1" applyAlignment="1"/>
    <xf numFmtId="172" fontId="11" fillId="9" borderId="0" xfId="0" applyNumberFormat="1" applyFont="1" applyFill="1" applyBorder="1"/>
    <xf numFmtId="171" fontId="11" fillId="9" borderId="0" xfId="17" applyNumberFormat="1" applyFont="1" applyFill="1" applyBorder="1"/>
    <xf numFmtId="0" fontId="2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11" fillId="9" borderId="0" xfId="0" applyFont="1" applyFill="1" applyAlignment="1"/>
    <xf numFmtId="0" fontId="22" fillId="9" borderId="0" xfId="0" applyFont="1" applyFill="1" applyAlignment="1">
      <alignment horizontal="center" vertical="center"/>
    </xf>
    <xf numFmtId="2" fontId="11" fillId="9" borderId="5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 applyAlignment="1">
      <alignment horizontal="center" vertical="center"/>
    </xf>
    <xf numFmtId="2" fontId="11" fillId="9" borderId="4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/>
    <xf numFmtId="171" fontId="11" fillId="9" borderId="3" xfId="0" applyNumberFormat="1" applyFont="1" applyFill="1" applyBorder="1" applyAlignment="1">
      <alignment vertical="center"/>
    </xf>
    <xf numFmtId="2" fontId="11" fillId="9" borderId="0" xfId="0" applyNumberFormat="1" applyFont="1" applyFill="1" applyBorder="1" applyAlignment="1"/>
    <xf numFmtId="171" fontId="11" fillId="9" borderId="3" xfId="0" applyNumberFormat="1" applyFont="1" applyFill="1" applyBorder="1" applyAlignment="1"/>
    <xf numFmtId="0" fontId="11" fillId="9" borderId="0" xfId="0" applyFont="1" applyFill="1" applyBorder="1" applyAlignment="1">
      <alignment horizontal="center"/>
    </xf>
    <xf numFmtId="0" fontId="11" fillId="9" borderId="0" xfId="0" applyFont="1" applyFill="1" applyAlignment="1">
      <alignment vertical="center"/>
    </xf>
    <xf numFmtId="2" fontId="11" fillId="9" borderId="0" xfId="0" applyNumberFormat="1" applyFont="1" applyFill="1"/>
    <xf numFmtId="0" fontId="11" fillId="9" borderId="0" xfId="0" applyFont="1" applyFill="1" applyAlignment="1">
      <alignment horizontal="center" vertical="center"/>
    </xf>
    <xf numFmtId="2" fontId="11" fillId="9" borderId="3" xfId="0" applyNumberFormat="1" applyFont="1" applyFill="1" applyBorder="1" applyAlignment="1">
      <alignment horizontal="center" vertical="center"/>
    </xf>
    <xf numFmtId="176" fontId="11" fillId="9" borderId="0" xfId="0" applyNumberFormat="1" applyFont="1" applyFill="1"/>
    <xf numFmtId="0" fontId="11" fillId="9" borderId="16" xfId="0" applyFont="1" applyFill="1" applyBorder="1"/>
    <xf numFmtId="0" fontId="11" fillId="4" borderId="16" xfId="0" applyFont="1" applyFill="1" applyBorder="1"/>
    <xf numFmtId="171" fontId="11" fillId="9" borderId="0" xfId="0" applyNumberFormat="1" applyFont="1" applyFill="1" applyBorder="1"/>
    <xf numFmtId="171" fontId="11" fillId="9" borderId="0" xfId="0" applyNumberFormat="1" applyFont="1" applyFill="1"/>
    <xf numFmtId="171" fontId="11" fillId="4" borderId="10" xfId="0" applyNumberFormat="1" applyFont="1" applyFill="1" applyBorder="1" applyAlignment="1">
      <alignment horizontal="center" vertical="center"/>
    </xf>
    <xf numFmtId="0" fontId="12" fillId="9" borderId="0" xfId="14" applyFont="1" applyFill="1"/>
    <xf numFmtId="0" fontId="11" fillId="9" borderId="0" xfId="14" applyFont="1" applyFill="1"/>
    <xf numFmtId="0" fontId="11" fillId="8" borderId="3" xfId="14" applyNumberFormat="1" applyFont="1" applyFill="1" applyBorder="1" applyAlignment="1"/>
    <xf numFmtId="177" fontId="11" fillId="9" borderId="3" xfId="0" applyNumberFormat="1" applyFont="1" applyFill="1" applyBorder="1" applyAlignment="1"/>
    <xf numFmtId="0" fontId="17" fillId="7" borderId="1" xfId="14" applyFont="1" applyFill="1" applyBorder="1" applyAlignment="1">
      <alignment horizontal="center" vertical="center" wrapText="1"/>
    </xf>
    <xf numFmtId="0" fontId="17" fillId="7" borderId="1" xfId="32" applyFont="1" applyFill="1" applyBorder="1" applyAlignment="1">
      <alignment horizontal="center" vertical="center" wrapText="1"/>
    </xf>
    <xf numFmtId="0" fontId="11" fillId="7" borderId="1" xfId="14" applyFont="1" applyFill="1" applyBorder="1" applyAlignment="1">
      <alignment horizontal="center" vertical="center"/>
    </xf>
    <xf numFmtId="0" fontId="11" fillId="7" borderId="1" xfId="14" applyFont="1" applyFill="1" applyBorder="1" applyAlignment="1">
      <alignment horizontal="center" vertical="center" wrapText="1"/>
    </xf>
    <xf numFmtId="0" fontId="11" fillId="7" borderId="11" xfId="14" applyFont="1" applyFill="1" applyBorder="1" applyAlignment="1">
      <alignment horizontal="centerContinuous" vertical="center"/>
    </xf>
    <xf numFmtId="0" fontId="11" fillId="7" borderId="12" xfId="14" applyFont="1" applyFill="1" applyBorder="1" applyAlignment="1">
      <alignment horizontal="centerContinuous" vertical="center"/>
    </xf>
    <xf numFmtId="0" fontId="11" fillId="7" borderId="2" xfId="14" applyFont="1" applyFill="1" applyBorder="1" applyAlignment="1">
      <alignment horizontal="centerContinuous" vertical="center"/>
    </xf>
    <xf numFmtId="0" fontId="11" fillId="8" borderId="3" xfId="14" applyNumberFormat="1" applyFont="1" applyFill="1" applyBorder="1" applyAlignment="1">
      <alignment horizontal="center"/>
    </xf>
    <xf numFmtId="0" fontId="11" fillId="8" borderId="3" xfId="14" applyFont="1" applyFill="1" applyBorder="1"/>
    <xf numFmtId="0" fontId="11" fillId="8" borderId="3" xfId="32" applyFont="1" applyFill="1" applyBorder="1"/>
    <xf numFmtId="0" fontId="11" fillId="8" borderId="3" xfId="14" applyFont="1" applyFill="1" applyBorder="1" applyAlignment="1">
      <alignment horizontal="center"/>
    </xf>
    <xf numFmtId="0" fontId="11" fillId="8" borderId="3" xfId="14" applyFont="1" applyFill="1" applyBorder="1" applyAlignment="1">
      <alignment horizontal="left"/>
    </xf>
    <xf numFmtId="0" fontId="11" fillId="8" borderId="3" xfId="35" applyNumberFormat="1" applyFont="1" applyFill="1" applyBorder="1" applyAlignment="1">
      <alignment horizontal="center"/>
    </xf>
    <xf numFmtId="0" fontId="11" fillId="8" borderId="3" xfId="32" applyNumberFormat="1" applyFont="1" applyFill="1" applyBorder="1" applyAlignment="1">
      <alignment horizontal="center"/>
    </xf>
    <xf numFmtId="171" fontId="11" fillId="8" borderId="3" xfId="14" applyNumberFormat="1" applyFont="1" applyFill="1" applyBorder="1" applyAlignment="1">
      <alignment horizontal="left"/>
    </xf>
    <xf numFmtId="0" fontId="11" fillId="8" borderId="3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>
      <alignment horizontal="center"/>
    </xf>
    <xf numFmtId="0" fontId="11" fillId="8" borderId="10" xfId="35" applyNumberFormat="1" applyFont="1" applyFill="1" applyBorder="1" applyAlignment="1">
      <alignment horizontal="center"/>
    </xf>
    <xf numFmtId="0" fontId="11" fillId="8" borderId="10" xfId="32" applyNumberFormat="1" applyFont="1" applyFill="1" applyBorder="1" applyAlignment="1">
      <alignment horizontal="center"/>
    </xf>
    <xf numFmtId="0" fontId="11" fillId="8" borderId="10" xfId="14" applyFont="1" applyFill="1" applyBorder="1" applyAlignment="1">
      <alignment horizontal="center"/>
    </xf>
    <xf numFmtId="171" fontId="11" fillId="8" borderId="10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/>
    <xf numFmtId="0" fontId="11" fillId="8" borderId="10" xfId="14" applyFont="1" applyFill="1" applyBorder="1"/>
    <xf numFmtId="0" fontId="11" fillId="9" borderId="0" xfId="14" applyFont="1" applyFill="1" applyBorder="1" applyAlignment="1">
      <alignment horizontal="center" vertical="center"/>
    </xf>
    <xf numFmtId="0" fontId="11" fillId="9" borderId="0" xfId="14" applyFont="1" applyFill="1" applyBorder="1"/>
    <xf numFmtId="0" fontId="11" fillId="9" borderId="0" xfId="32" applyFont="1" applyFill="1"/>
    <xf numFmtId="171" fontId="11" fillId="9" borderId="0" xfId="42" applyNumberFormat="1" applyFont="1" applyFill="1"/>
    <xf numFmtId="0" fontId="11" fillId="9" borderId="0" xfId="14" applyFont="1" applyFill="1" applyAlignment="1">
      <alignment horizontal="left"/>
    </xf>
    <xf numFmtId="170" fontId="11" fillId="9" borderId="0" xfId="0" applyNumberFormat="1" applyFont="1" applyFill="1"/>
    <xf numFmtId="179" fontId="11" fillId="9" borderId="0" xfId="0" applyNumberFormat="1" applyFont="1" applyFill="1"/>
    <xf numFmtId="170" fontId="11" fillId="9" borderId="0" xfId="0" applyNumberFormat="1" applyFont="1" applyFill="1" applyBorder="1"/>
    <xf numFmtId="0" fontId="11" fillId="9" borderId="0" xfId="0" applyFont="1" applyFill="1" applyAlignment="1">
      <alignment horizontal="right"/>
    </xf>
    <xf numFmtId="0" fontId="11" fillId="9" borderId="0" xfId="0" applyNumberFormat="1" applyFont="1" applyFill="1" applyBorder="1"/>
    <xf numFmtId="49" fontId="11" fillId="8" borderId="8" xfId="40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171" fontId="11" fillId="8" borderId="8" xfId="40" applyNumberFormat="1" applyFont="1" applyFill="1" applyBorder="1" applyAlignment="1">
      <alignment horizontal="left"/>
    </xf>
    <xf numFmtId="0" fontId="16" fillId="8" borderId="8" xfId="32" applyNumberFormat="1" applyFont="1" applyFill="1" applyBorder="1" applyAlignment="1"/>
    <xf numFmtId="0" fontId="11" fillId="8" borderId="8" xfId="32" applyNumberFormat="1" applyFont="1" applyFill="1" applyBorder="1" applyAlignment="1">
      <alignment horizontal="left"/>
    </xf>
    <xf numFmtId="49" fontId="11" fillId="8" borderId="3" xfId="40" applyNumberFormat="1" applyFont="1" applyFill="1" applyBorder="1" applyAlignment="1">
      <alignment horizontal="center"/>
    </xf>
    <xf numFmtId="171" fontId="11" fillId="8" borderId="3" xfId="40" applyNumberFormat="1" applyFont="1" applyFill="1" applyBorder="1" applyAlignment="1">
      <alignment horizontal="left"/>
    </xf>
    <xf numFmtId="0" fontId="11" fillId="8" borderId="3" xfId="32" applyNumberFormat="1" applyFont="1" applyFill="1" applyBorder="1" applyAlignment="1"/>
    <xf numFmtId="0" fontId="11" fillId="8" borderId="3" xfId="32" applyNumberFormat="1" applyFont="1" applyFill="1" applyBorder="1" applyAlignment="1">
      <alignment horizontal="left"/>
    </xf>
    <xf numFmtId="49" fontId="11" fillId="8" borderId="10" xfId="40" applyNumberFormat="1" applyFont="1" applyFill="1" applyBorder="1" applyAlignment="1">
      <alignment horizontal="center"/>
    </xf>
    <xf numFmtId="171" fontId="11" fillId="8" borderId="10" xfId="40" applyNumberFormat="1" applyFont="1" applyFill="1" applyBorder="1" applyAlignment="1">
      <alignment horizontal="left"/>
    </xf>
    <xf numFmtId="0" fontId="11" fillId="8" borderId="10" xfId="32" applyNumberFormat="1" applyFont="1" applyFill="1" applyBorder="1" applyAlignment="1"/>
    <xf numFmtId="0" fontId="11" fillId="8" borderId="10" xfId="32" applyNumberFormat="1" applyFont="1" applyFill="1" applyBorder="1" applyAlignment="1">
      <alignment horizontal="left"/>
    </xf>
    <xf numFmtId="49" fontId="11" fillId="8" borderId="8" xfId="35" applyNumberFormat="1" applyFont="1" applyFill="1" applyBorder="1" applyAlignment="1">
      <alignment horizontal="center"/>
    </xf>
    <xf numFmtId="171" fontId="11" fillId="8" borderId="8" xfId="35" applyNumberFormat="1" applyFont="1" applyFill="1" applyBorder="1" applyAlignment="1">
      <alignment horizontal="left"/>
    </xf>
    <xf numFmtId="49" fontId="11" fillId="8" borderId="3" xfId="35" applyNumberFormat="1" applyFont="1" applyFill="1" applyBorder="1" applyAlignment="1">
      <alignment horizontal="center"/>
    </xf>
    <xf numFmtId="171" fontId="11" fillId="8" borderId="3" xfId="35" applyNumberFormat="1" applyFont="1" applyFill="1" applyBorder="1" applyAlignment="1">
      <alignment horizontal="left"/>
    </xf>
    <xf numFmtId="49" fontId="11" fillId="8" borderId="10" xfId="35" applyNumberFormat="1" applyFont="1" applyFill="1" applyBorder="1" applyAlignment="1">
      <alignment horizontal="center"/>
    </xf>
    <xf numFmtId="171" fontId="11" fillId="8" borderId="10" xfId="35" applyNumberFormat="1" applyFont="1" applyFill="1" applyBorder="1" applyAlignment="1">
      <alignment horizontal="left"/>
    </xf>
    <xf numFmtId="0" fontId="11" fillId="7" borderId="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/>
    <xf numFmtId="171" fontId="11" fillId="4" borderId="1" xfId="17" applyNumberFormat="1" applyFont="1" applyFill="1" applyBorder="1"/>
    <xf numFmtId="0" fontId="11" fillId="4" borderId="3" xfId="0" applyFont="1" applyFill="1" applyBorder="1" applyAlignment="1"/>
    <xf numFmtId="171" fontId="11" fillId="4" borderId="3" xfId="17" applyNumberFormat="1" applyFont="1" applyFill="1" applyBorder="1"/>
    <xf numFmtId="0" fontId="11" fillId="4" borderId="10" xfId="0" applyFont="1" applyFill="1" applyBorder="1" applyAlignment="1"/>
    <xf numFmtId="170" fontId="11" fillId="4" borderId="10" xfId="0" applyNumberFormat="1" applyFont="1" applyFill="1" applyBorder="1" applyAlignment="1"/>
    <xf numFmtId="178" fontId="11" fillId="4" borderId="10" xfId="0" applyNumberFormat="1" applyFont="1" applyFill="1" applyBorder="1" applyAlignment="1"/>
    <xf numFmtId="172" fontId="11" fillId="4" borderId="10" xfId="0" applyNumberFormat="1" applyFont="1" applyFill="1" applyBorder="1"/>
    <xf numFmtId="171" fontId="11" fillId="4" borderId="10" xfId="17" applyNumberFormat="1" applyFont="1" applyFill="1" applyBorder="1"/>
    <xf numFmtId="0" fontId="11" fillId="4" borderId="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0" fontId="11" fillId="4" borderId="10" xfId="0" applyNumberFormat="1" applyFont="1" applyFill="1" applyBorder="1"/>
    <xf numFmtId="174" fontId="11" fillId="4" borderId="6" xfId="0" applyNumberFormat="1" applyFont="1" applyFill="1" applyBorder="1"/>
    <xf numFmtId="174" fontId="11" fillId="4" borderId="10" xfId="17" applyNumberFormat="1" applyFont="1" applyFill="1" applyBorder="1"/>
    <xf numFmtId="171" fontId="11" fillId="4" borderId="6" xfId="0" applyNumberFormat="1" applyFont="1" applyFill="1" applyBorder="1"/>
    <xf numFmtId="0" fontId="17" fillId="6" borderId="8" xfId="0" applyFont="1" applyFill="1" applyBorder="1" applyAlignment="1">
      <alignment horizontal="centerContinuous" vertical="center" wrapText="1"/>
    </xf>
    <xf numFmtId="0" fontId="17" fillId="6" borderId="1" xfId="0" applyFont="1" applyFill="1" applyBorder="1" applyAlignment="1">
      <alignment horizontal="center" vertical="center" wrapText="1"/>
    </xf>
    <xf numFmtId="170" fontId="11" fillId="4" borderId="1" xfId="0" applyNumberFormat="1" applyFont="1" applyFill="1" applyBorder="1" applyAlignment="1">
      <alignment horizontal="center" vertical="center"/>
    </xf>
    <xf numFmtId="170" fontId="11" fillId="4" borderId="1" xfId="0" applyNumberFormat="1" applyFont="1" applyFill="1" applyBorder="1" applyAlignment="1">
      <alignment vertical="center"/>
    </xf>
    <xf numFmtId="174" fontId="11" fillId="4" borderId="10" xfId="0" applyNumberFormat="1" applyFont="1" applyFill="1" applyBorder="1" applyAlignment="1"/>
    <xf numFmtId="172" fontId="11" fillId="4" borderId="10" xfId="0" applyNumberFormat="1" applyFont="1" applyFill="1" applyBorder="1" applyAlignment="1"/>
    <xf numFmtId="171" fontId="11" fillId="4" borderId="10" xfId="0" applyNumberFormat="1" applyFont="1" applyFill="1" applyBorder="1" applyAlignment="1"/>
    <xf numFmtId="0" fontId="11" fillId="9" borderId="14" xfId="0" applyFont="1" applyFill="1" applyBorder="1"/>
    <xf numFmtId="174" fontId="11" fillId="4" borderId="10" xfId="0" applyNumberFormat="1" applyFont="1" applyFill="1" applyBorder="1"/>
    <xf numFmtId="0" fontId="11" fillId="9" borderId="0" xfId="0" applyNumberFormat="1" applyFont="1" applyFill="1" applyBorder="1" applyAlignment="1"/>
    <xf numFmtId="171" fontId="11" fillId="4" borderId="6" xfId="17" applyNumberFormat="1" applyFont="1" applyFill="1" applyBorder="1"/>
    <xf numFmtId="170" fontId="11" fillId="0" borderId="8" xfId="0" applyNumberFormat="1" applyFont="1" applyFill="1" applyBorder="1"/>
    <xf numFmtId="170" fontId="11" fillId="0" borderId="3" xfId="0" applyNumberFormat="1" applyFont="1" applyFill="1" applyBorder="1"/>
    <xf numFmtId="170" fontId="11" fillId="0" borderId="10" xfId="0" applyNumberFormat="1" applyFont="1" applyFill="1" applyBorder="1"/>
    <xf numFmtId="0" fontId="11" fillId="9" borderId="8" xfId="0" applyFont="1" applyFill="1" applyBorder="1"/>
    <xf numFmtId="0" fontId="11" fillId="9" borderId="3" xfId="0" applyFont="1" applyFill="1" applyBorder="1"/>
    <xf numFmtId="171" fontId="11" fillId="4" borderId="8" xfId="17" applyNumberFormat="1" applyFont="1" applyFill="1" applyBorder="1"/>
    <xf numFmtId="0" fontId="11" fillId="9" borderId="10" xfId="0" applyFont="1" applyFill="1" applyBorder="1"/>
    <xf numFmtId="0" fontId="23" fillId="4" borderId="3" xfId="43" applyFont="1" applyFill="1" applyBorder="1"/>
    <xf numFmtId="178" fontId="11" fillId="0" borderId="3" xfId="0" applyNumberFormat="1" applyFont="1" applyBorder="1"/>
    <xf numFmtId="0" fontId="23" fillId="4" borderId="10" xfId="43" applyFont="1" applyFill="1" applyBorder="1"/>
    <xf numFmtId="170" fontId="23" fillId="4" borderId="10" xfId="43" applyNumberFormat="1" applyFont="1" applyFill="1" applyBorder="1"/>
    <xf numFmtId="178" fontId="11" fillId="0" borderId="10" xfId="0" applyNumberFormat="1" applyFont="1" applyBorder="1"/>
    <xf numFmtId="0" fontId="11" fillId="9" borderId="15" xfId="0" applyFont="1" applyFill="1" applyBorder="1" applyAlignment="1"/>
    <xf numFmtId="0" fontId="11" fillId="0" borderId="3" xfId="0" applyFont="1" applyBorder="1"/>
    <xf numFmtId="0" fontId="11" fillId="0" borderId="10" xfId="0" applyFont="1" applyBorder="1"/>
    <xf numFmtId="0" fontId="11" fillId="0" borderId="10" xfId="0" applyNumberFormat="1" applyFont="1" applyBorder="1"/>
    <xf numFmtId="0" fontId="11" fillId="0" borderId="1" xfId="0" applyFont="1" applyBorder="1"/>
    <xf numFmtId="170" fontId="11" fillId="0" borderId="1" xfId="0" applyNumberFormat="1" applyFont="1" applyBorder="1"/>
    <xf numFmtId="172" fontId="11" fillId="0" borderId="1" xfId="0" applyNumberFormat="1" applyFont="1" applyBorder="1"/>
    <xf numFmtId="171" fontId="11" fillId="0" borderId="1" xfId="0" applyNumberFormat="1" applyFont="1" applyBorder="1"/>
    <xf numFmtId="174" fontId="11" fillId="0" borderId="1" xfId="0" applyNumberFormat="1" applyFont="1" applyBorder="1"/>
    <xf numFmtId="0" fontId="11" fillId="6" borderId="1" xfId="0" applyFont="1" applyFill="1" applyBorder="1" applyAlignment="1">
      <alignment horizontal="center"/>
    </xf>
    <xf numFmtId="171" fontId="21" fillId="0" borderId="1" xfId="0" applyNumberFormat="1" applyFont="1" applyBorder="1"/>
    <xf numFmtId="2" fontId="21" fillId="0" borderId="1" xfId="0" applyNumberFormat="1" applyFont="1" applyBorder="1"/>
    <xf numFmtId="0" fontId="21" fillId="0" borderId="1" xfId="0" applyNumberFormat="1" applyFont="1" applyBorder="1"/>
    <xf numFmtId="0" fontId="11" fillId="7" borderId="1" xfId="0" applyFont="1" applyFill="1" applyBorder="1"/>
    <xf numFmtId="0" fontId="11" fillId="0" borderId="1" xfId="0" applyFont="1" applyBorder="1" applyAlignment="1">
      <alignment horizontal="center"/>
    </xf>
    <xf numFmtId="177" fontId="11" fillId="0" borderId="3" xfId="0" applyNumberFormat="1" applyFont="1" applyBorder="1"/>
    <xf numFmtId="0" fontId="11" fillId="7" borderId="2" xfId="0" applyFont="1" applyFill="1" applyBorder="1" applyAlignment="1">
      <alignment horizontal="center" vertical="center" wrapText="1"/>
    </xf>
    <xf numFmtId="170" fontId="11" fillId="0" borderId="8" xfId="0" applyNumberFormat="1" applyFont="1" applyBorder="1"/>
    <xf numFmtId="172" fontId="11" fillId="0" borderId="8" xfId="0" applyNumberFormat="1" applyFont="1" applyBorder="1"/>
    <xf numFmtId="0" fontId="11" fillId="0" borderId="8" xfId="0" applyNumberFormat="1" applyFont="1" applyBorder="1"/>
    <xf numFmtId="177" fontId="11" fillId="0" borderId="10" xfId="0" applyNumberFormat="1" applyFont="1" applyBorder="1"/>
    <xf numFmtId="177" fontId="21" fillId="0" borderId="1" xfId="0" applyNumberFormat="1" applyFont="1" applyBorder="1"/>
    <xf numFmtId="0" fontId="11" fillId="0" borderId="8" xfId="0" applyFont="1" applyBorder="1"/>
    <xf numFmtId="0" fontId="11" fillId="6" borderId="8" xfId="0" applyFont="1" applyFill="1" applyBorder="1" applyAlignment="1">
      <alignment horizontal="center"/>
    </xf>
    <xf numFmtId="2" fontId="11" fillId="0" borderId="8" xfId="0" applyNumberFormat="1" applyFont="1" applyBorder="1"/>
    <xf numFmtId="177" fontId="11" fillId="0" borderId="8" xfId="0" applyNumberFormat="1" applyFont="1" applyBorder="1"/>
    <xf numFmtId="0" fontId="11" fillId="3" borderId="13" xfId="14" applyFont="1" applyFill="1" applyBorder="1"/>
    <xf numFmtId="0" fontId="11" fillId="3" borderId="14" xfId="14" applyFont="1" applyFill="1" applyBorder="1"/>
    <xf numFmtId="0" fontId="11" fillId="3" borderId="14" xfId="20" applyFont="1" applyFill="1" applyBorder="1" applyAlignment="1">
      <alignment horizontal="center"/>
    </xf>
    <xf numFmtId="0" fontId="11" fillId="3" borderId="14" xfId="20" applyFont="1" applyFill="1" applyBorder="1"/>
    <xf numFmtId="0" fontId="11" fillId="3" borderId="9" xfId="18" applyFont="1" applyFill="1" applyBorder="1"/>
    <xf numFmtId="0" fontId="11" fillId="3" borderId="4" xfId="18" applyFont="1" applyFill="1" applyBorder="1"/>
    <xf numFmtId="0" fontId="11" fillId="3" borderId="4" xfId="18" applyFont="1" applyFill="1" applyBorder="1" applyAlignment="1">
      <alignment horizontal="center"/>
    </xf>
    <xf numFmtId="0" fontId="12" fillId="3" borderId="5" xfId="14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4" xfId="0" applyFont="1" applyFill="1" applyBorder="1"/>
    <xf numFmtId="0" fontId="12" fillId="3" borderId="6" xfId="14" applyFont="1" applyFill="1" applyBorder="1" applyAlignment="1">
      <alignment horizontal="center"/>
    </xf>
    <xf numFmtId="0" fontId="19" fillId="3" borderId="16" xfId="14" applyFont="1" applyFill="1" applyBorder="1" applyAlignment="1"/>
    <xf numFmtId="0" fontId="12" fillId="3" borderId="16" xfId="14" applyNumberFormat="1" applyFont="1" applyFill="1" applyBorder="1" applyAlignment="1"/>
    <xf numFmtId="0" fontId="11" fillId="3" borderId="16" xfId="0" applyFont="1" applyFill="1" applyBorder="1"/>
    <xf numFmtId="0" fontId="11" fillId="3" borderId="7" xfId="0" applyFont="1" applyFill="1" applyBorder="1"/>
    <xf numFmtId="0" fontId="11" fillId="3" borderId="4" xfId="20" applyFont="1" applyFill="1" applyBorder="1" applyAlignment="1">
      <alignment horizontal="center"/>
    </xf>
    <xf numFmtId="171" fontId="17" fillId="7" borderId="11" xfId="21" applyNumberFormat="1" applyFont="1" applyFill="1" applyBorder="1" applyAlignment="1">
      <alignment horizontal="center" vertical="center" wrapText="1"/>
    </xf>
    <xf numFmtId="171" fontId="17" fillId="7" borderId="2" xfId="21" applyNumberFormat="1" applyFont="1" applyFill="1" applyBorder="1" applyAlignment="1">
      <alignment horizontal="center" vertical="center" wrapText="1"/>
    </xf>
    <xf numFmtId="171" fontId="11" fillId="8" borderId="5" xfId="21" applyNumberFormat="1" applyFont="1" applyFill="1" applyBorder="1" applyAlignment="1"/>
    <xf numFmtId="171" fontId="11" fillId="8" borderId="4" xfId="21" applyNumberFormat="1" applyFont="1" applyFill="1" applyBorder="1" applyAlignment="1"/>
    <xf numFmtId="171" fontId="11" fillId="8" borderId="6" xfId="21" applyNumberFormat="1" applyFont="1" applyFill="1" applyBorder="1" applyAlignment="1"/>
    <xf numFmtId="171" fontId="11" fillId="8" borderId="7" xfId="21" applyNumberFormat="1" applyFont="1" applyFill="1" applyBorder="1" applyAlignment="1"/>
    <xf numFmtId="171" fontId="11" fillId="8" borderId="13" xfId="21" applyNumberFormat="1" applyFont="1" applyFill="1" applyBorder="1" applyAlignment="1"/>
    <xf numFmtId="171" fontId="11" fillId="8" borderId="9" xfId="21" applyNumberFormat="1" applyFont="1" applyFill="1" applyBorder="1" applyAlignment="1"/>
    <xf numFmtId="171" fontId="11" fillId="8" borderId="5" xfId="11" applyNumberFormat="1" applyFont="1" applyFill="1" applyBorder="1"/>
    <xf numFmtId="171" fontId="11" fillId="8" borderId="4" xfId="11" applyNumberFormat="1" applyFont="1" applyFill="1" applyBorder="1" applyAlignment="1"/>
    <xf numFmtId="171" fontId="11" fillId="8" borderId="6" xfId="11" applyNumberFormat="1" applyFont="1" applyFill="1" applyBorder="1"/>
    <xf numFmtId="171" fontId="11" fillId="8" borderId="7" xfId="11" applyNumberFormat="1" applyFont="1" applyFill="1" applyBorder="1" applyAlignment="1"/>
    <xf numFmtId="171" fontId="11" fillId="8" borderId="13" xfId="11" applyNumberFormat="1" applyFont="1" applyFill="1" applyBorder="1"/>
    <xf numFmtId="171" fontId="11" fillId="8" borderId="9" xfId="11" applyNumberFormat="1" applyFont="1" applyFill="1" applyBorder="1" applyAlignment="1"/>
    <xf numFmtId="171" fontId="17" fillId="7" borderId="1" xfId="21" applyNumberFormat="1" applyFont="1" applyFill="1" applyBorder="1" applyAlignment="1">
      <alignment horizontal="center" vertical="center" wrapText="1"/>
    </xf>
    <xf numFmtId="171" fontId="11" fillId="8" borderId="3" xfId="21" applyNumberFormat="1" applyFont="1" applyFill="1" applyBorder="1" applyAlignment="1"/>
    <xf numFmtId="171" fontId="11" fillId="8" borderId="10" xfId="21" applyNumberFormat="1" applyFont="1" applyFill="1" applyBorder="1" applyAlignment="1"/>
    <xf numFmtId="171" fontId="11" fillId="8" borderId="8" xfId="21" applyNumberFormat="1" applyFont="1" applyFill="1" applyBorder="1" applyAlignment="1"/>
    <xf numFmtId="171" fontId="11" fillId="8" borderId="8" xfId="11" applyNumberFormat="1" applyFont="1" applyFill="1" applyBorder="1"/>
    <xf numFmtId="171" fontId="11" fillId="8" borderId="3" xfId="11" applyNumberFormat="1" applyFont="1" applyFill="1" applyBorder="1"/>
    <xf numFmtId="171" fontId="11" fillId="8" borderId="10" xfId="11" applyNumberFormat="1" applyFont="1" applyFill="1" applyBorder="1"/>
    <xf numFmtId="171" fontId="11" fillId="8" borderId="1" xfId="21" applyNumberFormat="1" applyFont="1" applyFill="1" applyBorder="1" applyAlignment="1"/>
    <xf numFmtId="172" fontId="17" fillId="7" borderId="2" xfId="21" applyNumberFormat="1" applyFont="1" applyFill="1" applyBorder="1" applyAlignment="1">
      <alignment horizontal="center" vertical="center" wrapText="1"/>
    </xf>
    <xf numFmtId="0" fontId="11" fillId="8" borderId="5" xfId="21" applyNumberFormat="1" applyFont="1" applyFill="1" applyBorder="1" applyAlignment="1">
      <alignment vertical="center"/>
    </xf>
    <xf numFmtId="171" fontId="11" fillId="8" borderId="4" xfId="21" quotePrefix="1" applyNumberFormat="1" applyFont="1" applyFill="1" applyBorder="1" applyAlignment="1"/>
    <xf numFmtId="0" fontId="11" fillId="8" borderId="6" xfId="21" applyNumberFormat="1" applyFont="1" applyFill="1" applyBorder="1" applyAlignment="1">
      <alignment vertical="center"/>
    </xf>
    <xf numFmtId="0" fontId="11" fillId="8" borderId="5" xfId="21" applyNumberFormat="1" applyFont="1" applyFill="1" applyBorder="1" applyAlignment="1"/>
    <xf numFmtId="0" fontId="11" fillId="8" borderId="6" xfId="21" applyNumberFormat="1" applyFont="1" applyFill="1" applyBorder="1" applyAlignment="1"/>
    <xf numFmtId="171" fontId="11" fillId="8" borderId="7" xfId="21" quotePrefix="1" applyNumberFormat="1" applyFont="1" applyFill="1" applyBorder="1" applyAlignment="1"/>
    <xf numFmtId="0" fontId="11" fillId="8" borderId="13" xfId="21" applyNumberFormat="1" applyFont="1" applyFill="1" applyBorder="1" applyAlignment="1"/>
    <xf numFmtId="171" fontId="11" fillId="8" borderId="9" xfId="21" quotePrefix="1" applyNumberFormat="1" applyFont="1" applyFill="1" applyBorder="1" applyAlignment="1"/>
    <xf numFmtId="0" fontId="11" fillId="8" borderId="5" xfId="21" applyNumberFormat="1" applyFont="1" applyFill="1" applyBorder="1" applyAlignment="1">
      <alignment horizontal="left"/>
    </xf>
    <xf numFmtId="0" fontId="11" fillId="8" borderId="6" xfId="21" applyNumberFormat="1" applyFont="1" applyFill="1" applyBorder="1" applyAlignment="1">
      <alignment horizontal="left"/>
    </xf>
    <xf numFmtId="0" fontId="11" fillId="8" borderId="5" xfId="19" applyFont="1" applyFill="1" applyBorder="1" applyAlignment="1">
      <alignment horizontal="left"/>
    </xf>
    <xf numFmtId="171" fontId="11" fillId="8" borderId="4" xfId="19" quotePrefix="1" applyNumberFormat="1" applyFont="1" applyFill="1" applyBorder="1"/>
    <xf numFmtId="0" fontId="11" fillId="8" borderId="6" xfId="19" applyFont="1" applyFill="1" applyBorder="1" applyAlignment="1">
      <alignment horizontal="left"/>
    </xf>
    <xf numFmtId="171" fontId="11" fillId="8" borderId="7" xfId="19" quotePrefix="1" applyNumberFormat="1" applyFont="1" applyFill="1" applyBorder="1"/>
    <xf numFmtId="0" fontId="11" fillId="8" borderId="13" xfId="19" applyFont="1" applyFill="1" applyBorder="1" applyAlignment="1">
      <alignment horizontal="left"/>
    </xf>
    <xf numFmtId="171" fontId="11" fillId="8" borderId="9" xfId="19" quotePrefix="1" applyNumberFormat="1" applyFont="1" applyFill="1" applyBorder="1"/>
    <xf numFmtId="0" fontId="11" fillId="8" borderId="13" xfId="21" applyNumberFormat="1" applyFont="1" applyFill="1" applyBorder="1" applyAlignment="1">
      <alignment horizontal="left"/>
    </xf>
    <xf numFmtId="0" fontId="11" fillId="7" borderId="11" xfId="14" applyFont="1" applyFill="1" applyBorder="1" applyAlignment="1">
      <alignment horizontal="left"/>
    </xf>
    <xf numFmtId="0" fontId="11" fillId="3" borderId="5" xfId="14" applyFont="1" applyFill="1" applyBorder="1" applyAlignment="1">
      <alignment horizontal="center"/>
    </xf>
    <xf numFmtId="0" fontId="12" fillId="0" borderId="5" xfId="14" applyFont="1" applyBorder="1"/>
    <xf numFmtId="0" fontId="12" fillId="3" borderId="5" xfId="14" applyFont="1" applyFill="1" applyBorder="1"/>
    <xf numFmtId="0" fontId="5" fillId="3" borderId="5" xfId="14" applyFont="1" applyFill="1" applyBorder="1"/>
    <xf numFmtId="0" fontId="5" fillId="7" borderId="5" xfId="14" applyFont="1" applyFill="1" applyBorder="1" applyAlignment="1">
      <alignment horizontal="center"/>
    </xf>
    <xf numFmtId="0" fontId="17" fillId="8" borderId="3" xfId="14" applyFont="1" applyFill="1" applyBorder="1" applyAlignment="1"/>
    <xf numFmtId="0" fontId="11" fillId="7" borderId="6" xfId="14" applyFont="1" applyFill="1" applyBorder="1" applyAlignment="1">
      <alignment horizontal="left"/>
    </xf>
    <xf numFmtId="0" fontId="17" fillId="8" borderId="8" xfId="14" applyFont="1" applyFill="1" applyBorder="1" applyAlignment="1"/>
    <xf numFmtId="0" fontId="11" fillId="8" borderId="8" xfId="14" applyNumberFormat="1" applyFont="1" applyFill="1" applyBorder="1" applyAlignment="1"/>
    <xf numFmtId="0" fontId="17" fillId="8" borderId="10" xfId="14" applyFont="1" applyFill="1" applyBorder="1" applyAlignment="1"/>
    <xf numFmtId="0" fontId="11" fillId="7" borderId="1" xfId="14" applyFont="1" applyFill="1" applyBorder="1" applyAlignment="1">
      <alignment horizontal="left"/>
    </xf>
    <xf numFmtId="0" fontId="11" fillId="3" borderId="10" xfId="14" applyFont="1" applyFill="1" applyBorder="1" applyAlignment="1">
      <alignment horizontal="center"/>
    </xf>
    <xf numFmtId="0" fontId="11" fillId="3" borderId="5" xfId="15" applyFont="1" applyFill="1" applyBorder="1"/>
    <xf numFmtId="0" fontId="11" fillId="3" borderId="4" xfId="15" applyFont="1" applyFill="1" applyBorder="1"/>
    <xf numFmtId="0" fontId="11" fillId="4" borderId="5" xfId="15" applyFont="1" applyFill="1" applyBorder="1"/>
    <xf numFmtId="0" fontId="11" fillId="4" borderId="0" xfId="15" applyFont="1" applyFill="1" applyBorder="1"/>
    <xf numFmtId="0" fontId="11" fillId="4" borderId="6" xfId="15" applyFont="1" applyFill="1" applyBorder="1"/>
    <xf numFmtId="0" fontId="11" fillId="4" borderId="16" xfId="15" applyFont="1" applyFill="1" applyBorder="1"/>
    <xf numFmtId="0" fontId="11" fillId="4" borderId="7" xfId="15" applyFont="1" applyFill="1" applyBorder="1"/>
    <xf numFmtId="0" fontId="13" fillId="7" borderId="11" xfId="16" applyFont="1" applyFill="1" applyBorder="1" applyAlignment="1">
      <alignment horizontal="centerContinuous" vertical="center"/>
    </xf>
    <xf numFmtId="0" fontId="13" fillId="7" borderId="17" xfId="16" applyFont="1" applyFill="1" applyBorder="1" applyAlignment="1">
      <alignment horizontal="centerContinuous" vertical="center"/>
    </xf>
    <xf numFmtId="0" fontId="13" fillId="7" borderId="18" xfId="16" applyFont="1" applyFill="1" applyBorder="1" applyAlignment="1">
      <alignment horizontal="centerContinuous" vertical="center"/>
    </xf>
    <xf numFmtId="168" fontId="11" fillId="3" borderId="8" xfId="15" applyNumberFormat="1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169" fontId="11" fillId="3" borderId="10" xfId="17" applyNumberFormat="1" applyFont="1" applyFill="1" applyBorder="1" applyAlignment="1">
      <alignment horizontal="center"/>
    </xf>
    <xf numFmtId="0" fontId="11" fillId="9" borderId="8" xfId="15" applyFont="1" applyFill="1" applyBorder="1" applyAlignment="1">
      <alignment horizontal="right"/>
    </xf>
    <xf numFmtId="0" fontId="11" fillId="9" borderId="3" xfId="15" applyFont="1" applyFill="1" applyBorder="1" applyAlignment="1">
      <alignment horizontal="right"/>
    </xf>
    <xf numFmtId="0" fontId="11" fillId="9" borderId="3" xfId="15" applyFont="1" applyFill="1" applyBorder="1" applyAlignment="1">
      <alignment horizontal="right" vertical="center"/>
    </xf>
    <xf numFmtId="0" fontId="11" fillId="9" borderId="10" xfId="15" applyFont="1" applyFill="1" applyBorder="1" applyAlignment="1">
      <alignment horizontal="right" vertical="center"/>
    </xf>
    <xf numFmtId="171" fontId="11" fillId="3" borderId="3" xfId="17" applyNumberFormat="1" applyFont="1" applyFill="1" applyBorder="1" applyAlignment="1">
      <alignment horizontal="center"/>
    </xf>
    <xf numFmtId="0" fontId="11" fillId="9" borderId="10" xfId="15" applyFont="1" applyFill="1" applyBorder="1" applyAlignment="1">
      <alignment horizontal="right"/>
    </xf>
    <xf numFmtId="171" fontId="11" fillId="3" borderId="10" xfId="17" applyNumberFormat="1" applyFont="1" applyFill="1" applyBorder="1" applyAlignment="1">
      <alignment horizontal="center"/>
    </xf>
    <xf numFmtId="0" fontId="11" fillId="3" borderId="5" xfId="0" applyFont="1" applyFill="1" applyBorder="1"/>
    <xf numFmtId="0" fontId="11" fillId="3" borderId="6" xfId="15" applyFont="1" applyFill="1" applyBorder="1"/>
    <xf numFmtId="0" fontId="15" fillId="3" borderId="16" xfId="15" applyFont="1" applyFill="1" applyBorder="1" applyAlignment="1">
      <alignment horizontal="right" vertical="center"/>
    </xf>
    <xf numFmtId="0" fontId="11" fillId="3" borderId="7" xfId="15" applyFont="1" applyFill="1" applyBorder="1"/>
    <xf numFmtId="0" fontId="11" fillId="3" borderId="6" xfId="0" applyFont="1" applyFill="1" applyBorder="1"/>
    <xf numFmtId="170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left"/>
    </xf>
    <xf numFmtId="168" fontId="11" fillId="3" borderId="10" xfId="15" applyNumberFormat="1" applyFont="1" applyFill="1" applyBorder="1" applyAlignment="1">
      <alignment horizontal="center"/>
    </xf>
    <xf numFmtId="171" fontId="11" fillId="3" borderId="0" xfId="17" applyNumberFormat="1" applyFont="1" applyFill="1" applyBorder="1" applyAlignment="1">
      <alignment horizontal="center"/>
    </xf>
    <xf numFmtId="0" fontId="11" fillId="4" borderId="4" xfId="15" applyFont="1" applyFill="1" applyBorder="1"/>
    <xf numFmtId="0" fontId="16" fillId="3" borderId="4" xfId="15" applyFont="1" applyFill="1" applyBorder="1" applyAlignment="1">
      <alignment horizontal="right"/>
    </xf>
    <xf numFmtId="0" fontId="11" fillId="3" borderId="16" xfId="15" applyFont="1" applyFill="1" applyBorder="1"/>
    <xf numFmtId="0" fontId="11" fillId="3" borderId="8" xfId="15" applyFont="1" applyFill="1" applyBorder="1" applyAlignment="1">
      <alignment horizontal="center"/>
    </xf>
    <xf numFmtId="1" fontId="11" fillId="3" borderId="3" xfId="15" applyNumberFormat="1" applyFont="1" applyFill="1" applyBorder="1" applyAlignment="1">
      <alignment horizontal="center"/>
    </xf>
    <xf numFmtId="0" fontId="11" fillId="5" borderId="10" xfId="11" applyNumberFormat="1" applyFont="1" applyFill="1" applyBorder="1" applyAlignment="1">
      <alignment horizontal="center"/>
    </xf>
    <xf numFmtId="0" fontId="11" fillId="9" borderId="8" xfId="15" applyFont="1" applyFill="1" applyBorder="1" applyAlignment="1">
      <alignment horizontal="right" vertical="center"/>
    </xf>
    <xf numFmtId="0" fontId="17" fillId="9" borderId="8" xfId="0" applyFont="1" applyFill="1" applyBorder="1" applyAlignment="1">
      <alignment horizontal="right"/>
    </xf>
    <xf numFmtId="0" fontId="17" fillId="9" borderId="10" xfId="0" applyFont="1" applyFill="1" applyBorder="1" applyAlignment="1">
      <alignment horizontal="right"/>
    </xf>
    <xf numFmtId="175" fontId="11" fillId="10" borderId="9" xfId="0" quotePrefix="1" applyNumberFormat="1" applyFont="1" applyFill="1" applyBorder="1" applyAlignment="1">
      <alignment horizontal="center"/>
    </xf>
    <xf numFmtId="1" fontId="16" fillId="10" borderId="7" xfId="0" applyNumberFormat="1" applyFont="1" applyFill="1" applyBorder="1" applyAlignment="1">
      <alignment horizontal="left"/>
    </xf>
    <xf numFmtId="0" fontId="11" fillId="9" borderId="1" xfId="15" applyFont="1" applyFill="1" applyBorder="1" applyAlignment="1">
      <alignment horizontal="right"/>
    </xf>
    <xf numFmtId="170" fontId="11" fillId="6" borderId="1" xfId="15" applyNumberFormat="1" applyFont="1" applyFill="1" applyBorder="1" applyAlignment="1">
      <alignment horizontal="center"/>
    </xf>
    <xf numFmtId="0" fontId="5" fillId="7" borderId="10" xfId="14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 vertical="center"/>
    </xf>
    <xf numFmtId="0" fontId="11" fillId="0" borderId="4" xfId="20" applyFont="1" applyFill="1" applyBorder="1" applyAlignment="1">
      <alignment horizontal="center" vertical="center"/>
    </xf>
    <xf numFmtId="0" fontId="5" fillId="9" borderId="0" xfId="14" applyFont="1" applyFill="1" applyAlignment="1">
      <alignment horizontal="center" vertical="center"/>
    </xf>
    <xf numFmtId="0" fontId="11" fillId="3" borderId="13" xfId="32" applyFont="1" applyFill="1" applyBorder="1" applyAlignment="1">
      <alignment horizontal="left"/>
    </xf>
    <xf numFmtId="0" fontId="11" fillId="3" borderId="14" xfId="32" applyFont="1" applyFill="1" applyBorder="1"/>
    <xf numFmtId="0" fontId="11" fillId="0" borderId="14" xfId="32" applyFont="1" applyBorder="1"/>
    <xf numFmtId="0" fontId="11" fillId="3" borderId="9" xfId="32" applyFont="1" applyFill="1" applyBorder="1"/>
    <xf numFmtId="0" fontId="11" fillId="3" borderId="5" xfId="32" applyFont="1" applyFill="1" applyBorder="1" applyAlignment="1">
      <alignment horizontal="center"/>
    </xf>
    <xf numFmtId="0" fontId="11" fillId="3" borderId="4" xfId="32" applyFont="1" applyFill="1" applyBorder="1"/>
    <xf numFmtId="0" fontId="11" fillId="3" borderId="6" xfId="32" applyFont="1" applyFill="1" applyBorder="1"/>
    <xf numFmtId="0" fontId="11" fillId="3" borderId="16" xfId="32" applyFont="1" applyFill="1" applyBorder="1"/>
    <xf numFmtId="0" fontId="11" fillId="3" borderId="16" xfId="32" applyFont="1" applyFill="1" applyBorder="1" applyAlignment="1">
      <alignment horizontal="left"/>
    </xf>
    <xf numFmtId="0" fontId="11" fillId="3" borderId="7" xfId="32" applyFont="1" applyFill="1" applyBorder="1"/>
    <xf numFmtId="0" fontId="11" fillId="3" borderId="5" xfId="32" applyFont="1" applyFill="1" applyBorder="1" applyAlignment="1">
      <alignment horizontal="center" vertical="center"/>
    </xf>
    <xf numFmtId="0" fontId="5" fillId="7" borderId="1" xfId="14" applyFont="1" applyFill="1" applyBorder="1" applyAlignment="1">
      <alignment horizontal="center" vertical="center" wrapText="1"/>
    </xf>
    <xf numFmtId="0" fontId="14" fillId="7" borderId="8" xfId="14" applyFont="1" applyFill="1" applyBorder="1" applyAlignment="1">
      <alignment horizontal="center" vertical="center"/>
    </xf>
    <xf numFmtId="0" fontId="11" fillId="3" borderId="4" xfId="32" applyFont="1" applyFill="1" applyBorder="1" applyAlignment="1">
      <alignment horizontal="center" vertical="center"/>
    </xf>
    <xf numFmtId="0" fontId="11" fillId="9" borderId="0" xfId="32" applyFont="1" applyFill="1" applyAlignment="1">
      <alignment horizontal="center" vertical="center"/>
    </xf>
    <xf numFmtId="0" fontId="16" fillId="10" borderId="8" xfId="32" applyNumberFormat="1" applyFont="1" applyFill="1" applyBorder="1" applyAlignment="1" applyProtection="1"/>
    <xf numFmtId="0" fontId="16" fillId="10" borderId="3" xfId="32" applyNumberFormat="1" applyFont="1" applyFill="1" applyBorder="1" applyAlignment="1" applyProtection="1"/>
    <xf numFmtId="0" fontId="16" fillId="10" borderId="10" xfId="32" applyNumberFormat="1" applyFont="1" applyFill="1" applyBorder="1" applyAlignment="1" applyProtection="1"/>
    <xf numFmtId="0" fontId="11" fillId="9" borderId="14" xfId="14" applyFont="1" applyFill="1" applyBorder="1"/>
    <xf numFmtId="0" fontId="11" fillId="11" borderId="3" xfId="14" applyFont="1" applyFill="1" applyBorder="1"/>
    <xf numFmtId="0" fontId="11" fillId="11" borderId="10" xfId="14" applyFont="1" applyFill="1" applyBorder="1"/>
    <xf numFmtId="0" fontId="11" fillId="9" borderId="0" xfId="0" applyFont="1" applyFill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42369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42387</c:v>
                </c:pt>
                <c:pt idx="12">
                  <c:v>42388</c:v>
                </c:pt>
                <c:pt idx="13">
                  <c:v>42389</c:v>
                </c:pt>
                <c:pt idx="14">
                  <c:v>42390</c:v>
                </c:pt>
                <c:pt idx="15">
                  <c:v>42391</c:v>
                </c:pt>
                <c:pt idx="16">
                  <c:v>42394</c:v>
                </c:pt>
                <c:pt idx="17">
                  <c:v>42395</c:v>
                </c:pt>
                <c:pt idx="18">
                  <c:v>42396</c:v>
                </c:pt>
                <c:pt idx="19">
                  <c:v>42397</c:v>
                </c:pt>
                <c:pt idx="20">
                  <c:v>42398</c:v>
                </c:pt>
                <c:pt idx="21">
                  <c:v>42401</c:v>
                </c:pt>
                <c:pt idx="22">
                  <c:v>42402</c:v>
                </c:pt>
                <c:pt idx="23">
                  <c:v>42403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8.2137440737515101E-4</c:v>
                </c:pt>
                <c:pt idx="1">
                  <c:v>8.2137440737515101E-4</c:v>
                </c:pt>
                <c:pt idx="2">
                  <c:v>8.2137440737515101E-4</c:v>
                </c:pt>
                <c:pt idx="3">
                  <c:v>8.2137440737515101E-4</c:v>
                </c:pt>
                <c:pt idx="4">
                  <c:v>8.2137440737515101E-4</c:v>
                </c:pt>
                <c:pt idx="5">
                  <c:v>8.2137440737515101E-4</c:v>
                </c:pt>
                <c:pt idx="6">
                  <c:v>8.2137440737515101E-4</c:v>
                </c:pt>
                <c:pt idx="7">
                  <c:v>8.2137440737515101E-4</c:v>
                </c:pt>
                <c:pt idx="8">
                  <c:v>8.2137440737515101E-4</c:v>
                </c:pt>
                <c:pt idx="9">
                  <c:v>8.2137440737515101E-4</c:v>
                </c:pt>
                <c:pt idx="10">
                  <c:v>8.2137440737515101E-4</c:v>
                </c:pt>
                <c:pt idx="11">
                  <c:v>8.2137440737515101E-4</c:v>
                </c:pt>
                <c:pt idx="12">
                  <c:v>8.2137440737515101E-4</c:v>
                </c:pt>
                <c:pt idx="13">
                  <c:v>8.2137440737515101E-4</c:v>
                </c:pt>
                <c:pt idx="14">
                  <c:v>8.2137440737515101E-4</c:v>
                </c:pt>
                <c:pt idx="15">
                  <c:v>8.2137440737515101E-4</c:v>
                </c:pt>
                <c:pt idx="16">
                  <c:v>8.2137440737515101E-4</c:v>
                </c:pt>
                <c:pt idx="17">
                  <c:v>8.2137440737515101E-4</c:v>
                </c:pt>
                <c:pt idx="18">
                  <c:v>8.2137440737515101E-4</c:v>
                </c:pt>
                <c:pt idx="19">
                  <c:v>8.2137440737515101E-4</c:v>
                </c:pt>
                <c:pt idx="20">
                  <c:v>8.2137440737515101E-4</c:v>
                </c:pt>
                <c:pt idx="21">
                  <c:v>8.2137440737515101E-4</c:v>
                </c:pt>
                <c:pt idx="22">
                  <c:v>8.2137440737515101E-4</c:v>
                </c:pt>
                <c:pt idx="23">
                  <c:v>8.2137440737515101E-4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42369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42387</c:v>
                </c:pt>
                <c:pt idx="12">
                  <c:v>42388</c:v>
                </c:pt>
                <c:pt idx="13">
                  <c:v>42389</c:v>
                </c:pt>
                <c:pt idx="14">
                  <c:v>42390</c:v>
                </c:pt>
                <c:pt idx="15">
                  <c:v>42391</c:v>
                </c:pt>
                <c:pt idx="16">
                  <c:v>42394</c:v>
                </c:pt>
                <c:pt idx="17">
                  <c:v>42395</c:v>
                </c:pt>
                <c:pt idx="18">
                  <c:v>42396</c:v>
                </c:pt>
                <c:pt idx="19">
                  <c:v>42397</c:v>
                </c:pt>
                <c:pt idx="20">
                  <c:v>42398</c:v>
                </c:pt>
                <c:pt idx="21">
                  <c:v>42401</c:v>
                </c:pt>
                <c:pt idx="22">
                  <c:v>42402</c:v>
                </c:pt>
                <c:pt idx="23">
                  <c:v>42403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8.5336860158568141E-4</c:v>
                </c:pt>
                <c:pt idx="1">
                  <c:v>8.4454261697587988E-4</c:v>
                </c:pt>
                <c:pt idx="2">
                  <c:v>8.4233612082342956E-4</c:v>
                </c:pt>
                <c:pt idx="3">
                  <c:v>8.4012962467097923E-4</c:v>
                </c:pt>
                <c:pt idx="4">
                  <c:v>8.3792312851852879E-4</c:v>
                </c:pt>
                <c:pt idx="5">
                  <c:v>8.3571663236607847E-4</c:v>
                </c:pt>
                <c:pt idx="6">
                  <c:v>8.2909714390872738E-4</c:v>
                </c:pt>
                <c:pt idx="7">
                  <c:v>8.2689064775627694E-4</c:v>
                </c:pt>
                <c:pt idx="8">
                  <c:v>8.2468415160382661E-4</c:v>
                </c:pt>
                <c:pt idx="9">
                  <c:v>8.2247765545137618E-4</c:v>
                </c:pt>
                <c:pt idx="10">
                  <c:v>8.2027115929892585E-4</c:v>
                </c:pt>
                <c:pt idx="11">
                  <c:v>8.1365167084157476E-4</c:v>
                </c:pt>
                <c:pt idx="12">
                  <c:v>8.1144517468912433E-4</c:v>
                </c:pt>
                <c:pt idx="13">
                  <c:v>8.09238678536674E-4</c:v>
                </c:pt>
                <c:pt idx="14">
                  <c:v>8.0703218238422367E-4</c:v>
                </c:pt>
                <c:pt idx="15">
                  <c:v>8.0482568623177324E-4</c:v>
                </c:pt>
                <c:pt idx="16">
                  <c:v>7.9820619777442215E-4</c:v>
                </c:pt>
                <c:pt idx="17">
                  <c:v>7.9599970162197182E-4</c:v>
                </c:pt>
                <c:pt idx="18">
                  <c:v>7.9379320546952138E-4</c:v>
                </c:pt>
                <c:pt idx="19">
                  <c:v>7.9158670931707106E-4</c:v>
                </c:pt>
                <c:pt idx="20">
                  <c:v>7.8938021316462062E-4</c:v>
                </c:pt>
                <c:pt idx="21">
                  <c:v>7.8276072470726953E-4</c:v>
                </c:pt>
                <c:pt idx="22">
                  <c:v>7.805542285548192E-4</c:v>
                </c:pt>
                <c:pt idx="23">
                  <c:v>7.7834773240236877E-4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42369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42387</c:v>
                </c:pt>
                <c:pt idx="12">
                  <c:v>42388</c:v>
                </c:pt>
                <c:pt idx="13">
                  <c:v>42389</c:v>
                </c:pt>
                <c:pt idx="14">
                  <c:v>42390</c:v>
                </c:pt>
                <c:pt idx="15">
                  <c:v>42391</c:v>
                </c:pt>
                <c:pt idx="16">
                  <c:v>42394</c:v>
                </c:pt>
                <c:pt idx="17">
                  <c:v>42395</c:v>
                </c:pt>
                <c:pt idx="18">
                  <c:v>42396</c:v>
                </c:pt>
                <c:pt idx="19">
                  <c:v>42397</c:v>
                </c:pt>
                <c:pt idx="20">
                  <c:v>42398</c:v>
                </c:pt>
                <c:pt idx="21">
                  <c:v>42401</c:v>
                </c:pt>
                <c:pt idx="22">
                  <c:v>42402</c:v>
                </c:pt>
                <c:pt idx="23">
                  <c:v>42403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8.628733054424386E-4</c:v>
                </c:pt>
                <c:pt idx="1">
                  <c:v>8.5046044224614231E-4</c:v>
                </c:pt>
                <c:pt idx="2">
                  <c:v>8.4743588606519312E-4</c:v>
                </c:pt>
                <c:pt idx="3">
                  <c:v>8.4444279373149388E-4</c:v>
                </c:pt>
                <c:pt idx="4">
                  <c:v>8.4148116524504458E-4</c:v>
                </c:pt>
                <c:pt idx="5">
                  <c:v>8.3855100060584522E-4</c:v>
                </c:pt>
                <c:pt idx="6">
                  <c:v>8.2994928977174703E-4</c:v>
                </c:pt>
                <c:pt idx="7">
                  <c:v>8.2714498052154745E-4</c:v>
                </c:pt>
                <c:pt idx="8">
                  <c:v>8.2437213511859792E-4</c:v>
                </c:pt>
                <c:pt idx="9">
                  <c:v>8.2163075356289834E-4</c:v>
                </c:pt>
                <c:pt idx="10">
                  <c:v>8.189208358544487E-4</c:v>
                </c:pt>
                <c:pt idx="11">
                  <c:v>8.1097986581259954E-4</c:v>
                </c:pt>
                <c:pt idx="12">
                  <c:v>8.0839580349314967E-4</c:v>
                </c:pt>
                <c:pt idx="13">
                  <c:v>8.0584320502094975E-4</c:v>
                </c:pt>
                <c:pt idx="14">
                  <c:v>8.0332207039599988E-4</c:v>
                </c:pt>
                <c:pt idx="15">
                  <c:v>8.0083239961829995E-4</c:v>
                </c:pt>
                <c:pt idx="16">
                  <c:v>7.9355217036869972E-4</c:v>
                </c:pt>
                <c:pt idx="17">
                  <c:v>7.9118835497999967E-4</c:v>
                </c:pt>
                <c:pt idx="18">
                  <c:v>7.8885600343854946E-4</c:v>
                </c:pt>
                <c:pt idx="19">
                  <c:v>7.865551157443492E-4</c:v>
                </c:pt>
                <c:pt idx="20">
                  <c:v>7.8428569189739898E-4</c:v>
                </c:pt>
                <c:pt idx="21">
                  <c:v>7.7766620344004778E-4</c:v>
                </c:pt>
                <c:pt idx="22">
                  <c:v>7.7552263498209735E-4</c:v>
                </c:pt>
                <c:pt idx="23">
                  <c:v>7.7341053037139685E-4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485056"/>
        <c:axId val="599495040"/>
      </c:lineChart>
      <c:dateAx>
        <c:axId val="5994850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99495040"/>
        <c:crosses val="autoZero"/>
        <c:auto val="1"/>
        <c:lblOffset val="100"/>
        <c:baseTimeUnit val="days"/>
      </c:dateAx>
      <c:valAx>
        <c:axId val="5994950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9485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42369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42387</c:v>
                </c:pt>
                <c:pt idx="12">
                  <c:v>42388</c:v>
                </c:pt>
                <c:pt idx="13">
                  <c:v>42389</c:v>
                </c:pt>
                <c:pt idx="14">
                  <c:v>42390</c:v>
                </c:pt>
                <c:pt idx="15">
                  <c:v>42391</c:v>
                </c:pt>
                <c:pt idx="16">
                  <c:v>42394</c:v>
                </c:pt>
                <c:pt idx="17">
                  <c:v>42395</c:v>
                </c:pt>
                <c:pt idx="18">
                  <c:v>42396</c:v>
                </c:pt>
                <c:pt idx="19">
                  <c:v>42397</c:v>
                </c:pt>
                <c:pt idx="20">
                  <c:v>42398</c:v>
                </c:pt>
                <c:pt idx="21">
                  <c:v>42401</c:v>
                </c:pt>
                <c:pt idx="22">
                  <c:v>42402</c:v>
                </c:pt>
                <c:pt idx="23">
                  <c:v>42403</c:v>
                </c:pt>
                <c:pt idx="24">
                  <c:v>42404</c:v>
                </c:pt>
                <c:pt idx="25">
                  <c:v>42405</c:v>
                </c:pt>
                <c:pt idx="26">
                  <c:v>42408</c:v>
                </c:pt>
                <c:pt idx="27">
                  <c:v>42409</c:v>
                </c:pt>
                <c:pt idx="28">
                  <c:v>42410</c:v>
                </c:pt>
                <c:pt idx="29">
                  <c:v>42411</c:v>
                </c:pt>
                <c:pt idx="30">
                  <c:v>42412</c:v>
                </c:pt>
                <c:pt idx="31">
                  <c:v>42415</c:v>
                </c:pt>
                <c:pt idx="32">
                  <c:v>42416</c:v>
                </c:pt>
                <c:pt idx="33">
                  <c:v>42417</c:v>
                </c:pt>
                <c:pt idx="34">
                  <c:v>42418</c:v>
                </c:pt>
                <c:pt idx="35">
                  <c:v>42419</c:v>
                </c:pt>
                <c:pt idx="36">
                  <c:v>42422</c:v>
                </c:pt>
                <c:pt idx="37">
                  <c:v>42423</c:v>
                </c:pt>
                <c:pt idx="38">
                  <c:v>42424</c:v>
                </c:pt>
                <c:pt idx="39">
                  <c:v>42425</c:v>
                </c:pt>
                <c:pt idx="40">
                  <c:v>42426</c:v>
                </c:pt>
                <c:pt idx="41">
                  <c:v>42429</c:v>
                </c:pt>
                <c:pt idx="42">
                  <c:v>42430</c:v>
                </c:pt>
                <c:pt idx="43">
                  <c:v>42431</c:v>
                </c:pt>
                <c:pt idx="44">
                  <c:v>42432</c:v>
                </c:pt>
                <c:pt idx="45">
                  <c:v>42433</c:v>
                </c:pt>
                <c:pt idx="46">
                  <c:v>42436</c:v>
                </c:pt>
                <c:pt idx="47">
                  <c:v>42437</c:v>
                </c:pt>
                <c:pt idx="48">
                  <c:v>42438</c:v>
                </c:pt>
                <c:pt idx="49">
                  <c:v>42439</c:v>
                </c:pt>
                <c:pt idx="50">
                  <c:v>42440</c:v>
                </c:pt>
                <c:pt idx="51">
                  <c:v>42443</c:v>
                </c:pt>
                <c:pt idx="52">
                  <c:v>42444</c:v>
                </c:pt>
                <c:pt idx="53">
                  <c:v>42445</c:v>
                </c:pt>
                <c:pt idx="54">
                  <c:v>42446</c:v>
                </c:pt>
                <c:pt idx="55">
                  <c:v>42447</c:v>
                </c:pt>
                <c:pt idx="56">
                  <c:v>42450</c:v>
                </c:pt>
                <c:pt idx="57">
                  <c:v>42451</c:v>
                </c:pt>
                <c:pt idx="58">
                  <c:v>42452</c:v>
                </c:pt>
                <c:pt idx="59">
                  <c:v>42453</c:v>
                </c:pt>
                <c:pt idx="60">
                  <c:v>42458</c:v>
                </c:pt>
                <c:pt idx="61">
                  <c:v>42459</c:v>
                </c:pt>
                <c:pt idx="62">
                  <c:v>42460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2.2732127669712948E-3</c:v>
                </c:pt>
                <c:pt idx="1">
                  <c:v>2.2732127669712948E-3</c:v>
                </c:pt>
                <c:pt idx="2">
                  <c:v>2.2732127669712948E-3</c:v>
                </c:pt>
                <c:pt idx="3">
                  <c:v>2.2732127669712948E-3</c:v>
                </c:pt>
                <c:pt idx="4">
                  <c:v>2.2732127669712948E-3</c:v>
                </c:pt>
                <c:pt idx="5">
                  <c:v>2.2732127669712948E-3</c:v>
                </c:pt>
                <c:pt idx="6">
                  <c:v>2.2732127669712948E-3</c:v>
                </c:pt>
                <c:pt idx="7">
                  <c:v>2.2732127669712948E-3</c:v>
                </c:pt>
                <c:pt idx="8">
                  <c:v>2.2732127669712948E-3</c:v>
                </c:pt>
                <c:pt idx="9">
                  <c:v>2.2732127669712948E-3</c:v>
                </c:pt>
                <c:pt idx="10">
                  <c:v>2.2732127669712948E-3</c:v>
                </c:pt>
                <c:pt idx="11">
                  <c:v>2.2732127669712948E-3</c:v>
                </c:pt>
                <c:pt idx="12">
                  <c:v>2.2732127669712948E-3</c:v>
                </c:pt>
                <c:pt idx="13">
                  <c:v>2.2732127669712948E-3</c:v>
                </c:pt>
                <c:pt idx="14">
                  <c:v>2.2732127669712948E-3</c:v>
                </c:pt>
                <c:pt idx="15">
                  <c:v>2.2732127669712948E-3</c:v>
                </c:pt>
                <c:pt idx="16">
                  <c:v>2.2732127669712948E-3</c:v>
                </c:pt>
                <c:pt idx="17">
                  <c:v>2.2732127669712948E-3</c:v>
                </c:pt>
                <c:pt idx="18">
                  <c:v>2.2732127669712948E-3</c:v>
                </c:pt>
                <c:pt idx="19">
                  <c:v>2.2732127669712948E-3</c:v>
                </c:pt>
                <c:pt idx="20">
                  <c:v>2.2732127669712948E-3</c:v>
                </c:pt>
                <c:pt idx="21">
                  <c:v>2.2732127669712948E-3</c:v>
                </c:pt>
                <c:pt idx="22">
                  <c:v>2.2732127669712948E-3</c:v>
                </c:pt>
                <c:pt idx="23">
                  <c:v>2.2732127669712948E-3</c:v>
                </c:pt>
                <c:pt idx="24">
                  <c:v>2.2732127669712948E-3</c:v>
                </c:pt>
                <c:pt idx="25">
                  <c:v>2.2732127669712948E-3</c:v>
                </c:pt>
                <c:pt idx="26">
                  <c:v>2.2732127669712948E-3</c:v>
                </c:pt>
                <c:pt idx="27">
                  <c:v>2.2732127669712948E-3</c:v>
                </c:pt>
                <c:pt idx="28">
                  <c:v>2.2732127669712948E-3</c:v>
                </c:pt>
                <c:pt idx="29">
                  <c:v>2.2732127669712948E-3</c:v>
                </c:pt>
                <c:pt idx="30">
                  <c:v>2.2732127669712948E-3</c:v>
                </c:pt>
                <c:pt idx="31">
                  <c:v>2.2732127669712948E-3</c:v>
                </c:pt>
                <c:pt idx="32">
                  <c:v>2.2732127669712948E-3</c:v>
                </c:pt>
                <c:pt idx="33">
                  <c:v>2.2732127669712948E-3</c:v>
                </c:pt>
                <c:pt idx="34">
                  <c:v>2.2732127669712948E-3</c:v>
                </c:pt>
                <c:pt idx="35">
                  <c:v>2.2732127669712948E-3</c:v>
                </c:pt>
                <c:pt idx="36">
                  <c:v>2.2732127669712948E-3</c:v>
                </c:pt>
                <c:pt idx="37">
                  <c:v>2.2732127669712948E-3</c:v>
                </c:pt>
                <c:pt idx="38">
                  <c:v>2.2732127669712948E-3</c:v>
                </c:pt>
                <c:pt idx="39">
                  <c:v>2.2732127669712948E-3</c:v>
                </c:pt>
                <c:pt idx="40">
                  <c:v>2.2732127669712948E-3</c:v>
                </c:pt>
                <c:pt idx="41">
                  <c:v>2.2732127669712948E-3</c:v>
                </c:pt>
                <c:pt idx="42">
                  <c:v>2.2732127669712948E-3</c:v>
                </c:pt>
                <c:pt idx="43">
                  <c:v>2.2732127669712948E-3</c:v>
                </c:pt>
                <c:pt idx="44">
                  <c:v>2.2732127669712948E-3</c:v>
                </c:pt>
                <c:pt idx="45">
                  <c:v>2.2732127669712948E-3</c:v>
                </c:pt>
                <c:pt idx="46">
                  <c:v>2.2732127669712948E-3</c:v>
                </c:pt>
                <c:pt idx="47">
                  <c:v>2.2732127669712948E-3</c:v>
                </c:pt>
                <c:pt idx="48">
                  <c:v>2.2732127669712948E-3</c:v>
                </c:pt>
                <c:pt idx="49">
                  <c:v>2.2732127669712948E-3</c:v>
                </c:pt>
                <c:pt idx="50">
                  <c:v>2.2732127669712948E-3</c:v>
                </c:pt>
                <c:pt idx="51">
                  <c:v>2.2732127669712948E-3</c:v>
                </c:pt>
                <c:pt idx="52">
                  <c:v>2.2732127669712948E-3</c:v>
                </c:pt>
                <c:pt idx="53">
                  <c:v>2.2732127669712948E-3</c:v>
                </c:pt>
                <c:pt idx="54">
                  <c:v>2.2732127669712948E-3</c:v>
                </c:pt>
                <c:pt idx="55">
                  <c:v>2.2732127669712948E-3</c:v>
                </c:pt>
                <c:pt idx="56">
                  <c:v>2.2732127669712948E-3</c:v>
                </c:pt>
                <c:pt idx="57">
                  <c:v>2.2732127669712948E-3</c:v>
                </c:pt>
                <c:pt idx="58">
                  <c:v>2.2732127669712948E-3</c:v>
                </c:pt>
                <c:pt idx="59">
                  <c:v>2.2732127669712948E-3</c:v>
                </c:pt>
                <c:pt idx="60">
                  <c:v>2.2732127669712948E-3</c:v>
                </c:pt>
                <c:pt idx="61">
                  <c:v>2.2732127669712948E-3</c:v>
                </c:pt>
                <c:pt idx="62">
                  <c:v>2.2732127669712948E-3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42369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42387</c:v>
                </c:pt>
                <c:pt idx="12">
                  <c:v>42388</c:v>
                </c:pt>
                <c:pt idx="13">
                  <c:v>42389</c:v>
                </c:pt>
                <c:pt idx="14">
                  <c:v>42390</c:v>
                </c:pt>
                <c:pt idx="15">
                  <c:v>42391</c:v>
                </c:pt>
                <c:pt idx="16">
                  <c:v>42394</c:v>
                </c:pt>
                <c:pt idx="17">
                  <c:v>42395</c:v>
                </c:pt>
                <c:pt idx="18">
                  <c:v>42396</c:v>
                </c:pt>
                <c:pt idx="19">
                  <c:v>42397</c:v>
                </c:pt>
                <c:pt idx="20">
                  <c:v>42398</c:v>
                </c:pt>
                <c:pt idx="21">
                  <c:v>42401</c:v>
                </c:pt>
                <c:pt idx="22">
                  <c:v>42402</c:v>
                </c:pt>
                <c:pt idx="23">
                  <c:v>42403</c:v>
                </c:pt>
                <c:pt idx="24">
                  <c:v>42404</c:v>
                </c:pt>
                <c:pt idx="25">
                  <c:v>42405</c:v>
                </c:pt>
                <c:pt idx="26">
                  <c:v>42408</c:v>
                </c:pt>
                <c:pt idx="27">
                  <c:v>42409</c:v>
                </c:pt>
                <c:pt idx="28">
                  <c:v>42410</c:v>
                </c:pt>
                <c:pt idx="29">
                  <c:v>42411</c:v>
                </c:pt>
                <c:pt idx="30">
                  <c:v>42412</c:v>
                </c:pt>
                <c:pt idx="31">
                  <c:v>42415</c:v>
                </c:pt>
                <c:pt idx="32">
                  <c:v>42416</c:v>
                </c:pt>
                <c:pt idx="33">
                  <c:v>42417</c:v>
                </c:pt>
                <c:pt idx="34">
                  <c:v>42418</c:v>
                </c:pt>
                <c:pt idx="35">
                  <c:v>42419</c:v>
                </c:pt>
                <c:pt idx="36">
                  <c:v>42422</c:v>
                </c:pt>
                <c:pt idx="37">
                  <c:v>42423</c:v>
                </c:pt>
                <c:pt idx="38">
                  <c:v>42424</c:v>
                </c:pt>
                <c:pt idx="39">
                  <c:v>42425</c:v>
                </c:pt>
                <c:pt idx="40">
                  <c:v>42426</c:v>
                </c:pt>
                <c:pt idx="41">
                  <c:v>42429</c:v>
                </c:pt>
                <c:pt idx="42">
                  <c:v>42430</c:v>
                </c:pt>
                <c:pt idx="43">
                  <c:v>42431</c:v>
                </c:pt>
                <c:pt idx="44">
                  <c:v>42432</c:v>
                </c:pt>
                <c:pt idx="45">
                  <c:v>42433</c:v>
                </c:pt>
                <c:pt idx="46">
                  <c:v>42436</c:v>
                </c:pt>
                <c:pt idx="47">
                  <c:v>42437</c:v>
                </c:pt>
                <c:pt idx="48">
                  <c:v>42438</c:v>
                </c:pt>
                <c:pt idx="49">
                  <c:v>42439</c:v>
                </c:pt>
                <c:pt idx="50">
                  <c:v>42440</c:v>
                </c:pt>
                <c:pt idx="51">
                  <c:v>42443</c:v>
                </c:pt>
                <c:pt idx="52">
                  <c:v>42444</c:v>
                </c:pt>
                <c:pt idx="53">
                  <c:v>42445</c:v>
                </c:pt>
                <c:pt idx="54">
                  <c:v>42446</c:v>
                </c:pt>
                <c:pt idx="55">
                  <c:v>42447</c:v>
                </c:pt>
                <c:pt idx="56">
                  <c:v>42450</c:v>
                </c:pt>
                <c:pt idx="57">
                  <c:v>42451</c:v>
                </c:pt>
                <c:pt idx="58">
                  <c:v>42452</c:v>
                </c:pt>
                <c:pt idx="59">
                  <c:v>42453</c:v>
                </c:pt>
                <c:pt idx="60">
                  <c:v>42458</c:v>
                </c:pt>
                <c:pt idx="61">
                  <c:v>42459</c:v>
                </c:pt>
                <c:pt idx="62">
                  <c:v>42460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2.3394957243946619E-3</c:v>
                </c:pt>
                <c:pt idx="1">
                  <c:v>2.3336686512145858E-3</c:v>
                </c:pt>
                <c:pt idx="2">
                  <c:v>2.3322118829195667E-3</c:v>
                </c:pt>
                <c:pt idx="3">
                  <c:v>2.3307551146245476E-3</c:v>
                </c:pt>
                <c:pt idx="4">
                  <c:v>2.3292983463295285E-3</c:v>
                </c:pt>
                <c:pt idx="5">
                  <c:v>2.3278415780345093E-3</c:v>
                </c:pt>
                <c:pt idx="6">
                  <c:v>2.323471273149452E-3</c:v>
                </c:pt>
                <c:pt idx="7">
                  <c:v>2.3220145048544333E-3</c:v>
                </c:pt>
                <c:pt idx="8">
                  <c:v>2.3205577365594142E-3</c:v>
                </c:pt>
                <c:pt idx="9">
                  <c:v>2.319100968264395E-3</c:v>
                </c:pt>
                <c:pt idx="10">
                  <c:v>2.3176441999693759E-3</c:v>
                </c:pt>
                <c:pt idx="11">
                  <c:v>2.3132738950843185E-3</c:v>
                </c:pt>
                <c:pt idx="12">
                  <c:v>2.3118171267892998E-3</c:v>
                </c:pt>
                <c:pt idx="13">
                  <c:v>2.3103603584942807E-3</c:v>
                </c:pt>
                <c:pt idx="14">
                  <c:v>2.3089035901992616E-3</c:v>
                </c:pt>
                <c:pt idx="15">
                  <c:v>2.3074468219042425E-3</c:v>
                </c:pt>
                <c:pt idx="16">
                  <c:v>2.3030765170191851E-3</c:v>
                </c:pt>
                <c:pt idx="17">
                  <c:v>2.301619748724166E-3</c:v>
                </c:pt>
                <c:pt idx="18">
                  <c:v>2.3001629804291473E-3</c:v>
                </c:pt>
                <c:pt idx="19">
                  <c:v>2.2987062121341282E-3</c:v>
                </c:pt>
                <c:pt idx="20">
                  <c:v>2.297249443839109E-3</c:v>
                </c:pt>
                <c:pt idx="21">
                  <c:v>2.2928791389540517E-3</c:v>
                </c:pt>
                <c:pt idx="22">
                  <c:v>2.2914223706590325E-3</c:v>
                </c:pt>
                <c:pt idx="23">
                  <c:v>2.2899656023640138E-3</c:v>
                </c:pt>
                <c:pt idx="24">
                  <c:v>2.2885088340689947E-3</c:v>
                </c:pt>
                <c:pt idx="25">
                  <c:v>2.2870520657739756E-3</c:v>
                </c:pt>
                <c:pt idx="26">
                  <c:v>2.2826817608889182E-3</c:v>
                </c:pt>
                <c:pt idx="27">
                  <c:v>2.2812249925938991E-3</c:v>
                </c:pt>
                <c:pt idx="28">
                  <c:v>2.27976822429888E-3</c:v>
                </c:pt>
                <c:pt idx="29">
                  <c:v>2.2783114560038613E-3</c:v>
                </c:pt>
                <c:pt idx="30">
                  <c:v>2.2768546877088422E-3</c:v>
                </c:pt>
                <c:pt idx="31">
                  <c:v>2.2724843828237848E-3</c:v>
                </c:pt>
                <c:pt idx="32">
                  <c:v>2.2710276145287657E-3</c:v>
                </c:pt>
                <c:pt idx="33">
                  <c:v>2.2695708462337465E-3</c:v>
                </c:pt>
                <c:pt idx="34">
                  <c:v>2.2681140779387278E-3</c:v>
                </c:pt>
                <c:pt idx="35">
                  <c:v>2.2666573096437087E-3</c:v>
                </c:pt>
                <c:pt idx="36">
                  <c:v>2.2622870047586514E-3</c:v>
                </c:pt>
                <c:pt idx="37">
                  <c:v>2.2608302364636322E-3</c:v>
                </c:pt>
                <c:pt idx="38">
                  <c:v>2.2593734681686131E-3</c:v>
                </c:pt>
                <c:pt idx="39">
                  <c:v>2.257916699873594E-3</c:v>
                </c:pt>
                <c:pt idx="40">
                  <c:v>2.2564599315785753E-3</c:v>
                </c:pt>
                <c:pt idx="41">
                  <c:v>2.2520896266935179E-3</c:v>
                </c:pt>
                <c:pt idx="42">
                  <c:v>2.2506328583984988E-3</c:v>
                </c:pt>
                <c:pt idx="43">
                  <c:v>2.2491760901034797E-3</c:v>
                </c:pt>
                <c:pt idx="44">
                  <c:v>2.2477193218084605E-3</c:v>
                </c:pt>
                <c:pt idx="45">
                  <c:v>2.2462625535134419E-3</c:v>
                </c:pt>
                <c:pt idx="46">
                  <c:v>2.2418922486283845E-3</c:v>
                </c:pt>
                <c:pt idx="47">
                  <c:v>2.2404354803333654E-3</c:v>
                </c:pt>
                <c:pt idx="48">
                  <c:v>2.2389787120383462E-3</c:v>
                </c:pt>
                <c:pt idx="49">
                  <c:v>2.2375219437433271E-3</c:v>
                </c:pt>
                <c:pt idx="50">
                  <c:v>2.236065175448308E-3</c:v>
                </c:pt>
                <c:pt idx="51">
                  <c:v>2.231694870563251E-3</c:v>
                </c:pt>
                <c:pt idx="52">
                  <c:v>2.2302381022682319E-3</c:v>
                </c:pt>
                <c:pt idx="53">
                  <c:v>2.2287813339732128E-3</c:v>
                </c:pt>
                <c:pt idx="54">
                  <c:v>2.2273245656781937E-3</c:v>
                </c:pt>
                <c:pt idx="55">
                  <c:v>2.2258677973831745E-3</c:v>
                </c:pt>
                <c:pt idx="56">
                  <c:v>2.2214974924981176E-3</c:v>
                </c:pt>
                <c:pt idx="57">
                  <c:v>2.2200407242030985E-3</c:v>
                </c:pt>
                <c:pt idx="58">
                  <c:v>2.2185839559080794E-3</c:v>
                </c:pt>
                <c:pt idx="59">
                  <c:v>2.2171271876130602E-3</c:v>
                </c:pt>
                <c:pt idx="60">
                  <c:v>2.209843346137965E-3</c:v>
                </c:pt>
                <c:pt idx="61">
                  <c:v>2.2083865778429459E-3</c:v>
                </c:pt>
                <c:pt idx="62">
                  <c:v>2.2069298095479268E-3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42369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42387</c:v>
                </c:pt>
                <c:pt idx="12">
                  <c:v>42388</c:v>
                </c:pt>
                <c:pt idx="13">
                  <c:v>42389</c:v>
                </c:pt>
                <c:pt idx="14">
                  <c:v>42390</c:v>
                </c:pt>
                <c:pt idx="15">
                  <c:v>42391</c:v>
                </c:pt>
                <c:pt idx="16">
                  <c:v>42394</c:v>
                </c:pt>
                <c:pt idx="17">
                  <c:v>42395</c:v>
                </c:pt>
                <c:pt idx="18">
                  <c:v>42396</c:v>
                </c:pt>
                <c:pt idx="19">
                  <c:v>42397</c:v>
                </c:pt>
                <c:pt idx="20">
                  <c:v>42398</c:v>
                </c:pt>
                <c:pt idx="21">
                  <c:v>42401</c:v>
                </c:pt>
                <c:pt idx="22">
                  <c:v>42402</c:v>
                </c:pt>
                <c:pt idx="23">
                  <c:v>42403</c:v>
                </c:pt>
                <c:pt idx="24">
                  <c:v>42404</c:v>
                </c:pt>
                <c:pt idx="25">
                  <c:v>42405</c:v>
                </c:pt>
                <c:pt idx="26">
                  <c:v>42408</c:v>
                </c:pt>
                <c:pt idx="27">
                  <c:v>42409</c:v>
                </c:pt>
                <c:pt idx="28">
                  <c:v>42410</c:v>
                </c:pt>
                <c:pt idx="29">
                  <c:v>42411</c:v>
                </c:pt>
                <c:pt idx="30">
                  <c:v>42412</c:v>
                </c:pt>
                <c:pt idx="31">
                  <c:v>42415</c:v>
                </c:pt>
                <c:pt idx="32">
                  <c:v>42416</c:v>
                </c:pt>
                <c:pt idx="33">
                  <c:v>42417</c:v>
                </c:pt>
                <c:pt idx="34">
                  <c:v>42418</c:v>
                </c:pt>
                <c:pt idx="35">
                  <c:v>42419</c:v>
                </c:pt>
                <c:pt idx="36">
                  <c:v>42422</c:v>
                </c:pt>
                <c:pt idx="37">
                  <c:v>42423</c:v>
                </c:pt>
                <c:pt idx="38">
                  <c:v>42424</c:v>
                </c:pt>
                <c:pt idx="39">
                  <c:v>42425</c:v>
                </c:pt>
                <c:pt idx="40">
                  <c:v>42426</c:v>
                </c:pt>
                <c:pt idx="41">
                  <c:v>42429</c:v>
                </c:pt>
                <c:pt idx="42">
                  <c:v>42430</c:v>
                </c:pt>
                <c:pt idx="43">
                  <c:v>42431</c:v>
                </c:pt>
                <c:pt idx="44">
                  <c:v>42432</c:v>
                </c:pt>
                <c:pt idx="45">
                  <c:v>42433</c:v>
                </c:pt>
                <c:pt idx="46">
                  <c:v>42436</c:v>
                </c:pt>
                <c:pt idx="47">
                  <c:v>42437</c:v>
                </c:pt>
                <c:pt idx="48">
                  <c:v>42438</c:v>
                </c:pt>
                <c:pt idx="49">
                  <c:v>42439</c:v>
                </c:pt>
                <c:pt idx="50">
                  <c:v>42440</c:v>
                </c:pt>
                <c:pt idx="51">
                  <c:v>42443</c:v>
                </c:pt>
                <c:pt idx="52">
                  <c:v>42444</c:v>
                </c:pt>
                <c:pt idx="53">
                  <c:v>42445</c:v>
                </c:pt>
                <c:pt idx="54">
                  <c:v>42446</c:v>
                </c:pt>
                <c:pt idx="55">
                  <c:v>42447</c:v>
                </c:pt>
                <c:pt idx="56">
                  <c:v>42450</c:v>
                </c:pt>
                <c:pt idx="57">
                  <c:v>42451</c:v>
                </c:pt>
                <c:pt idx="58">
                  <c:v>42452</c:v>
                </c:pt>
                <c:pt idx="59">
                  <c:v>42453</c:v>
                </c:pt>
                <c:pt idx="60">
                  <c:v>42458</c:v>
                </c:pt>
                <c:pt idx="61">
                  <c:v>42459</c:v>
                </c:pt>
                <c:pt idx="62">
                  <c:v>42460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2.3844099182079256E-3</c:v>
                </c:pt>
                <c:pt idx="1">
                  <c:v>2.3710997583473604E-3</c:v>
                </c:pt>
                <c:pt idx="2">
                  <c:v>2.3678501871938107E-3</c:v>
                </c:pt>
                <c:pt idx="3">
                  <c:v>2.3646318035648972E-3</c:v>
                </c:pt>
                <c:pt idx="4">
                  <c:v>2.3614446074606203E-3</c:v>
                </c:pt>
                <c:pt idx="5">
                  <c:v>2.3582885988809804E-3</c:v>
                </c:pt>
                <c:pt idx="6">
                  <c:v>2.3490076982898788E-3</c:v>
                </c:pt>
                <c:pt idx="7">
                  <c:v>2.3459764398087854E-3</c:v>
                </c:pt>
                <c:pt idx="8">
                  <c:v>2.3429763688523281E-3</c:v>
                </c:pt>
                <c:pt idx="9">
                  <c:v>2.340007485420507E-3</c:v>
                </c:pt>
                <c:pt idx="10">
                  <c:v>2.337069789513323E-3</c:v>
                </c:pt>
                <c:pt idx="11">
                  <c:v>2.3284438269395896E-3</c:v>
                </c:pt>
                <c:pt idx="12">
                  <c:v>2.3256308811309516E-3</c:v>
                </c:pt>
                <c:pt idx="13">
                  <c:v>2.3228491228469497E-3</c:v>
                </c:pt>
                <c:pt idx="14">
                  <c:v>2.3200985520875849E-3</c:v>
                </c:pt>
                <c:pt idx="15">
                  <c:v>2.3173791688528567E-3</c:v>
                </c:pt>
                <c:pt idx="16">
                  <c:v>2.3094081442964908E-3</c:v>
                </c:pt>
                <c:pt idx="17">
                  <c:v>2.306813511160309E-3</c:v>
                </c:pt>
                <c:pt idx="18">
                  <c:v>2.3042500655487633E-3</c:v>
                </c:pt>
                <c:pt idx="19">
                  <c:v>2.3017178074618543E-3</c:v>
                </c:pt>
                <c:pt idx="20">
                  <c:v>2.2992167368995819E-3</c:v>
                </c:pt>
                <c:pt idx="21">
                  <c:v>2.2919006503605839E-3</c:v>
                </c:pt>
                <c:pt idx="22">
                  <c:v>2.2895243298968575E-3</c:v>
                </c:pt>
                <c:pt idx="23">
                  <c:v>2.2871791969577685E-3</c:v>
                </c:pt>
                <c:pt idx="24">
                  <c:v>2.2848652515433153E-3</c:v>
                </c:pt>
                <c:pt idx="25">
                  <c:v>2.2825824936534987E-3</c:v>
                </c:pt>
                <c:pt idx="26">
                  <c:v>2.2759213451318686E-3</c:v>
                </c:pt>
                <c:pt idx="27">
                  <c:v>2.2737633373405984E-3</c:v>
                </c:pt>
                <c:pt idx="28">
                  <c:v>2.2716365170739649E-3</c:v>
                </c:pt>
                <c:pt idx="29">
                  <c:v>2.2695408843319675E-3</c:v>
                </c:pt>
                <c:pt idx="30">
                  <c:v>2.2674764391146067E-3</c:v>
                </c:pt>
                <c:pt idx="31">
                  <c:v>2.2614702286103444E-3</c:v>
                </c:pt>
                <c:pt idx="32">
                  <c:v>2.2595305334915301E-3</c:v>
                </c:pt>
                <c:pt idx="33">
                  <c:v>2.2576220258973523E-3</c:v>
                </c:pt>
                <c:pt idx="34">
                  <c:v>2.2557447058278112E-3</c:v>
                </c:pt>
                <c:pt idx="35">
                  <c:v>2.2538985732829062E-3</c:v>
                </c:pt>
                <c:pt idx="36">
                  <c:v>2.2485473007960118E-3</c:v>
                </c:pt>
                <c:pt idx="37">
                  <c:v>2.2468259183496533E-3</c:v>
                </c:pt>
                <c:pt idx="38">
                  <c:v>2.2451357234279314E-3</c:v>
                </c:pt>
                <c:pt idx="39">
                  <c:v>2.2434767160308465E-3</c:v>
                </c:pt>
                <c:pt idx="40">
                  <c:v>2.2418488961583978E-3</c:v>
                </c:pt>
                <c:pt idx="41">
                  <c:v>2.2371525616888708E-3</c:v>
                </c:pt>
                <c:pt idx="42">
                  <c:v>2.2356494919149685E-3</c:v>
                </c:pt>
                <c:pt idx="43">
                  <c:v>2.2341776096657024E-3</c:v>
                </c:pt>
                <c:pt idx="44">
                  <c:v>2.2327369149410729E-3</c:v>
                </c:pt>
                <c:pt idx="45">
                  <c:v>2.2313274077410804E-3</c:v>
                </c:pt>
                <c:pt idx="46">
                  <c:v>2.2272860112889209E-3</c:v>
                </c:pt>
                <c:pt idx="47">
                  <c:v>2.2260012541874745E-3</c:v>
                </c:pt>
                <c:pt idx="48">
                  <c:v>2.2247476846106646E-3</c:v>
                </c:pt>
                <c:pt idx="49">
                  <c:v>2.2235253025584909E-3</c:v>
                </c:pt>
                <c:pt idx="50">
                  <c:v>2.2223341080309543E-3</c:v>
                </c:pt>
                <c:pt idx="51">
                  <c:v>2.2189476495961626E-3</c:v>
                </c:pt>
                <c:pt idx="52">
                  <c:v>2.217881205167172E-3</c:v>
                </c:pt>
                <c:pt idx="53">
                  <c:v>2.2168459482628179E-3</c:v>
                </c:pt>
                <c:pt idx="54">
                  <c:v>2.2158418788831005E-3</c:v>
                </c:pt>
                <c:pt idx="55">
                  <c:v>2.2148689970280197E-3</c:v>
                </c:pt>
                <c:pt idx="56">
                  <c:v>2.2121374766105963E-3</c:v>
                </c:pt>
                <c:pt idx="57">
                  <c:v>2.2112893448540615E-3</c:v>
                </c:pt>
                <c:pt idx="58">
                  <c:v>2.2104724006221633E-3</c:v>
                </c:pt>
                <c:pt idx="59">
                  <c:v>2.2096866439149016E-3</c:v>
                </c:pt>
                <c:pt idx="60">
                  <c:v>2.2062256732481422E-3</c:v>
                </c:pt>
                <c:pt idx="61">
                  <c:v>2.2056270416886997E-3</c:v>
                </c:pt>
                <c:pt idx="62">
                  <c:v>2.2050595976538939E-3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796032"/>
        <c:axId val="606011392"/>
      </c:lineChart>
      <c:dateAx>
        <c:axId val="60679603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6011392"/>
        <c:crosses val="autoZero"/>
        <c:auto val="1"/>
        <c:lblOffset val="100"/>
        <c:baseTimeUnit val="days"/>
      </c:dateAx>
      <c:valAx>
        <c:axId val="6060113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6796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42369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42387</c:v>
                </c:pt>
                <c:pt idx="12">
                  <c:v>42388</c:v>
                </c:pt>
                <c:pt idx="13">
                  <c:v>42389</c:v>
                </c:pt>
                <c:pt idx="14">
                  <c:v>42390</c:v>
                </c:pt>
                <c:pt idx="15">
                  <c:v>42391</c:v>
                </c:pt>
                <c:pt idx="16">
                  <c:v>42394</c:v>
                </c:pt>
                <c:pt idx="17">
                  <c:v>42395</c:v>
                </c:pt>
                <c:pt idx="18">
                  <c:v>42396</c:v>
                </c:pt>
                <c:pt idx="19">
                  <c:v>42397</c:v>
                </c:pt>
                <c:pt idx="20">
                  <c:v>42398</c:v>
                </c:pt>
                <c:pt idx="21">
                  <c:v>42401</c:v>
                </c:pt>
                <c:pt idx="22">
                  <c:v>42402</c:v>
                </c:pt>
                <c:pt idx="23">
                  <c:v>42403</c:v>
                </c:pt>
                <c:pt idx="24">
                  <c:v>42404</c:v>
                </c:pt>
                <c:pt idx="25">
                  <c:v>42405</c:v>
                </c:pt>
                <c:pt idx="26">
                  <c:v>42408</c:v>
                </c:pt>
                <c:pt idx="27">
                  <c:v>42409</c:v>
                </c:pt>
                <c:pt idx="28">
                  <c:v>42410</c:v>
                </c:pt>
                <c:pt idx="29">
                  <c:v>42411</c:v>
                </c:pt>
                <c:pt idx="30">
                  <c:v>42412</c:v>
                </c:pt>
                <c:pt idx="31">
                  <c:v>42415</c:v>
                </c:pt>
                <c:pt idx="32">
                  <c:v>42416</c:v>
                </c:pt>
                <c:pt idx="33">
                  <c:v>42417</c:v>
                </c:pt>
                <c:pt idx="34">
                  <c:v>42418</c:v>
                </c:pt>
                <c:pt idx="35">
                  <c:v>42419</c:v>
                </c:pt>
                <c:pt idx="36">
                  <c:v>42422</c:v>
                </c:pt>
                <c:pt idx="37">
                  <c:v>42423</c:v>
                </c:pt>
                <c:pt idx="38">
                  <c:v>42424</c:v>
                </c:pt>
                <c:pt idx="39">
                  <c:v>42425</c:v>
                </c:pt>
                <c:pt idx="40">
                  <c:v>42426</c:v>
                </c:pt>
                <c:pt idx="41">
                  <c:v>42429</c:v>
                </c:pt>
                <c:pt idx="42">
                  <c:v>42430</c:v>
                </c:pt>
                <c:pt idx="43">
                  <c:v>42431</c:v>
                </c:pt>
                <c:pt idx="44">
                  <c:v>42432</c:v>
                </c:pt>
                <c:pt idx="45">
                  <c:v>42433</c:v>
                </c:pt>
                <c:pt idx="46">
                  <c:v>42436</c:v>
                </c:pt>
                <c:pt idx="47">
                  <c:v>42437</c:v>
                </c:pt>
                <c:pt idx="48">
                  <c:v>42438</c:v>
                </c:pt>
                <c:pt idx="49">
                  <c:v>42439</c:v>
                </c:pt>
                <c:pt idx="50">
                  <c:v>42440</c:v>
                </c:pt>
                <c:pt idx="51">
                  <c:v>42443</c:v>
                </c:pt>
                <c:pt idx="52">
                  <c:v>42444</c:v>
                </c:pt>
                <c:pt idx="53">
                  <c:v>42445</c:v>
                </c:pt>
                <c:pt idx="54">
                  <c:v>42446</c:v>
                </c:pt>
                <c:pt idx="55">
                  <c:v>42447</c:v>
                </c:pt>
                <c:pt idx="56">
                  <c:v>42450</c:v>
                </c:pt>
                <c:pt idx="57">
                  <c:v>42451</c:v>
                </c:pt>
                <c:pt idx="58">
                  <c:v>42452</c:v>
                </c:pt>
                <c:pt idx="59">
                  <c:v>42453</c:v>
                </c:pt>
                <c:pt idx="60">
                  <c:v>42458</c:v>
                </c:pt>
                <c:pt idx="61">
                  <c:v>42459</c:v>
                </c:pt>
                <c:pt idx="62">
                  <c:v>42460</c:v>
                </c:pt>
                <c:pt idx="63">
                  <c:v>42461</c:v>
                </c:pt>
                <c:pt idx="64">
                  <c:v>42464</c:v>
                </c:pt>
                <c:pt idx="65">
                  <c:v>42465</c:v>
                </c:pt>
                <c:pt idx="66">
                  <c:v>42466</c:v>
                </c:pt>
                <c:pt idx="67">
                  <c:v>42467</c:v>
                </c:pt>
                <c:pt idx="68">
                  <c:v>42468</c:v>
                </c:pt>
                <c:pt idx="69">
                  <c:v>42471</c:v>
                </c:pt>
                <c:pt idx="70">
                  <c:v>42472</c:v>
                </c:pt>
                <c:pt idx="71">
                  <c:v>42473</c:v>
                </c:pt>
                <c:pt idx="72">
                  <c:v>42474</c:v>
                </c:pt>
                <c:pt idx="73">
                  <c:v>42475</c:v>
                </c:pt>
                <c:pt idx="74">
                  <c:v>42478</c:v>
                </c:pt>
                <c:pt idx="75">
                  <c:v>42479</c:v>
                </c:pt>
                <c:pt idx="76">
                  <c:v>42480</c:v>
                </c:pt>
                <c:pt idx="77">
                  <c:v>42481</c:v>
                </c:pt>
                <c:pt idx="78">
                  <c:v>42482</c:v>
                </c:pt>
                <c:pt idx="79">
                  <c:v>42485</c:v>
                </c:pt>
                <c:pt idx="80">
                  <c:v>42486</c:v>
                </c:pt>
                <c:pt idx="81">
                  <c:v>42487</c:v>
                </c:pt>
                <c:pt idx="82">
                  <c:v>42488</c:v>
                </c:pt>
                <c:pt idx="83">
                  <c:v>42489</c:v>
                </c:pt>
                <c:pt idx="84">
                  <c:v>42493</c:v>
                </c:pt>
                <c:pt idx="85">
                  <c:v>42494</c:v>
                </c:pt>
                <c:pt idx="86">
                  <c:v>42495</c:v>
                </c:pt>
                <c:pt idx="87">
                  <c:v>42496</c:v>
                </c:pt>
                <c:pt idx="88">
                  <c:v>42499</c:v>
                </c:pt>
                <c:pt idx="89">
                  <c:v>42500</c:v>
                </c:pt>
                <c:pt idx="90">
                  <c:v>42501</c:v>
                </c:pt>
                <c:pt idx="91">
                  <c:v>42502</c:v>
                </c:pt>
                <c:pt idx="92">
                  <c:v>42503</c:v>
                </c:pt>
                <c:pt idx="93">
                  <c:v>42506</c:v>
                </c:pt>
                <c:pt idx="94">
                  <c:v>42507</c:v>
                </c:pt>
                <c:pt idx="95">
                  <c:v>42508</c:v>
                </c:pt>
                <c:pt idx="96">
                  <c:v>42509</c:v>
                </c:pt>
                <c:pt idx="97">
                  <c:v>42510</c:v>
                </c:pt>
                <c:pt idx="98">
                  <c:v>42513</c:v>
                </c:pt>
                <c:pt idx="99">
                  <c:v>42514</c:v>
                </c:pt>
                <c:pt idx="100">
                  <c:v>42515</c:v>
                </c:pt>
                <c:pt idx="101">
                  <c:v>42516</c:v>
                </c:pt>
                <c:pt idx="102">
                  <c:v>42517</c:v>
                </c:pt>
                <c:pt idx="103">
                  <c:v>42521</c:v>
                </c:pt>
                <c:pt idx="104">
                  <c:v>42522</c:v>
                </c:pt>
                <c:pt idx="105">
                  <c:v>42523</c:v>
                </c:pt>
                <c:pt idx="106">
                  <c:v>42524</c:v>
                </c:pt>
                <c:pt idx="107">
                  <c:v>42527</c:v>
                </c:pt>
                <c:pt idx="108">
                  <c:v>42528</c:v>
                </c:pt>
                <c:pt idx="109">
                  <c:v>42529</c:v>
                </c:pt>
                <c:pt idx="110">
                  <c:v>42530</c:v>
                </c:pt>
                <c:pt idx="111">
                  <c:v>42531</c:v>
                </c:pt>
                <c:pt idx="112">
                  <c:v>42534</c:v>
                </c:pt>
                <c:pt idx="113">
                  <c:v>42535</c:v>
                </c:pt>
                <c:pt idx="114">
                  <c:v>42536</c:v>
                </c:pt>
                <c:pt idx="115">
                  <c:v>42537</c:v>
                </c:pt>
                <c:pt idx="116">
                  <c:v>42538</c:v>
                </c:pt>
                <c:pt idx="117">
                  <c:v>42541</c:v>
                </c:pt>
                <c:pt idx="118">
                  <c:v>42542</c:v>
                </c:pt>
                <c:pt idx="119">
                  <c:v>42543</c:v>
                </c:pt>
                <c:pt idx="120">
                  <c:v>42544</c:v>
                </c:pt>
                <c:pt idx="121">
                  <c:v>42545</c:v>
                </c:pt>
                <c:pt idx="122">
                  <c:v>42548</c:v>
                </c:pt>
                <c:pt idx="123">
                  <c:v>42549</c:v>
                </c:pt>
                <c:pt idx="124">
                  <c:v>42550</c:v>
                </c:pt>
                <c:pt idx="125">
                  <c:v>42551</c:v>
                </c:pt>
                <c:pt idx="126">
                  <c:v>42552</c:v>
                </c:pt>
                <c:pt idx="127">
                  <c:v>42555</c:v>
                </c:pt>
                <c:pt idx="128">
                  <c:v>42556</c:v>
                </c:pt>
                <c:pt idx="129">
                  <c:v>42557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3.8212420219172669E-3</c:v>
                </c:pt>
                <c:pt idx="1">
                  <c:v>3.8212420219172669E-3</c:v>
                </c:pt>
                <c:pt idx="2">
                  <c:v>3.8212420219172669E-3</c:v>
                </c:pt>
                <c:pt idx="3">
                  <c:v>3.8212420219172669E-3</c:v>
                </c:pt>
                <c:pt idx="4">
                  <c:v>3.8212420219172669E-3</c:v>
                </c:pt>
                <c:pt idx="5">
                  <c:v>3.8212420219172669E-3</c:v>
                </c:pt>
                <c:pt idx="6">
                  <c:v>3.8212420219172669E-3</c:v>
                </c:pt>
                <c:pt idx="7">
                  <c:v>3.8212420219172669E-3</c:v>
                </c:pt>
                <c:pt idx="8">
                  <c:v>3.8212420219172669E-3</c:v>
                </c:pt>
                <c:pt idx="9">
                  <c:v>3.8212420219172669E-3</c:v>
                </c:pt>
                <c:pt idx="10">
                  <c:v>3.8212420219172669E-3</c:v>
                </c:pt>
                <c:pt idx="11">
                  <c:v>3.8212420219172669E-3</c:v>
                </c:pt>
                <c:pt idx="12">
                  <c:v>3.8212420219172669E-3</c:v>
                </c:pt>
                <c:pt idx="13">
                  <c:v>3.8212420219172669E-3</c:v>
                </c:pt>
                <c:pt idx="14">
                  <c:v>3.8212420219172669E-3</c:v>
                </c:pt>
                <c:pt idx="15">
                  <c:v>3.8212420219172669E-3</c:v>
                </c:pt>
                <c:pt idx="16">
                  <c:v>3.8212420219172669E-3</c:v>
                </c:pt>
                <c:pt idx="17">
                  <c:v>3.8212420219172669E-3</c:v>
                </c:pt>
                <c:pt idx="18">
                  <c:v>3.8212420219172669E-3</c:v>
                </c:pt>
                <c:pt idx="19">
                  <c:v>3.8212420219172669E-3</c:v>
                </c:pt>
                <c:pt idx="20">
                  <c:v>3.8212420219172669E-3</c:v>
                </c:pt>
                <c:pt idx="21">
                  <c:v>3.8212420219172669E-3</c:v>
                </c:pt>
                <c:pt idx="22">
                  <c:v>3.8212420219172669E-3</c:v>
                </c:pt>
                <c:pt idx="23">
                  <c:v>3.8212420219172669E-3</c:v>
                </c:pt>
                <c:pt idx="24">
                  <c:v>3.8212420219172669E-3</c:v>
                </c:pt>
                <c:pt idx="25">
                  <c:v>3.8212420219172669E-3</c:v>
                </c:pt>
                <c:pt idx="26">
                  <c:v>3.8212420219172669E-3</c:v>
                </c:pt>
                <c:pt idx="27">
                  <c:v>3.8212420219172669E-3</c:v>
                </c:pt>
                <c:pt idx="28">
                  <c:v>3.8212420219172669E-3</c:v>
                </c:pt>
                <c:pt idx="29">
                  <c:v>3.8212420219172669E-3</c:v>
                </c:pt>
                <c:pt idx="30">
                  <c:v>3.8212420219172669E-3</c:v>
                </c:pt>
                <c:pt idx="31">
                  <c:v>3.8212420219172669E-3</c:v>
                </c:pt>
                <c:pt idx="32">
                  <c:v>3.8212420219172669E-3</c:v>
                </c:pt>
                <c:pt idx="33">
                  <c:v>3.8212420219172669E-3</c:v>
                </c:pt>
                <c:pt idx="34">
                  <c:v>3.8212420219172669E-3</c:v>
                </c:pt>
                <c:pt idx="35">
                  <c:v>3.8212420219172669E-3</c:v>
                </c:pt>
                <c:pt idx="36">
                  <c:v>3.8212420219172669E-3</c:v>
                </c:pt>
                <c:pt idx="37">
                  <c:v>3.8212420219172669E-3</c:v>
                </c:pt>
                <c:pt idx="38">
                  <c:v>3.8212420219172669E-3</c:v>
                </c:pt>
                <c:pt idx="39">
                  <c:v>3.8212420219172669E-3</c:v>
                </c:pt>
                <c:pt idx="40">
                  <c:v>3.8212420219172669E-3</c:v>
                </c:pt>
                <c:pt idx="41">
                  <c:v>3.8212420219172669E-3</c:v>
                </c:pt>
                <c:pt idx="42">
                  <c:v>3.8212420219172669E-3</c:v>
                </c:pt>
                <c:pt idx="43">
                  <c:v>3.8212420219172669E-3</c:v>
                </c:pt>
                <c:pt idx="44">
                  <c:v>3.8212420219172669E-3</c:v>
                </c:pt>
                <c:pt idx="45">
                  <c:v>3.8212420219172669E-3</c:v>
                </c:pt>
                <c:pt idx="46">
                  <c:v>3.8212420219172669E-3</c:v>
                </c:pt>
                <c:pt idx="47">
                  <c:v>3.8212420219172669E-3</c:v>
                </c:pt>
                <c:pt idx="48">
                  <c:v>3.8212420219172669E-3</c:v>
                </c:pt>
                <c:pt idx="49">
                  <c:v>3.8212420219172669E-3</c:v>
                </c:pt>
                <c:pt idx="50">
                  <c:v>3.8212420219172669E-3</c:v>
                </c:pt>
                <c:pt idx="51">
                  <c:v>3.8212420219172669E-3</c:v>
                </c:pt>
                <c:pt idx="52">
                  <c:v>3.8212420219172669E-3</c:v>
                </c:pt>
                <c:pt idx="53">
                  <c:v>3.8212420219172669E-3</c:v>
                </c:pt>
                <c:pt idx="54">
                  <c:v>3.8212420219172669E-3</c:v>
                </c:pt>
                <c:pt idx="55">
                  <c:v>3.8212420219172669E-3</c:v>
                </c:pt>
                <c:pt idx="56">
                  <c:v>3.8212420219172669E-3</c:v>
                </c:pt>
                <c:pt idx="57">
                  <c:v>3.8212420219172669E-3</c:v>
                </c:pt>
                <c:pt idx="58">
                  <c:v>3.8212420219172669E-3</c:v>
                </c:pt>
                <c:pt idx="59">
                  <c:v>3.8212420219172669E-3</c:v>
                </c:pt>
                <c:pt idx="60">
                  <c:v>3.8212420219172669E-3</c:v>
                </c:pt>
                <c:pt idx="61">
                  <c:v>3.8212420219172669E-3</c:v>
                </c:pt>
                <c:pt idx="62">
                  <c:v>3.8212420219172669E-3</c:v>
                </c:pt>
                <c:pt idx="63">
                  <c:v>3.8212420219172669E-3</c:v>
                </c:pt>
                <c:pt idx="64">
                  <c:v>3.8212420219172669E-3</c:v>
                </c:pt>
                <c:pt idx="65">
                  <c:v>3.8212420219172669E-3</c:v>
                </c:pt>
                <c:pt idx="66">
                  <c:v>3.8212420219172669E-3</c:v>
                </c:pt>
                <c:pt idx="67">
                  <c:v>3.8212420219172669E-3</c:v>
                </c:pt>
                <c:pt idx="68">
                  <c:v>3.8212420219172669E-3</c:v>
                </c:pt>
                <c:pt idx="69">
                  <c:v>3.8212420219172669E-3</c:v>
                </c:pt>
                <c:pt idx="70">
                  <c:v>3.8212420219172669E-3</c:v>
                </c:pt>
                <c:pt idx="71">
                  <c:v>3.8212420219172669E-3</c:v>
                </c:pt>
                <c:pt idx="72">
                  <c:v>3.8212420219172669E-3</c:v>
                </c:pt>
                <c:pt idx="73">
                  <c:v>3.8212420219172669E-3</c:v>
                </c:pt>
                <c:pt idx="74">
                  <c:v>3.8212420219172669E-3</c:v>
                </c:pt>
                <c:pt idx="75">
                  <c:v>3.8212420219172669E-3</c:v>
                </c:pt>
                <c:pt idx="76">
                  <c:v>3.8212420219172669E-3</c:v>
                </c:pt>
                <c:pt idx="77">
                  <c:v>3.8212420219172669E-3</c:v>
                </c:pt>
                <c:pt idx="78">
                  <c:v>3.8212420219172669E-3</c:v>
                </c:pt>
                <c:pt idx="79">
                  <c:v>3.8212420219172669E-3</c:v>
                </c:pt>
                <c:pt idx="80">
                  <c:v>3.8212420219172669E-3</c:v>
                </c:pt>
                <c:pt idx="81">
                  <c:v>3.8212420219172669E-3</c:v>
                </c:pt>
                <c:pt idx="82">
                  <c:v>3.8212420219172669E-3</c:v>
                </c:pt>
                <c:pt idx="83">
                  <c:v>3.8212420219172669E-3</c:v>
                </c:pt>
                <c:pt idx="84">
                  <c:v>3.8212420219172669E-3</c:v>
                </c:pt>
                <c:pt idx="85">
                  <c:v>3.8212420219172669E-3</c:v>
                </c:pt>
                <c:pt idx="86">
                  <c:v>3.8212420219172669E-3</c:v>
                </c:pt>
                <c:pt idx="87">
                  <c:v>3.8212420219172669E-3</c:v>
                </c:pt>
                <c:pt idx="88">
                  <c:v>3.8212420219172669E-3</c:v>
                </c:pt>
                <c:pt idx="89">
                  <c:v>3.8212420219172669E-3</c:v>
                </c:pt>
                <c:pt idx="90">
                  <c:v>3.8212420219172669E-3</c:v>
                </c:pt>
                <c:pt idx="91">
                  <c:v>3.8212420219172669E-3</c:v>
                </c:pt>
                <c:pt idx="92">
                  <c:v>3.8212420219172669E-3</c:v>
                </c:pt>
                <c:pt idx="93">
                  <c:v>3.8212420219172669E-3</c:v>
                </c:pt>
                <c:pt idx="94">
                  <c:v>3.8212420219172669E-3</c:v>
                </c:pt>
                <c:pt idx="95">
                  <c:v>3.8212420219172669E-3</c:v>
                </c:pt>
                <c:pt idx="96">
                  <c:v>3.8212420219172669E-3</c:v>
                </c:pt>
                <c:pt idx="97">
                  <c:v>3.8212420219172669E-3</c:v>
                </c:pt>
                <c:pt idx="98">
                  <c:v>3.8212420219172669E-3</c:v>
                </c:pt>
                <c:pt idx="99">
                  <c:v>3.8212420219172669E-3</c:v>
                </c:pt>
                <c:pt idx="100">
                  <c:v>3.8212420219172669E-3</c:v>
                </c:pt>
                <c:pt idx="101">
                  <c:v>3.8212420219172669E-3</c:v>
                </c:pt>
                <c:pt idx="102">
                  <c:v>3.8212420219172669E-3</c:v>
                </c:pt>
                <c:pt idx="103">
                  <c:v>3.8212420219172669E-3</c:v>
                </c:pt>
                <c:pt idx="104">
                  <c:v>3.8212420219172669E-3</c:v>
                </c:pt>
                <c:pt idx="105">
                  <c:v>3.8212420219172669E-3</c:v>
                </c:pt>
                <c:pt idx="106">
                  <c:v>3.8212420219172669E-3</c:v>
                </c:pt>
                <c:pt idx="107">
                  <c:v>3.8212420219172669E-3</c:v>
                </c:pt>
                <c:pt idx="108">
                  <c:v>3.8212420219172669E-3</c:v>
                </c:pt>
                <c:pt idx="109">
                  <c:v>3.8212420219172669E-3</c:v>
                </c:pt>
                <c:pt idx="110">
                  <c:v>3.8212420219172669E-3</c:v>
                </c:pt>
                <c:pt idx="111">
                  <c:v>3.8212420219172669E-3</c:v>
                </c:pt>
                <c:pt idx="112">
                  <c:v>3.8212420219172669E-3</c:v>
                </c:pt>
                <c:pt idx="113">
                  <c:v>3.8212420219172669E-3</c:v>
                </c:pt>
                <c:pt idx="114">
                  <c:v>3.8212420219172669E-3</c:v>
                </c:pt>
                <c:pt idx="115">
                  <c:v>3.8212420219172669E-3</c:v>
                </c:pt>
                <c:pt idx="116">
                  <c:v>3.8212420219172669E-3</c:v>
                </c:pt>
                <c:pt idx="117">
                  <c:v>3.8212420219172669E-3</c:v>
                </c:pt>
                <c:pt idx="118">
                  <c:v>3.8212420219172669E-3</c:v>
                </c:pt>
                <c:pt idx="119">
                  <c:v>3.8212420219172669E-3</c:v>
                </c:pt>
                <c:pt idx="120">
                  <c:v>3.8212420219172669E-3</c:v>
                </c:pt>
                <c:pt idx="121">
                  <c:v>3.8212420219172669E-3</c:v>
                </c:pt>
                <c:pt idx="122">
                  <c:v>3.8212420219172669E-3</c:v>
                </c:pt>
                <c:pt idx="123">
                  <c:v>3.8212420219172669E-3</c:v>
                </c:pt>
                <c:pt idx="124">
                  <c:v>3.8212420219172669E-3</c:v>
                </c:pt>
                <c:pt idx="125">
                  <c:v>3.8212420219172669E-3</c:v>
                </c:pt>
                <c:pt idx="126">
                  <c:v>3.8212420219172669E-3</c:v>
                </c:pt>
                <c:pt idx="127">
                  <c:v>3.8212420219172669E-3</c:v>
                </c:pt>
                <c:pt idx="128">
                  <c:v>3.8212420219172669E-3</c:v>
                </c:pt>
                <c:pt idx="129">
                  <c:v>3.8212420219172669E-3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42369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42387</c:v>
                </c:pt>
                <c:pt idx="12">
                  <c:v>42388</c:v>
                </c:pt>
                <c:pt idx="13">
                  <c:v>42389</c:v>
                </c:pt>
                <c:pt idx="14">
                  <c:v>42390</c:v>
                </c:pt>
                <c:pt idx="15">
                  <c:v>42391</c:v>
                </c:pt>
                <c:pt idx="16">
                  <c:v>42394</c:v>
                </c:pt>
                <c:pt idx="17">
                  <c:v>42395</c:v>
                </c:pt>
                <c:pt idx="18">
                  <c:v>42396</c:v>
                </c:pt>
                <c:pt idx="19">
                  <c:v>42397</c:v>
                </c:pt>
                <c:pt idx="20">
                  <c:v>42398</c:v>
                </c:pt>
                <c:pt idx="21">
                  <c:v>42401</c:v>
                </c:pt>
                <c:pt idx="22">
                  <c:v>42402</c:v>
                </c:pt>
                <c:pt idx="23">
                  <c:v>42403</c:v>
                </c:pt>
                <c:pt idx="24">
                  <c:v>42404</c:v>
                </c:pt>
                <c:pt idx="25">
                  <c:v>42405</c:v>
                </c:pt>
                <c:pt idx="26">
                  <c:v>42408</c:v>
                </c:pt>
                <c:pt idx="27">
                  <c:v>42409</c:v>
                </c:pt>
                <c:pt idx="28">
                  <c:v>42410</c:v>
                </c:pt>
                <c:pt idx="29">
                  <c:v>42411</c:v>
                </c:pt>
                <c:pt idx="30">
                  <c:v>42412</c:v>
                </c:pt>
                <c:pt idx="31">
                  <c:v>42415</c:v>
                </c:pt>
                <c:pt idx="32">
                  <c:v>42416</c:v>
                </c:pt>
                <c:pt idx="33">
                  <c:v>42417</c:v>
                </c:pt>
                <c:pt idx="34">
                  <c:v>42418</c:v>
                </c:pt>
                <c:pt idx="35">
                  <c:v>42419</c:v>
                </c:pt>
                <c:pt idx="36">
                  <c:v>42422</c:v>
                </c:pt>
                <c:pt idx="37">
                  <c:v>42423</c:v>
                </c:pt>
                <c:pt idx="38">
                  <c:v>42424</c:v>
                </c:pt>
                <c:pt idx="39">
                  <c:v>42425</c:v>
                </c:pt>
                <c:pt idx="40">
                  <c:v>42426</c:v>
                </c:pt>
                <c:pt idx="41">
                  <c:v>42429</c:v>
                </c:pt>
                <c:pt idx="42">
                  <c:v>42430</c:v>
                </c:pt>
                <c:pt idx="43">
                  <c:v>42431</c:v>
                </c:pt>
                <c:pt idx="44">
                  <c:v>42432</c:v>
                </c:pt>
                <c:pt idx="45">
                  <c:v>42433</c:v>
                </c:pt>
                <c:pt idx="46">
                  <c:v>42436</c:v>
                </c:pt>
                <c:pt idx="47">
                  <c:v>42437</c:v>
                </c:pt>
                <c:pt idx="48">
                  <c:v>42438</c:v>
                </c:pt>
                <c:pt idx="49">
                  <c:v>42439</c:v>
                </c:pt>
                <c:pt idx="50">
                  <c:v>42440</c:v>
                </c:pt>
                <c:pt idx="51">
                  <c:v>42443</c:v>
                </c:pt>
                <c:pt idx="52">
                  <c:v>42444</c:v>
                </c:pt>
                <c:pt idx="53">
                  <c:v>42445</c:v>
                </c:pt>
                <c:pt idx="54">
                  <c:v>42446</c:v>
                </c:pt>
                <c:pt idx="55">
                  <c:v>42447</c:v>
                </c:pt>
                <c:pt idx="56">
                  <c:v>42450</c:v>
                </c:pt>
                <c:pt idx="57">
                  <c:v>42451</c:v>
                </c:pt>
                <c:pt idx="58">
                  <c:v>42452</c:v>
                </c:pt>
                <c:pt idx="59">
                  <c:v>42453</c:v>
                </c:pt>
                <c:pt idx="60">
                  <c:v>42458</c:v>
                </c:pt>
                <c:pt idx="61">
                  <c:v>42459</c:v>
                </c:pt>
                <c:pt idx="62">
                  <c:v>42460</c:v>
                </c:pt>
                <c:pt idx="63">
                  <c:v>42461</c:v>
                </c:pt>
                <c:pt idx="64">
                  <c:v>42464</c:v>
                </c:pt>
                <c:pt idx="65">
                  <c:v>42465</c:v>
                </c:pt>
                <c:pt idx="66">
                  <c:v>42466</c:v>
                </c:pt>
                <c:pt idx="67">
                  <c:v>42467</c:v>
                </c:pt>
                <c:pt idx="68">
                  <c:v>42468</c:v>
                </c:pt>
                <c:pt idx="69">
                  <c:v>42471</c:v>
                </c:pt>
                <c:pt idx="70">
                  <c:v>42472</c:v>
                </c:pt>
                <c:pt idx="71">
                  <c:v>42473</c:v>
                </c:pt>
                <c:pt idx="72">
                  <c:v>42474</c:v>
                </c:pt>
                <c:pt idx="73">
                  <c:v>42475</c:v>
                </c:pt>
                <c:pt idx="74">
                  <c:v>42478</c:v>
                </c:pt>
                <c:pt idx="75">
                  <c:v>42479</c:v>
                </c:pt>
                <c:pt idx="76">
                  <c:v>42480</c:v>
                </c:pt>
                <c:pt idx="77">
                  <c:v>42481</c:v>
                </c:pt>
                <c:pt idx="78">
                  <c:v>42482</c:v>
                </c:pt>
                <c:pt idx="79">
                  <c:v>42485</c:v>
                </c:pt>
                <c:pt idx="80">
                  <c:v>42486</c:v>
                </c:pt>
                <c:pt idx="81">
                  <c:v>42487</c:v>
                </c:pt>
                <c:pt idx="82">
                  <c:v>42488</c:v>
                </c:pt>
                <c:pt idx="83">
                  <c:v>42489</c:v>
                </c:pt>
                <c:pt idx="84">
                  <c:v>42493</c:v>
                </c:pt>
                <c:pt idx="85">
                  <c:v>42494</c:v>
                </c:pt>
                <c:pt idx="86">
                  <c:v>42495</c:v>
                </c:pt>
                <c:pt idx="87">
                  <c:v>42496</c:v>
                </c:pt>
                <c:pt idx="88">
                  <c:v>42499</c:v>
                </c:pt>
                <c:pt idx="89">
                  <c:v>42500</c:v>
                </c:pt>
                <c:pt idx="90">
                  <c:v>42501</c:v>
                </c:pt>
                <c:pt idx="91">
                  <c:v>42502</c:v>
                </c:pt>
                <c:pt idx="92">
                  <c:v>42503</c:v>
                </c:pt>
                <c:pt idx="93">
                  <c:v>42506</c:v>
                </c:pt>
                <c:pt idx="94">
                  <c:v>42507</c:v>
                </c:pt>
                <c:pt idx="95">
                  <c:v>42508</c:v>
                </c:pt>
                <c:pt idx="96">
                  <c:v>42509</c:v>
                </c:pt>
                <c:pt idx="97">
                  <c:v>42510</c:v>
                </c:pt>
                <c:pt idx="98">
                  <c:v>42513</c:v>
                </c:pt>
                <c:pt idx="99">
                  <c:v>42514</c:v>
                </c:pt>
                <c:pt idx="100">
                  <c:v>42515</c:v>
                </c:pt>
                <c:pt idx="101">
                  <c:v>42516</c:v>
                </c:pt>
                <c:pt idx="102">
                  <c:v>42517</c:v>
                </c:pt>
                <c:pt idx="103">
                  <c:v>42521</c:v>
                </c:pt>
                <c:pt idx="104">
                  <c:v>42522</c:v>
                </c:pt>
                <c:pt idx="105">
                  <c:v>42523</c:v>
                </c:pt>
                <c:pt idx="106">
                  <c:v>42524</c:v>
                </c:pt>
                <c:pt idx="107">
                  <c:v>42527</c:v>
                </c:pt>
                <c:pt idx="108">
                  <c:v>42528</c:v>
                </c:pt>
                <c:pt idx="109">
                  <c:v>42529</c:v>
                </c:pt>
                <c:pt idx="110">
                  <c:v>42530</c:v>
                </c:pt>
                <c:pt idx="111">
                  <c:v>42531</c:v>
                </c:pt>
                <c:pt idx="112">
                  <c:v>42534</c:v>
                </c:pt>
                <c:pt idx="113">
                  <c:v>42535</c:v>
                </c:pt>
                <c:pt idx="114">
                  <c:v>42536</c:v>
                </c:pt>
                <c:pt idx="115">
                  <c:v>42537</c:v>
                </c:pt>
                <c:pt idx="116">
                  <c:v>42538</c:v>
                </c:pt>
                <c:pt idx="117">
                  <c:v>42541</c:v>
                </c:pt>
                <c:pt idx="118">
                  <c:v>42542</c:v>
                </c:pt>
                <c:pt idx="119">
                  <c:v>42543</c:v>
                </c:pt>
                <c:pt idx="120">
                  <c:v>42544</c:v>
                </c:pt>
                <c:pt idx="121">
                  <c:v>42545</c:v>
                </c:pt>
                <c:pt idx="122">
                  <c:v>42548</c:v>
                </c:pt>
                <c:pt idx="123">
                  <c:v>42549</c:v>
                </c:pt>
                <c:pt idx="124">
                  <c:v>42550</c:v>
                </c:pt>
                <c:pt idx="125">
                  <c:v>42551</c:v>
                </c:pt>
                <c:pt idx="126">
                  <c:v>42552</c:v>
                </c:pt>
                <c:pt idx="127">
                  <c:v>42555</c:v>
                </c:pt>
                <c:pt idx="128">
                  <c:v>42556</c:v>
                </c:pt>
                <c:pt idx="129">
                  <c:v>42557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3.6359087568804908E-3</c:v>
                </c:pt>
                <c:pt idx="1">
                  <c:v>3.6440552740249644E-3</c:v>
                </c:pt>
                <c:pt idx="2">
                  <c:v>3.6460919033110828E-3</c:v>
                </c:pt>
                <c:pt idx="3">
                  <c:v>3.6481285325972012E-3</c:v>
                </c:pt>
                <c:pt idx="4">
                  <c:v>3.6501651618833196E-3</c:v>
                </c:pt>
                <c:pt idx="5">
                  <c:v>3.652201791169438E-3</c:v>
                </c:pt>
                <c:pt idx="6">
                  <c:v>3.6583116790277932E-3</c:v>
                </c:pt>
                <c:pt idx="7">
                  <c:v>3.6603483083139112E-3</c:v>
                </c:pt>
                <c:pt idx="8">
                  <c:v>3.6623849376000296E-3</c:v>
                </c:pt>
                <c:pt idx="9">
                  <c:v>3.664421566886148E-3</c:v>
                </c:pt>
                <c:pt idx="10">
                  <c:v>3.6664581961722664E-3</c:v>
                </c:pt>
                <c:pt idx="11">
                  <c:v>3.6725680840306216E-3</c:v>
                </c:pt>
                <c:pt idx="12">
                  <c:v>3.67460471331674E-3</c:v>
                </c:pt>
                <c:pt idx="13">
                  <c:v>3.6766413426028584E-3</c:v>
                </c:pt>
                <c:pt idx="14">
                  <c:v>3.6786779718889768E-3</c:v>
                </c:pt>
                <c:pt idx="15">
                  <c:v>3.6807146011750952E-3</c:v>
                </c:pt>
                <c:pt idx="16">
                  <c:v>3.6868244890334505E-3</c:v>
                </c:pt>
                <c:pt idx="17">
                  <c:v>3.6888611183195689E-3</c:v>
                </c:pt>
                <c:pt idx="18">
                  <c:v>3.6908977476056873E-3</c:v>
                </c:pt>
                <c:pt idx="19">
                  <c:v>3.6929343768918057E-3</c:v>
                </c:pt>
                <c:pt idx="20">
                  <c:v>3.6949710061779241E-3</c:v>
                </c:pt>
                <c:pt idx="21">
                  <c:v>3.7010808940362793E-3</c:v>
                </c:pt>
                <c:pt idx="22">
                  <c:v>3.7031175233223977E-3</c:v>
                </c:pt>
                <c:pt idx="23">
                  <c:v>3.7051541526085157E-3</c:v>
                </c:pt>
                <c:pt idx="24">
                  <c:v>3.7071907818946341E-3</c:v>
                </c:pt>
                <c:pt idx="25">
                  <c:v>3.7092274111807525E-3</c:v>
                </c:pt>
                <c:pt idx="26">
                  <c:v>3.7153372990391077E-3</c:v>
                </c:pt>
                <c:pt idx="27">
                  <c:v>3.7173739283252261E-3</c:v>
                </c:pt>
                <c:pt idx="28">
                  <c:v>3.7194105576113445E-3</c:v>
                </c:pt>
                <c:pt idx="29">
                  <c:v>3.7214471868974629E-3</c:v>
                </c:pt>
                <c:pt idx="30">
                  <c:v>3.7234838161835813E-3</c:v>
                </c:pt>
                <c:pt idx="31">
                  <c:v>3.7295937040419365E-3</c:v>
                </c:pt>
                <c:pt idx="32">
                  <c:v>3.7316303333280549E-3</c:v>
                </c:pt>
                <c:pt idx="33">
                  <c:v>3.7336669626141733E-3</c:v>
                </c:pt>
                <c:pt idx="34">
                  <c:v>3.7357035919002917E-3</c:v>
                </c:pt>
                <c:pt idx="35">
                  <c:v>3.7377402211864101E-3</c:v>
                </c:pt>
                <c:pt idx="36">
                  <c:v>3.7438501090447654E-3</c:v>
                </c:pt>
                <c:pt idx="37">
                  <c:v>3.7458867383308838E-3</c:v>
                </c:pt>
                <c:pt idx="38">
                  <c:v>3.7479233676170022E-3</c:v>
                </c:pt>
                <c:pt idx="39">
                  <c:v>3.7499599969031206E-3</c:v>
                </c:pt>
                <c:pt idx="40">
                  <c:v>3.7519966261892385E-3</c:v>
                </c:pt>
                <c:pt idx="41">
                  <c:v>3.7581065140475938E-3</c:v>
                </c:pt>
                <c:pt idx="42">
                  <c:v>3.7601431433337122E-3</c:v>
                </c:pt>
                <c:pt idx="43">
                  <c:v>3.7621797726198306E-3</c:v>
                </c:pt>
                <c:pt idx="44">
                  <c:v>3.764216401905949E-3</c:v>
                </c:pt>
                <c:pt idx="45">
                  <c:v>3.7662530311920674E-3</c:v>
                </c:pt>
                <c:pt idx="46">
                  <c:v>3.7723629190504226E-3</c:v>
                </c:pt>
                <c:pt idx="47">
                  <c:v>3.774399548336541E-3</c:v>
                </c:pt>
                <c:pt idx="48">
                  <c:v>3.7764361776226594E-3</c:v>
                </c:pt>
                <c:pt idx="49">
                  <c:v>3.7784728069087778E-3</c:v>
                </c:pt>
                <c:pt idx="50">
                  <c:v>3.7805094361948962E-3</c:v>
                </c:pt>
                <c:pt idx="51">
                  <c:v>3.7866193240532514E-3</c:v>
                </c:pt>
                <c:pt idx="52">
                  <c:v>3.7886559533393698E-3</c:v>
                </c:pt>
                <c:pt idx="53">
                  <c:v>3.7906925826254882E-3</c:v>
                </c:pt>
                <c:pt idx="54">
                  <c:v>3.7927292119116066E-3</c:v>
                </c:pt>
                <c:pt idx="55">
                  <c:v>3.794765841197725E-3</c:v>
                </c:pt>
                <c:pt idx="56">
                  <c:v>3.8008757290560798E-3</c:v>
                </c:pt>
                <c:pt idx="57">
                  <c:v>3.8029123583421982E-3</c:v>
                </c:pt>
                <c:pt idx="58">
                  <c:v>3.8049489876283166E-3</c:v>
                </c:pt>
                <c:pt idx="59">
                  <c:v>3.806985616914435E-3</c:v>
                </c:pt>
                <c:pt idx="60">
                  <c:v>3.8171687633450271E-3</c:v>
                </c:pt>
                <c:pt idx="61">
                  <c:v>3.8192053926311455E-3</c:v>
                </c:pt>
                <c:pt idx="62">
                  <c:v>3.8212420219172639E-3</c:v>
                </c:pt>
                <c:pt idx="63">
                  <c:v>3.8232786512033823E-3</c:v>
                </c:pt>
                <c:pt idx="64">
                  <c:v>3.8293885390617375E-3</c:v>
                </c:pt>
                <c:pt idx="65">
                  <c:v>3.8314251683478559E-3</c:v>
                </c:pt>
                <c:pt idx="66">
                  <c:v>3.8334617976339743E-3</c:v>
                </c:pt>
                <c:pt idx="67">
                  <c:v>3.8354984269200927E-3</c:v>
                </c:pt>
                <c:pt idx="68">
                  <c:v>3.8375350562062111E-3</c:v>
                </c:pt>
                <c:pt idx="69">
                  <c:v>3.8436449440645659E-3</c:v>
                </c:pt>
                <c:pt idx="70">
                  <c:v>3.8456815733506843E-3</c:v>
                </c:pt>
                <c:pt idx="71">
                  <c:v>3.8477182026368027E-3</c:v>
                </c:pt>
                <c:pt idx="72">
                  <c:v>3.8497548319229211E-3</c:v>
                </c:pt>
                <c:pt idx="73">
                  <c:v>3.8517914612090395E-3</c:v>
                </c:pt>
                <c:pt idx="74">
                  <c:v>3.8579013490673947E-3</c:v>
                </c:pt>
                <c:pt idx="75">
                  <c:v>3.8599379783535131E-3</c:v>
                </c:pt>
                <c:pt idx="76">
                  <c:v>3.8619746076396315E-3</c:v>
                </c:pt>
                <c:pt idx="77">
                  <c:v>3.8640112369257499E-3</c:v>
                </c:pt>
                <c:pt idx="78">
                  <c:v>3.8660478662118684E-3</c:v>
                </c:pt>
                <c:pt idx="79">
                  <c:v>3.8721577540702236E-3</c:v>
                </c:pt>
                <c:pt idx="80">
                  <c:v>3.874194383356342E-3</c:v>
                </c:pt>
                <c:pt idx="81">
                  <c:v>3.8762310126424604E-3</c:v>
                </c:pt>
                <c:pt idx="82">
                  <c:v>3.8782676419285788E-3</c:v>
                </c:pt>
                <c:pt idx="83">
                  <c:v>3.8803042712146972E-3</c:v>
                </c:pt>
                <c:pt idx="84">
                  <c:v>3.8884507883591704E-3</c:v>
                </c:pt>
                <c:pt idx="85">
                  <c:v>3.8904874176452888E-3</c:v>
                </c:pt>
                <c:pt idx="86">
                  <c:v>3.8925240469314072E-3</c:v>
                </c:pt>
                <c:pt idx="87">
                  <c:v>3.8945606762175256E-3</c:v>
                </c:pt>
                <c:pt idx="88">
                  <c:v>3.9006705640758808E-3</c:v>
                </c:pt>
                <c:pt idx="89">
                  <c:v>3.9027071933619992E-3</c:v>
                </c:pt>
                <c:pt idx="90">
                  <c:v>3.9047438226481176E-3</c:v>
                </c:pt>
                <c:pt idx="91">
                  <c:v>3.906780451934236E-3</c:v>
                </c:pt>
                <c:pt idx="92">
                  <c:v>3.9088170812203544E-3</c:v>
                </c:pt>
                <c:pt idx="93">
                  <c:v>3.9149269690787096E-3</c:v>
                </c:pt>
                <c:pt idx="94">
                  <c:v>3.916963598364828E-3</c:v>
                </c:pt>
                <c:pt idx="95">
                  <c:v>3.9190002276509464E-3</c:v>
                </c:pt>
                <c:pt idx="96">
                  <c:v>3.9210368569370649E-3</c:v>
                </c:pt>
                <c:pt idx="97">
                  <c:v>3.9230734862231833E-3</c:v>
                </c:pt>
                <c:pt idx="98">
                  <c:v>3.9291833740815385E-3</c:v>
                </c:pt>
                <c:pt idx="99">
                  <c:v>3.9312200033676569E-3</c:v>
                </c:pt>
                <c:pt idx="100">
                  <c:v>3.9332566326537753E-3</c:v>
                </c:pt>
                <c:pt idx="101">
                  <c:v>3.9352932619398937E-3</c:v>
                </c:pt>
                <c:pt idx="102">
                  <c:v>3.9373298912260121E-3</c:v>
                </c:pt>
                <c:pt idx="103">
                  <c:v>3.9454764083704857E-3</c:v>
                </c:pt>
                <c:pt idx="104">
                  <c:v>3.9475130376566041E-3</c:v>
                </c:pt>
                <c:pt idx="105">
                  <c:v>3.9495496669427225E-3</c:v>
                </c:pt>
                <c:pt idx="106">
                  <c:v>3.9515862962288409E-3</c:v>
                </c:pt>
                <c:pt idx="107">
                  <c:v>3.9576961840871953E-3</c:v>
                </c:pt>
                <c:pt idx="108">
                  <c:v>3.9597328133733137E-3</c:v>
                </c:pt>
                <c:pt idx="109">
                  <c:v>3.9617694426594321E-3</c:v>
                </c:pt>
                <c:pt idx="110">
                  <c:v>3.9638060719455505E-3</c:v>
                </c:pt>
                <c:pt idx="111">
                  <c:v>3.9658427012316689E-3</c:v>
                </c:pt>
                <c:pt idx="112">
                  <c:v>3.9719525890900241E-3</c:v>
                </c:pt>
                <c:pt idx="113">
                  <c:v>3.9739892183761425E-3</c:v>
                </c:pt>
                <c:pt idx="114">
                  <c:v>3.9760258476622609E-3</c:v>
                </c:pt>
                <c:pt idx="115">
                  <c:v>3.9780624769483793E-3</c:v>
                </c:pt>
                <c:pt idx="116">
                  <c:v>3.9800991062344977E-3</c:v>
                </c:pt>
                <c:pt idx="117">
                  <c:v>3.9862089940928529E-3</c:v>
                </c:pt>
                <c:pt idx="118">
                  <c:v>3.9882456233789713E-3</c:v>
                </c:pt>
                <c:pt idx="119">
                  <c:v>3.9902822526650897E-3</c:v>
                </c:pt>
                <c:pt idx="120">
                  <c:v>3.9923188819512082E-3</c:v>
                </c:pt>
                <c:pt idx="121">
                  <c:v>3.9943555112373266E-3</c:v>
                </c:pt>
                <c:pt idx="122">
                  <c:v>4.0004653990956818E-3</c:v>
                </c:pt>
                <c:pt idx="123">
                  <c:v>4.0025020283818002E-3</c:v>
                </c:pt>
                <c:pt idx="124">
                  <c:v>4.0045386576679186E-3</c:v>
                </c:pt>
                <c:pt idx="125">
                  <c:v>4.006575286954037E-3</c:v>
                </c:pt>
                <c:pt idx="126">
                  <c:v>4.0086119162401554E-3</c:v>
                </c:pt>
                <c:pt idx="127">
                  <c:v>4.0147218040985106E-3</c:v>
                </c:pt>
                <c:pt idx="128">
                  <c:v>4.016758433384629E-3</c:v>
                </c:pt>
                <c:pt idx="129">
                  <c:v>4.0187950626707474E-3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42369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42387</c:v>
                </c:pt>
                <c:pt idx="12">
                  <c:v>42388</c:v>
                </c:pt>
                <c:pt idx="13">
                  <c:v>42389</c:v>
                </c:pt>
                <c:pt idx="14">
                  <c:v>42390</c:v>
                </c:pt>
                <c:pt idx="15">
                  <c:v>42391</c:v>
                </c:pt>
                <c:pt idx="16">
                  <c:v>42394</c:v>
                </c:pt>
                <c:pt idx="17">
                  <c:v>42395</c:v>
                </c:pt>
                <c:pt idx="18">
                  <c:v>42396</c:v>
                </c:pt>
                <c:pt idx="19">
                  <c:v>42397</c:v>
                </c:pt>
                <c:pt idx="20">
                  <c:v>42398</c:v>
                </c:pt>
                <c:pt idx="21">
                  <c:v>42401</c:v>
                </c:pt>
                <c:pt idx="22">
                  <c:v>42402</c:v>
                </c:pt>
                <c:pt idx="23">
                  <c:v>42403</c:v>
                </c:pt>
                <c:pt idx="24">
                  <c:v>42404</c:v>
                </c:pt>
                <c:pt idx="25">
                  <c:v>42405</c:v>
                </c:pt>
                <c:pt idx="26">
                  <c:v>42408</c:v>
                </c:pt>
                <c:pt idx="27">
                  <c:v>42409</c:v>
                </c:pt>
                <c:pt idx="28">
                  <c:v>42410</c:v>
                </c:pt>
                <c:pt idx="29">
                  <c:v>42411</c:v>
                </c:pt>
                <c:pt idx="30">
                  <c:v>42412</c:v>
                </c:pt>
                <c:pt idx="31">
                  <c:v>42415</c:v>
                </c:pt>
                <c:pt idx="32">
                  <c:v>42416</c:v>
                </c:pt>
                <c:pt idx="33">
                  <c:v>42417</c:v>
                </c:pt>
                <c:pt idx="34">
                  <c:v>42418</c:v>
                </c:pt>
                <c:pt idx="35">
                  <c:v>42419</c:v>
                </c:pt>
                <c:pt idx="36">
                  <c:v>42422</c:v>
                </c:pt>
                <c:pt idx="37">
                  <c:v>42423</c:v>
                </c:pt>
                <c:pt idx="38">
                  <c:v>42424</c:v>
                </c:pt>
                <c:pt idx="39">
                  <c:v>42425</c:v>
                </c:pt>
                <c:pt idx="40">
                  <c:v>42426</c:v>
                </c:pt>
                <c:pt idx="41">
                  <c:v>42429</c:v>
                </c:pt>
                <c:pt idx="42">
                  <c:v>42430</c:v>
                </c:pt>
                <c:pt idx="43">
                  <c:v>42431</c:v>
                </c:pt>
                <c:pt idx="44">
                  <c:v>42432</c:v>
                </c:pt>
                <c:pt idx="45">
                  <c:v>42433</c:v>
                </c:pt>
                <c:pt idx="46">
                  <c:v>42436</c:v>
                </c:pt>
                <c:pt idx="47">
                  <c:v>42437</c:v>
                </c:pt>
                <c:pt idx="48">
                  <c:v>42438</c:v>
                </c:pt>
                <c:pt idx="49">
                  <c:v>42439</c:v>
                </c:pt>
                <c:pt idx="50">
                  <c:v>42440</c:v>
                </c:pt>
                <c:pt idx="51">
                  <c:v>42443</c:v>
                </c:pt>
                <c:pt idx="52">
                  <c:v>42444</c:v>
                </c:pt>
                <c:pt idx="53">
                  <c:v>42445</c:v>
                </c:pt>
                <c:pt idx="54">
                  <c:v>42446</c:v>
                </c:pt>
                <c:pt idx="55">
                  <c:v>42447</c:v>
                </c:pt>
                <c:pt idx="56">
                  <c:v>42450</c:v>
                </c:pt>
                <c:pt idx="57">
                  <c:v>42451</c:v>
                </c:pt>
                <c:pt idx="58">
                  <c:v>42452</c:v>
                </c:pt>
                <c:pt idx="59">
                  <c:v>42453</c:v>
                </c:pt>
                <c:pt idx="60">
                  <c:v>42458</c:v>
                </c:pt>
                <c:pt idx="61">
                  <c:v>42459</c:v>
                </c:pt>
                <c:pt idx="62">
                  <c:v>42460</c:v>
                </c:pt>
                <c:pt idx="63">
                  <c:v>42461</c:v>
                </c:pt>
                <c:pt idx="64">
                  <c:v>42464</c:v>
                </c:pt>
                <c:pt idx="65">
                  <c:v>42465</c:v>
                </c:pt>
                <c:pt idx="66">
                  <c:v>42466</c:v>
                </c:pt>
                <c:pt idx="67">
                  <c:v>42467</c:v>
                </c:pt>
                <c:pt idx="68">
                  <c:v>42468</c:v>
                </c:pt>
                <c:pt idx="69">
                  <c:v>42471</c:v>
                </c:pt>
                <c:pt idx="70">
                  <c:v>42472</c:v>
                </c:pt>
                <c:pt idx="71">
                  <c:v>42473</c:v>
                </c:pt>
                <c:pt idx="72">
                  <c:v>42474</c:v>
                </c:pt>
                <c:pt idx="73">
                  <c:v>42475</c:v>
                </c:pt>
                <c:pt idx="74">
                  <c:v>42478</c:v>
                </c:pt>
                <c:pt idx="75">
                  <c:v>42479</c:v>
                </c:pt>
                <c:pt idx="76">
                  <c:v>42480</c:v>
                </c:pt>
                <c:pt idx="77">
                  <c:v>42481</c:v>
                </c:pt>
                <c:pt idx="78">
                  <c:v>42482</c:v>
                </c:pt>
                <c:pt idx="79">
                  <c:v>42485</c:v>
                </c:pt>
                <c:pt idx="80">
                  <c:v>42486</c:v>
                </c:pt>
                <c:pt idx="81">
                  <c:v>42487</c:v>
                </c:pt>
                <c:pt idx="82">
                  <c:v>42488</c:v>
                </c:pt>
                <c:pt idx="83">
                  <c:v>42489</c:v>
                </c:pt>
                <c:pt idx="84">
                  <c:v>42493</c:v>
                </c:pt>
                <c:pt idx="85">
                  <c:v>42494</c:v>
                </c:pt>
                <c:pt idx="86">
                  <c:v>42495</c:v>
                </c:pt>
                <c:pt idx="87">
                  <c:v>42496</c:v>
                </c:pt>
                <c:pt idx="88">
                  <c:v>42499</c:v>
                </c:pt>
                <c:pt idx="89">
                  <c:v>42500</c:v>
                </c:pt>
                <c:pt idx="90">
                  <c:v>42501</c:v>
                </c:pt>
                <c:pt idx="91">
                  <c:v>42502</c:v>
                </c:pt>
                <c:pt idx="92">
                  <c:v>42503</c:v>
                </c:pt>
                <c:pt idx="93">
                  <c:v>42506</c:v>
                </c:pt>
                <c:pt idx="94">
                  <c:v>42507</c:v>
                </c:pt>
                <c:pt idx="95">
                  <c:v>42508</c:v>
                </c:pt>
                <c:pt idx="96">
                  <c:v>42509</c:v>
                </c:pt>
                <c:pt idx="97">
                  <c:v>42510</c:v>
                </c:pt>
                <c:pt idx="98">
                  <c:v>42513</c:v>
                </c:pt>
                <c:pt idx="99">
                  <c:v>42514</c:v>
                </c:pt>
                <c:pt idx="100">
                  <c:v>42515</c:v>
                </c:pt>
                <c:pt idx="101">
                  <c:v>42516</c:v>
                </c:pt>
                <c:pt idx="102">
                  <c:v>42517</c:v>
                </c:pt>
                <c:pt idx="103">
                  <c:v>42521</c:v>
                </c:pt>
                <c:pt idx="104">
                  <c:v>42522</c:v>
                </c:pt>
                <c:pt idx="105">
                  <c:v>42523</c:v>
                </c:pt>
                <c:pt idx="106">
                  <c:v>42524</c:v>
                </c:pt>
                <c:pt idx="107">
                  <c:v>42527</c:v>
                </c:pt>
                <c:pt idx="108">
                  <c:v>42528</c:v>
                </c:pt>
                <c:pt idx="109">
                  <c:v>42529</c:v>
                </c:pt>
                <c:pt idx="110">
                  <c:v>42530</c:v>
                </c:pt>
                <c:pt idx="111">
                  <c:v>42531</c:v>
                </c:pt>
                <c:pt idx="112">
                  <c:v>42534</c:v>
                </c:pt>
                <c:pt idx="113">
                  <c:v>42535</c:v>
                </c:pt>
                <c:pt idx="114">
                  <c:v>42536</c:v>
                </c:pt>
                <c:pt idx="115">
                  <c:v>42537</c:v>
                </c:pt>
                <c:pt idx="116">
                  <c:v>42538</c:v>
                </c:pt>
                <c:pt idx="117">
                  <c:v>42541</c:v>
                </c:pt>
                <c:pt idx="118">
                  <c:v>42542</c:v>
                </c:pt>
                <c:pt idx="119">
                  <c:v>42543</c:v>
                </c:pt>
                <c:pt idx="120">
                  <c:v>42544</c:v>
                </c:pt>
                <c:pt idx="121">
                  <c:v>42545</c:v>
                </c:pt>
                <c:pt idx="122">
                  <c:v>42548</c:v>
                </c:pt>
                <c:pt idx="123">
                  <c:v>42549</c:v>
                </c:pt>
                <c:pt idx="124">
                  <c:v>42550</c:v>
                </c:pt>
                <c:pt idx="125">
                  <c:v>42551</c:v>
                </c:pt>
                <c:pt idx="126">
                  <c:v>42552</c:v>
                </c:pt>
                <c:pt idx="127">
                  <c:v>42555</c:v>
                </c:pt>
                <c:pt idx="128">
                  <c:v>42556</c:v>
                </c:pt>
                <c:pt idx="129">
                  <c:v>42557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3.2714179998134009E-3</c:v>
                </c:pt>
                <c:pt idx="1">
                  <c:v>3.316551119374421E-3</c:v>
                </c:pt>
                <c:pt idx="2">
                  <c:v>3.3276110502162672E-3</c:v>
                </c:pt>
                <c:pt idx="3">
                  <c:v>3.3385816414387495E-3</c:v>
                </c:pt>
                <c:pt idx="4">
                  <c:v>3.349462893041868E-3</c:v>
                </c:pt>
                <c:pt idx="5">
                  <c:v>3.3602548050256234E-3</c:v>
                </c:pt>
                <c:pt idx="6">
                  <c:v>3.3920945032607066E-3</c:v>
                </c:pt>
                <c:pt idx="7">
                  <c:v>3.4025290567670074E-3</c:v>
                </c:pt>
                <c:pt idx="8">
                  <c:v>3.4128742706539439E-3</c:v>
                </c:pt>
                <c:pt idx="9">
                  <c:v>3.423130144921517E-3</c:v>
                </c:pt>
                <c:pt idx="10">
                  <c:v>3.4332966795697266E-3</c:v>
                </c:pt>
                <c:pt idx="11">
                  <c:v>3.4632602457981736E-3</c:v>
                </c:pt>
                <c:pt idx="12">
                  <c:v>3.4730694219689286E-3</c:v>
                </c:pt>
                <c:pt idx="13">
                  <c:v>3.4827892585203198E-3</c:v>
                </c:pt>
                <c:pt idx="14">
                  <c:v>3.4924197554523475E-3</c:v>
                </c:pt>
                <c:pt idx="15">
                  <c:v>3.5019609127650122E-3</c:v>
                </c:pt>
                <c:pt idx="16">
                  <c:v>3.5300483469868221E-3</c:v>
                </c:pt>
                <c:pt idx="17">
                  <c:v>3.5392321458220318E-3</c:v>
                </c:pt>
                <c:pt idx="18">
                  <c:v>3.5483266050378775E-3</c:v>
                </c:pt>
                <c:pt idx="19">
                  <c:v>3.5573317246343598E-3</c:v>
                </c:pt>
                <c:pt idx="20">
                  <c:v>3.5662475046114783E-3</c:v>
                </c:pt>
                <c:pt idx="21">
                  <c:v>3.5924588068266521E-3</c:v>
                </c:pt>
                <c:pt idx="22">
                  <c:v>3.6010172283263159E-3</c:v>
                </c:pt>
                <c:pt idx="23">
                  <c:v>3.6094863102066163E-3</c:v>
                </c:pt>
                <c:pt idx="24">
                  <c:v>3.6178660524675533E-3</c:v>
                </c:pt>
                <c:pt idx="25">
                  <c:v>3.6261564551091263E-3</c:v>
                </c:pt>
                <c:pt idx="26">
                  <c:v>3.650491625317664E-3</c:v>
                </c:pt>
                <c:pt idx="27">
                  <c:v>3.6584246694817825E-3</c:v>
                </c:pt>
                <c:pt idx="28">
                  <c:v>3.6662683740265375E-3</c:v>
                </c:pt>
                <c:pt idx="29">
                  <c:v>3.6740227389519286E-3</c:v>
                </c:pt>
                <c:pt idx="30">
                  <c:v>3.6816877642579563E-3</c:v>
                </c:pt>
                <c:pt idx="31">
                  <c:v>3.704146802459857E-3</c:v>
                </c:pt>
                <c:pt idx="32">
                  <c:v>3.71145446928843E-3</c:v>
                </c:pt>
                <c:pt idx="33">
                  <c:v>3.7186727964976397E-3</c:v>
                </c:pt>
                <c:pt idx="34">
                  <c:v>3.7258017840874854E-3</c:v>
                </c:pt>
                <c:pt idx="35">
                  <c:v>3.7328414320579677E-3</c:v>
                </c:pt>
                <c:pt idx="36">
                  <c:v>3.7534243382532318E-3</c:v>
                </c:pt>
                <c:pt idx="37">
                  <c:v>3.7601066277462595E-3</c:v>
                </c:pt>
                <c:pt idx="38">
                  <c:v>3.7666995776199238E-3</c:v>
                </c:pt>
                <c:pt idx="39">
                  <c:v>3.7732031878742237E-3</c:v>
                </c:pt>
                <c:pt idx="40">
                  <c:v>3.7796174585091602E-3</c:v>
                </c:pt>
                <c:pt idx="41">
                  <c:v>3.7983242326977886E-3</c:v>
                </c:pt>
                <c:pt idx="42">
                  <c:v>3.8043811448552709E-3</c:v>
                </c:pt>
                <c:pt idx="43">
                  <c:v>3.8103487173933889E-3</c:v>
                </c:pt>
                <c:pt idx="44">
                  <c:v>3.8162269503121439E-3</c:v>
                </c:pt>
                <c:pt idx="45">
                  <c:v>3.8220158436115346E-3</c:v>
                </c:pt>
                <c:pt idx="46">
                  <c:v>3.8388464857935269E-3</c:v>
                </c:pt>
                <c:pt idx="47">
                  <c:v>3.8442780206154629E-3</c:v>
                </c:pt>
                <c:pt idx="48">
                  <c:v>3.849620215818036E-3</c:v>
                </c:pt>
                <c:pt idx="49">
                  <c:v>3.8548730714012451E-3</c:v>
                </c:pt>
                <c:pt idx="50">
                  <c:v>3.8600365873650909E-3</c:v>
                </c:pt>
                <c:pt idx="51">
                  <c:v>3.8749910975404457E-3</c:v>
                </c:pt>
                <c:pt idx="52">
                  <c:v>3.8797972550268373E-3</c:v>
                </c:pt>
                <c:pt idx="53">
                  <c:v>3.8845140728938641E-3</c:v>
                </c:pt>
                <c:pt idx="54">
                  <c:v>3.8891415511415283E-3</c:v>
                </c:pt>
                <c:pt idx="55">
                  <c:v>3.8936796897698286E-3</c:v>
                </c:pt>
                <c:pt idx="56">
                  <c:v>3.9067580679385469E-3</c:v>
                </c:pt>
                <c:pt idx="57">
                  <c:v>3.9109388480893931E-3</c:v>
                </c:pt>
                <c:pt idx="58">
                  <c:v>3.9150302886208745E-3</c:v>
                </c:pt>
                <c:pt idx="59">
                  <c:v>3.9190323895329929E-3</c:v>
                </c:pt>
                <c:pt idx="60">
                  <c:v>3.9377027998031304E-3</c:v>
                </c:pt>
                <c:pt idx="61">
                  <c:v>3.9411688629990664E-3</c:v>
                </c:pt>
                <c:pt idx="62">
                  <c:v>3.9445455865756386E-3</c:v>
                </c:pt>
                <c:pt idx="63">
                  <c:v>3.9478329705328486E-3</c:v>
                </c:pt>
                <c:pt idx="64">
                  <c:v>3.9571590846882946E-3</c:v>
                </c:pt>
                <c:pt idx="65">
                  <c:v>3.9600891101680483E-3</c:v>
                </c:pt>
                <c:pt idx="66">
                  <c:v>3.9629297960284398E-3</c:v>
                </c:pt>
                <c:pt idx="67">
                  <c:v>3.9656811422694666E-3</c:v>
                </c:pt>
                <c:pt idx="68">
                  <c:v>3.9683431488911312E-3</c:v>
                </c:pt>
                <c:pt idx="69">
                  <c:v>3.9757931310399394E-3</c:v>
                </c:pt>
                <c:pt idx="70">
                  <c:v>3.9780977791841494E-3</c:v>
                </c:pt>
                <c:pt idx="71">
                  <c:v>3.9803130877089947E-3</c:v>
                </c:pt>
                <c:pt idx="72">
                  <c:v>3.9824390566144761E-3</c:v>
                </c:pt>
                <c:pt idx="73">
                  <c:v>3.9844756859005945E-3</c:v>
                </c:pt>
                <c:pt idx="74">
                  <c:v>3.9900495360427673E-3</c:v>
                </c:pt>
                <c:pt idx="75">
                  <c:v>3.9917288068514311E-3</c:v>
                </c:pt>
                <c:pt idx="76">
                  <c:v>3.993318738040731E-3</c:v>
                </c:pt>
                <c:pt idx="77">
                  <c:v>3.9948193296106679E-3</c:v>
                </c:pt>
                <c:pt idx="78">
                  <c:v>3.9962305815612401E-3</c:v>
                </c:pt>
                <c:pt idx="79">
                  <c:v>3.9999282996967768E-3</c:v>
                </c:pt>
                <c:pt idx="80">
                  <c:v>4.0009821931698943E-3</c:v>
                </c:pt>
                <c:pt idx="81">
                  <c:v>4.0019467470236488E-3</c:v>
                </c:pt>
                <c:pt idx="82">
                  <c:v>4.0028219612580403E-3</c:v>
                </c:pt>
                <c:pt idx="83">
                  <c:v>4.0036078358730671E-3</c:v>
                </c:pt>
                <c:pt idx="84">
                  <c:v>4.0058579381395398E-3</c:v>
                </c:pt>
                <c:pt idx="85">
                  <c:v>4.0061971146577481E-3</c:v>
                </c:pt>
                <c:pt idx="86">
                  <c:v>4.0064469515565942E-3</c:v>
                </c:pt>
                <c:pt idx="87">
                  <c:v>4.0066074488360756E-3</c:v>
                </c:pt>
                <c:pt idx="88">
                  <c:v>4.0065529029583392E-3</c:v>
                </c:pt>
                <c:pt idx="89">
                  <c:v>4.0063560417603668E-3</c:v>
                </c:pt>
                <c:pt idx="90">
                  <c:v>4.0060698409430297E-3</c:v>
                </c:pt>
                <c:pt idx="91">
                  <c:v>4.0056943005063296E-3</c:v>
                </c:pt>
                <c:pt idx="92">
                  <c:v>4.0052294204502665E-3</c:v>
                </c:pt>
                <c:pt idx="93">
                  <c:v>4.0032987425658931E-3</c:v>
                </c:pt>
                <c:pt idx="94">
                  <c:v>4.0024765040323745E-3</c:v>
                </c:pt>
                <c:pt idx="95">
                  <c:v>4.0015649258794929E-3</c:v>
                </c:pt>
                <c:pt idx="96">
                  <c:v>4.0005640081072474E-3</c:v>
                </c:pt>
                <c:pt idx="97">
                  <c:v>3.999473750715638E-3</c:v>
                </c:pt>
                <c:pt idx="98">
                  <c:v>3.9956669408246284E-3</c:v>
                </c:pt>
                <c:pt idx="99">
                  <c:v>3.9942193249555653E-3</c:v>
                </c:pt>
                <c:pt idx="100">
                  <c:v>3.9926823694671374E-3</c:v>
                </c:pt>
                <c:pt idx="101">
                  <c:v>3.9910560743593457E-3</c:v>
                </c:pt>
                <c:pt idx="102">
                  <c:v>3.989340439632191E-3</c:v>
                </c:pt>
                <c:pt idx="103">
                  <c:v>3.9815845045299359E-3</c:v>
                </c:pt>
                <c:pt idx="104">
                  <c:v>3.9794221717059635E-3</c:v>
                </c:pt>
                <c:pt idx="105">
                  <c:v>3.9771704992626264E-3</c:v>
                </c:pt>
                <c:pt idx="106">
                  <c:v>3.9748294871999263E-3</c:v>
                </c:pt>
                <c:pt idx="107">
                  <c:v>3.9672704132956435E-3</c:v>
                </c:pt>
                <c:pt idx="108">
                  <c:v>3.9645720427554888E-3</c:v>
                </c:pt>
                <c:pt idx="109">
                  <c:v>3.9617843325959702E-3</c:v>
                </c:pt>
                <c:pt idx="110">
                  <c:v>3.9589072828170885E-3</c:v>
                </c:pt>
                <c:pt idx="111">
                  <c:v>3.9559408934188422E-3</c:v>
                </c:pt>
                <c:pt idx="112">
                  <c:v>3.9465056875079233E-3</c:v>
                </c:pt>
                <c:pt idx="113">
                  <c:v>3.9431819396322232E-3</c:v>
                </c:pt>
                <c:pt idx="114">
                  <c:v>3.9397688521371592E-3</c:v>
                </c:pt>
                <c:pt idx="115">
                  <c:v>3.9362664250227322E-3</c:v>
                </c:pt>
                <c:pt idx="116">
                  <c:v>3.9326746582889404E-3</c:v>
                </c:pt>
                <c:pt idx="117">
                  <c:v>3.9213633203713854E-3</c:v>
                </c:pt>
                <c:pt idx="118">
                  <c:v>3.9174141951601391E-3</c:v>
                </c:pt>
                <c:pt idx="119">
                  <c:v>3.9133757303295305E-3</c:v>
                </c:pt>
                <c:pt idx="120">
                  <c:v>3.9092479258795582E-3</c:v>
                </c:pt>
                <c:pt idx="121">
                  <c:v>3.9050307818102206E-3</c:v>
                </c:pt>
                <c:pt idx="122">
                  <c:v>3.891843311886029E-3</c:v>
                </c:pt>
                <c:pt idx="123">
                  <c:v>3.8872688093392373E-3</c:v>
                </c:pt>
                <c:pt idx="124">
                  <c:v>3.8826049671730821E-3</c:v>
                </c:pt>
                <c:pt idx="125">
                  <c:v>3.8778517853875639E-3</c:v>
                </c:pt>
                <c:pt idx="126">
                  <c:v>3.8730092639826822E-3</c:v>
                </c:pt>
                <c:pt idx="127">
                  <c:v>3.8579456620518537E-3</c:v>
                </c:pt>
                <c:pt idx="128">
                  <c:v>3.852745782169517E-3</c:v>
                </c:pt>
                <c:pt idx="129">
                  <c:v>3.847456562667816E-3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062080"/>
        <c:axId val="606063616"/>
      </c:lineChart>
      <c:dateAx>
        <c:axId val="6060620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6063616"/>
        <c:crosses val="autoZero"/>
        <c:auto val="1"/>
        <c:lblOffset val="100"/>
        <c:baseTimeUnit val="days"/>
      </c:dateAx>
      <c:valAx>
        <c:axId val="6060636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6062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42369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42387</c:v>
                </c:pt>
                <c:pt idx="12">
                  <c:v>42388</c:v>
                </c:pt>
                <c:pt idx="13">
                  <c:v>42389</c:v>
                </c:pt>
                <c:pt idx="14">
                  <c:v>42390</c:v>
                </c:pt>
                <c:pt idx="15">
                  <c:v>42391</c:v>
                </c:pt>
                <c:pt idx="16">
                  <c:v>42394</c:v>
                </c:pt>
                <c:pt idx="17">
                  <c:v>42395</c:v>
                </c:pt>
                <c:pt idx="18">
                  <c:v>42396</c:v>
                </c:pt>
                <c:pt idx="19">
                  <c:v>42397</c:v>
                </c:pt>
                <c:pt idx="20">
                  <c:v>42398</c:v>
                </c:pt>
                <c:pt idx="21">
                  <c:v>42401</c:v>
                </c:pt>
                <c:pt idx="22">
                  <c:v>42402</c:v>
                </c:pt>
                <c:pt idx="23">
                  <c:v>42403</c:v>
                </c:pt>
                <c:pt idx="24">
                  <c:v>42404</c:v>
                </c:pt>
                <c:pt idx="25">
                  <c:v>42405</c:v>
                </c:pt>
                <c:pt idx="26">
                  <c:v>42408</c:v>
                </c:pt>
                <c:pt idx="27">
                  <c:v>42409</c:v>
                </c:pt>
                <c:pt idx="28">
                  <c:v>42410</c:v>
                </c:pt>
                <c:pt idx="29">
                  <c:v>42411</c:v>
                </c:pt>
                <c:pt idx="30">
                  <c:v>42412</c:v>
                </c:pt>
                <c:pt idx="31">
                  <c:v>42415</c:v>
                </c:pt>
                <c:pt idx="32">
                  <c:v>42416</c:v>
                </c:pt>
                <c:pt idx="33">
                  <c:v>42417</c:v>
                </c:pt>
                <c:pt idx="34">
                  <c:v>42418</c:v>
                </c:pt>
                <c:pt idx="35">
                  <c:v>42419</c:v>
                </c:pt>
                <c:pt idx="36">
                  <c:v>42422</c:v>
                </c:pt>
                <c:pt idx="37">
                  <c:v>42423</c:v>
                </c:pt>
                <c:pt idx="38">
                  <c:v>42424</c:v>
                </c:pt>
                <c:pt idx="39">
                  <c:v>42425</c:v>
                </c:pt>
                <c:pt idx="40">
                  <c:v>42426</c:v>
                </c:pt>
                <c:pt idx="41">
                  <c:v>42429</c:v>
                </c:pt>
                <c:pt idx="42">
                  <c:v>42430</c:v>
                </c:pt>
                <c:pt idx="43">
                  <c:v>42431</c:v>
                </c:pt>
                <c:pt idx="44">
                  <c:v>42432</c:v>
                </c:pt>
                <c:pt idx="45">
                  <c:v>42433</c:v>
                </c:pt>
                <c:pt idx="46">
                  <c:v>42436</c:v>
                </c:pt>
                <c:pt idx="47">
                  <c:v>42437</c:v>
                </c:pt>
                <c:pt idx="48">
                  <c:v>42438</c:v>
                </c:pt>
                <c:pt idx="49">
                  <c:v>42439</c:v>
                </c:pt>
                <c:pt idx="50">
                  <c:v>42440</c:v>
                </c:pt>
                <c:pt idx="51">
                  <c:v>42443</c:v>
                </c:pt>
                <c:pt idx="52">
                  <c:v>42444</c:v>
                </c:pt>
                <c:pt idx="53">
                  <c:v>42445</c:v>
                </c:pt>
                <c:pt idx="54">
                  <c:v>42446</c:v>
                </c:pt>
                <c:pt idx="55">
                  <c:v>42447</c:v>
                </c:pt>
                <c:pt idx="56">
                  <c:v>42450</c:v>
                </c:pt>
                <c:pt idx="57">
                  <c:v>42451</c:v>
                </c:pt>
                <c:pt idx="58">
                  <c:v>42452</c:v>
                </c:pt>
                <c:pt idx="59">
                  <c:v>42453</c:v>
                </c:pt>
                <c:pt idx="60">
                  <c:v>42458</c:v>
                </c:pt>
                <c:pt idx="61">
                  <c:v>42459</c:v>
                </c:pt>
                <c:pt idx="62">
                  <c:v>42460</c:v>
                </c:pt>
                <c:pt idx="63">
                  <c:v>42461</c:v>
                </c:pt>
                <c:pt idx="64">
                  <c:v>42464</c:v>
                </c:pt>
                <c:pt idx="65">
                  <c:v>42465</c:v>
                </c:pt>
                <c:pt idx="66">
                  <c:v>42466</c:v>
                </c:pt>
                <c:pt idx="67">
                  <c:v>42467</c:v>
                </c:pt>
                <c:pt idx="68">
                  <c:v>42468</c:v>
                </c:pt>
                <c:pt idx="69">
                  <c:v>42471</c:v>
                </c:pt>
                <c:pt idx="70">
                  <c:v>42472</c:v>
                </c:pt>
                <c:pt idx="71">
                  <c:v>42473</c:v>
                </c:pt>
                <c:pt idx="72">
                  <c:v>42474</c:v>
                </c:pt>
                <c:pt idx="73">
                  <c:v>42475</c:v>
                </c:pt>
                <c:pt idx="74">
                  <c:v>42478</c:v>
                </c:pt>
                <c:pt idx="75">
                  <c:v>42479</c:v>
                </c:pt>
                <c:pt idx="76">
                  <c:v>42480</c:v>
                </c:pt>
                <c:pt idx="77">
                  <c:v>42481</c:v>
                </c:pt>
                <c:pt idx="78">
                  <c:v>42482</c:v>
                </c:pt>
                <c:pt idx="79">
                  <c:v>42485</c:v>
                </c:pt>
                <c:pt idx="80">
                  <c:v>42486</c:v>
                </c:pt>
                <c:pt idx="81">
                  <c:v>42487</c:v>
                </c:pt>
                <c:pt idx="82">
                  <c:v>42488</c:v>
                </c:pt>
                <c:pt idx="83">
                  <c:v>42489</c:v>
                </c:pt>
                <c:pt idx="84">
                  <c:v>42493</c:v>
                </c:pt>
                <c:pt idx="85">
                  <c:v>42494</c:v>
                </c:pt>
                <c:pt idx="86">
                  <c:v>42495</c:v>
                </c:pt>
                <c:pt idx="87">
                  <c:v>42496</c:v>
                </c:pt>
                <c:pt idx="88">
                  <c:v>42499</c:v>
                </c:pt>
                <c:pt idx="89">
                  <c:v>42500</c:v>
                </c:pt>
                <c:pt idx="90">
                  <c:v>42501</c:v>
                </c:pt>
                <c:pt idx="91">
                  <c:v>42502</c:v>
                </c:pt>
                <c:pt idx="92">
                  <c:v>42503</c:v>
                </c:pt>
                <c:pt idx="93">
                  <c:v>42506</c:v>
                </c:pt>
                <c:pt idx="94">
                  <c:v>42507</c:v>
                </c:pt>
                <c:pt idx="95">
                  <c:v>42508</c:v>
                </c:pt>
                <c:pt idx="96">
                  <c:v>42509</c:v>
                </c:pt>
                <c:pt idx="97">
                  <c:v>42510</c:v>
                </c:pt>
                <c:pt idx="98">
                  <c:v>42513</c:v>
                </c:pt>
                <c:pt idx="99">
                  <c:v>42514</c:v>
                </c:pt>
                <c:pt idx="100">
                  <c:v>42515</c:v>
                </c:pt>
                <c:pt idx="101">
                  <c:v>42516</c:v>
                </c:pt>
                <c:pt idx="102">
                  <c:v>42517</c:v>
                </c:pt>
                <c:pt idx="103">
                  <c:v>42521</c:v>
                </c:pt>
                <c:pt idx="104">
                  <c:v>42522</c:v>
                </c:pt>
                <c:pt idx="105">
                  <c:v>42523</c:v>
                </c:pt>
                <c:pt idx="106">
                  <c:v>42524</c:v>
                </c:pt>
                <c:pt idx="107">
                  <c:v>42527</c:v>
                </c:pt>
                <c:pt idx="108">
                  <c:v>42528</c:v>
                </c:pt>
                <c:pt idx="109">
                  <c:v>42529</c:v>
                </c:pt>
                <c:pt idx="110">
                  <c:v>42530</c:v>
                </c:pt>
                <c:pt idx="111">
                  <c:v>42531</c:v>
                </c:pt>
                <c:pt idx="112">
                  <c:v>42534</c:v>
                </c:pt>
                <c:pt idx="113">
                  <c:v>42535</c:v>
                </c:pt>
                <c:pt idx="114">
                  <c:v>42536</c:v>
                </c:pt>
                <c:pt idx="115">
                  <c:v>42537</c:v>
                </c:pt>
                <c:pt idx="116">
                  <c:v>42538</c:v>
                </c:pt>
                <c:pt idx="117">
                  <c:v>42541</c:v>
                </c:pt>
                <c:pt idx="118">
                  <c:v>42542</c:v>
                </c:pt>
                <c:pt idx="119">
                  <c:v>42543</c:v>
                </c:pt>
                <c:pt idx="120">
                  <c:v>42544</c:v>
                </c:pt>
                <c:pt idx="121">
                  <c:v>42545</c:v>
                </c:pt>
                <c:pt idx="122">
                  <c:v>42548</c:v>
                </c:pt>
                <c:pt idx="123">
                  <c:v>42549</c:v>
                </c:pt>
                <c:pt idx="124">
                  <c:v>42550</c:v>
                </c:pt>
                <c:pt idx="125">
                  <c:v>42551</c:v>
                </c:pt>
                <c:pt idx="126">
                  <c:v>42552</c:v>
                </c:pt>
                <c:pt idx="127">
                  <c:v>42555</c:v>
                </c:pt>
                <c:pt idx="128">
                  <c:v>42556</c:v>
                </c:pt>
                <c:pt idx="129">
                  <c:v>42557</c:v>
                </c:pt>
                <c:pt idx="130">
                  <c:v>42558</c:v>
                </c:pt>
                <c:pt idx="131">
                  <c:v>42559</c:v>
                </c:pt>
                <c:pt idx="132">
                  <c:v>42562</c:v>
                </c:pt>
                <c:pt idx="133">
                  <c:v>42563</c:v>
                </c:pt>
                <c:pt idx="134">
                  <c:v>42564</c:v>
                </c:pt>
                <c:pt idx="135">
                  <c:v>42565</c:v>
                </c:pt>
                <c:pt idx="136">
                  <c:v>42566</c:v>
                </c:pt>
                <c:pt idx="137">
                  <c:v>42569</c:v>
                </c:pt>
                <c:pt idx="138">
                  <c:v>42570</c:v>
                </c:pt>
                <c:pt idx="139">
                  <c:v>42571</c:v>
                </c:pt>
                <c:pt idx="140">
                  <c:v>42572</c:v>
                </c:pt>
                <c:pt idx="141">
                  <c:v>42573</c:v>
                </c:pt>
                <c:pt idx="142">
                  <c:v>42576</c:v>
                </c:pt>
                <c:pt idx="143">
                  <c:v>42577</c:v>
                </c:pt>
                <c:pt idx="144">
                  <c:v>42578</c:v>
                </c:pt>
                <c:pt idx="145">
                  <c:v>42579</c:v>
                </c:pt>
                <c:pt idx="146">
                  <c:v>42580</c:v>
                </c:pt>
                <c:pt idx="147">
                  <c:v>42583</c:v>
                </c:pt>
                <c:pt idx="148">
                  <c:v>42584</c:v>
                </c:pt>
                <c:pt idx="149">
                  <c:v>42585</c:v>
                </c:pt>
                <c:pt idx="150">
                  <c:v>42586</c:v>
                </c:pt>
                <c:pt idx="151">
                  <c:v>42587</c:v>
                </c:pt>
                <c:pt idx="152">
                  <c:v>42590</c:v>
                </c:pt>
                <c:pt idx="153">
                  <c:v>42591</c:v>
                </c:pt>
                <c:pt idx="154">
                  <c:v>42592</c:v>
                </c:pt>
                <c:pt idx="155">
                  <c:v>42593</c:v>
                </c:pt>
                <c:pt idx="156">
                  <c:v>42594</c:v>
                </c:pt>
                <c:pt idx="157">
                  <c:v>42597</c:v>
                </c:pt>
                <c:pt idx="158">
                  <c:v>42598</c:v>
                </c:pt>
                <c:pt idx="159">
                  <c:v>42599</c:v>
                </c:pt>
                <c:pt idx="160">
                  <c:v>42600</c:v>
                </c:pt>
                <c:pt idx="161">
                  <c:v>42601</c:v>
                </c:pt>
                <c:pt idx="162">
                  <c:v>42604</c:v>
                </c:pt>
                <c:pt idx="163">
                  <c:v>42605</c:v>
                </c:pt>
                <c:pt idx="164">
                  <c:v>42606</c:v>
                </c:pt>
                <c:pt idx="165">
                  <c:v>42607</c:v>
                </c:pt>
                <c:pt idx="166">
                  <c:v>42608</c:v>
                </c:pt>
                <c:pt idx="167">
                  <c:v>42612</c:v>
                </c:pt>
                <c:pt idx="168">
                  <c:v>42613</c:v>
                </c:pt>
                <c:pt idx="169">
                  <c:v>42614</c:v>
                </c:pt>
                <c:pt idx="170">
                  <c:v>42615</c:v>
                </c:pt>
                <c:pt idx="171">
                  <c:v>42618</c:v>
                </c:pt>
                <c:pt idx="172">
                  <c:v>42619</c:v>
                </c:pt>
                <c:pt idx="173">
                  <c:v>42620</c:v>
                </c:pt>
                <c:pt idx="174">
                  <c:v>42621</c:v>
                </c:pt>
                <c:pt idx="175">
                  <c:v>42622</c:v>
                </c:pt>
                <c:pt idx="176">
                  <c:v>42625</c:v>
                </c:pt>
                <c:pt idx="177">
                  <c:v>42626</c:v>
                </c:pt>
                <c:pt idx="178">
                  <c:v>42627</c:v>
                </c:pt>
                <c:pt idx="179">
                  <c:v>42628</c:v>
                </c:pt>
                <c:pt idx="180">
                  <c:v>42629</c:v>
                </c:pt>
                <c:pt idx="181">
                  <c:v>42632</c:v>
                </c:pt>
                <c:pt idx="182">
                  <c:v>42633</c:v>
                </c:pt>
                <c:pt idx="183">
                  <c:v>42634</c:v>
                </c:pt>
                <c:pt idx="184">
                  <c:v>42635</c:v>
                </c:pt>
                <c:pt idx="185">
                  <c:v>42636</c:v>
                </c:pt>
                <c:pt idx="186">
                  <c:v>42639</c:v>
                </c:pt>
                <c:pt idx="187">
                  <c:v>42640</c:v>
                </c:pt>
                <c:pt idx="188">
                  <c:v>42641</c:v>
                </c:pt>
                <c:pt idx="189">
                  <c:v>42642</c:v>
                </c:pt>
                <c:pt idx="190">
                  <c:v>42643</c:v>
                </c:pt>
                <c:pt idx="191">
                  <c:v>42646</c:v>
                </c:pt>
                <c:pt idx="192">
                  <c:v>42647</c:v>
                </c:pt>
                <c:pt idx="193">
                  <c:v>42648</c:v>
                </c:pt>
                <c:pt idx="194">
                  <c:v>42649</c:v>
                </c:pt>
                <c:pt idx="195">
                  <c:v>42650</c:v>
                </c:pt>
                <c:pt idx="196">
                  <c:v>42653</c:v>
                </c:pt>
                <c:pt idx="197">
                  <c:v>42654</c:v>
                </c:pt>
                <c:pt idx="198">
                  <c:v>42655</c:v>
                </c:pt>
                <c:pt idx="199">
                  <c:v>42656</c:v>
                </c:pt>
                <c:pt idx="200">
                  <c:v>42657</c:v>
                </c:pt>
                <c:pt idx="201">
                  <c:v>42660</c:v>
                </c:pt>
                <c:pt idx="202">
                  <c:v>42661</c:v>
                </c:pt>
                <c:pt idx="203">
                  <c:v>42662</c:v>
                </c:pt>
                <c:pt idx="204">
                  <c:v>42663</c:v>
                </c:pt>
                <c:pt idx="205">
                  <c:v>42664</c:v>
                </c:pt>
                <c:pt idx="206">
                  <c:v>42667</c:v>
                </c:pt>
                <c:pt idx="207">
                  <c:v>42668</c:v>
                </c:pt>
                <c:pt idx="208">
                  <c:v>42669</c:v>
                </c:pt>
                <c:pt idx="209">
                  <c:v>42670</c:v>
                </c:pt>
                <c:pt idx="210">
                  <c:v>42671</c:v>
                </c:pt>
                <c:pt idx="211">
                  <c:v>42674</c:v>
                </c:pt>
                <c:pt idx="212">
                  <c:v>42675</c:v>
                </c:pt>
                <c:pt idx="213">
                  <c:v>42676</c:v>
                </c:pt>
                <c:pt idx="214">
                  <c:v>42677</c:v>
                </c:pt>
                <c:pt idx="215">
                  <c:v>42678</c:v>
                </c:pt>
                <c:pt idx="216">
                  <c:v>42681</c:v>
                </c:pt>
                <c:pt idx="217">
                  <c:v>42682</c:v>
                </c:pt>
                <c:pt idx="218">
                  <c:v>42683</c:v>
                </c:pt>
                <c:pt idx="219">
                  <c:v>42684</c:v>
                </c:pt>
                <c:pt idx="220">
                  <c:v>42685</c:v>
                </c:pt>
                <c:pt idx="221">
                  <c:v>42688</c:v>
                </c:pt>
                <c:pt idx="222">
                  <c:v>42689</c:v>
                </c:pt>
                <c:pt idx="223">
                  <c:v>42690</c:v>
                </c:pt>
                <c:pt idx="224">
                  <c:v>42691</c:v>
                </c:pt>
                <c:pt idx="225">
                  <c:v>42692</c:v>
                </c:pt>
                <c:pt idx="226">
                  <c:v>42695</c:v>
                </c:pt>
                <c:pt idx="227">
                  <c:v>42696</c:v>
                </c:pt>
                <c:pt idx="228">
                  <c:v>42697</c:v>
                </c:pt>
                <c:pt idx="229">
                  <c:v>42698</c:v>
                </c:pt>
                <c:pt idx="230">
                  <c:v>42699</c:v>
                </c:pt>
                <c:pt idx="231">
                  <c:v>42702</c:v>
                </c:pt>
                <c:pt idx="232">
                  <c:v>42703</c:v>
                </c:pt>
                <c:pt idx="233">
                  <c:v>42704</c:v>
                </c:pt>
                <c:pt idx="234">
                  <c:v>42705</c:v>
                </c:pt>
                <c:pt idx="235">
                  <c:v>42706</c:v>
                </c:pt>
                <c:pt idx="236">
                  <c:v>42709</c:v>
                </c:pt>
                <c:pt idx="237">
                  <c:v>42710</c:v>
                </c:pt>
                <c:pt idx="238">
                  <c:v>42711</c:v>
                </c:pt>
                <c:pt idx="239">
                  <c:v>42712</c:v>
                </c:pt>
                <c:pt idx="240">
                  <c:v>42713</c:v>
                </c:pt>
                <c:pt idx="241">
                  <c:v>42716</c:v>
                </c:pt>
                <c:pt idx="242">
                  <c:v>42717</c:v>
                </c:pt>
                <c:pt idx="243">
                  <c:v>42718</c:v>
                </c:pt>
                <c:pt idx="244">
                  <c:v>42719</c:v>
                </c:pt>
                <c:pt idx="245">
                  <c:v>42720</c:v>
                </c:pt>
                <c:pt idx="246">
                  <c:v>42723</c:v>
                </c:pt>
                <c:pt idx="247">
                  <c:v>42724</c:v>
                </c:pt>
                <c:pt idx="248">
                  <c:v>42725</c:v>
                </c:pt>
                <c:pt idx="249">
                  <c:v>42726</c:v>
                </c:pt>
                <c:pt idx="250">
                  <c:v>42727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5.5767867859704608E-3</c:v>
                </c:pt>
                <c:pt idx="1">
                  <c:v>5.5767867859704608E-3</c:v>
                </c:pt>
                <c:pt idx="2">
                  <c:v>5.5767867859704608E-3</c:v>
                </c:pt>
                <c:pt idx="3">
                  <c:v>5.5767867859704608E-3</c:v>
                </c:pt>
                <c:pt idx="4">
                  <c:v>5.5767867859704608E-3</c:v>
                </c:pt>
                <c:pt idx="5">
                  <c:v>5.5767867859704608E-3</c:v>
                </c:pt>
                <c:pt idx="6">
                  <c:v>5.5767867859704608E-3</c:v>
                </c:pt>
                <c:pt idx="7">
                  <c:v>5.5767867859704608E-3</c:v>
                </c:pt>
                <c:pt idx="8">
                  <c:v>5.5767867859704608E-3</c:v>
                </c:pt>
                <c:pt idx="9">
                  <c:v>5.5767867859704608E-3</c:v>
                </c:pt>
                <c:pt idx="10">
                  <c:v>5.5767867859704608E-3</c:v>
                </c:pt>
                <c:pt idx="11">
                  <c:v>5.5767867859704608E-3</c:v>
                </c:pt>
                <c:pt idx="12">
                  <c:v>5.5767867859704608E-3</c:v>
                </c:pt>
                <c:pt idx="13">
                  <c:v>5.5767867859704608E-3</c:v>
                </c:pt>
                <c:pt idx="14">
                  <c:v>5.5767867859704608E-3</c:v>
                </c:pt>
                <c:pt idx="15">
                  <c:v>5.5767867859704608E-3</c:v>
                </c:pt>
                <c:pt idx="16">
                  <c:v>5.5767867859704608E-3</c:v>
                </c:pt>
                <c:pt idx="17">
                  <c:v>5.5767867859704608E-3</c:v>
                </c:pt>
                <c:pt idx="18">
                  <c:v>5.5767867859704608E-3</c:v>
                </c:pt>
                <c:pt idx="19">
                  <c:v>5.5767867859704608E-3</c:v>
                </c:pt>
                <c:pt idx="20">
                  <c:v>5.5767867859704608E-3</c:v>
                </c:pt>
                <c:pt idx="21">
                  <c:v>5.5767867859704608E-3</c:v>
                </c:pt>
                <c:pt idx="22">
                  <c:v>5.5767867859704608E-3</c:v>
                </c:pt>
                <c:pt idx="23">
                  <c:v>5.5767867859704608E-3</c:v>
                </c:pt>
                <c:pt idx="24">
                  <c:v>5.5767867859704608E-3</c:v>
                </c:pt>
                <c:pt idx="25">
                  <c:v>5.5767867859704608E-3</c:v>
                </c:pt>
                <c:pt idx="26">
                  <c:v>5.5767867859704608E-3</c:v>
                </c:pt>
                <c:pt idx="27">
                  <c:v>5.5767867859704608E-3</c:v>
                </c:pt>
                <c:pt idx="28">
                  <c:v>5.5767867859704608E-3</c:v>
                </c:pt>
                <c:pt idx="29">
                  <c:v>5.5767867859704608E-3</c:v>
                </c:pt>
                <c:pt idx="30">
                  <c:v>5.5767867859704608E-3</c:v>
                </c:pt>
                <c:pt idx="31">
                  <c:v>5.5767867859704608E-3</c:v>
                </c:pt>
                <c:pt idx="32">
                  <c:v>5.5767867859704608E-3</c:v>
                </c:pt>
                <c:pt idx="33">
                  <c:v>5.5767867859704608E-3</c:v>
                </c:pt>
                <c:pt idx="34">
                  <c:v>5.5767867859704608E-3</c:v>
                </c:pt>
                <c:pt idx="35">
                  <c:v>5.5767867859704608E-3</c:v>
                </c:pt>
                <c:pt idx="36">
                  <c:v>5.5767867859704608E-3</c:v>
                </c:pt>
                <c:pt idx="37">
                  <c:v>5.5767867859704608E-3</c:v>
                </c:pt>
                <c:pt idx="38">
                  <c:v>5.5767867859704608E-3</c:v>
                </c:pt>
                <c:pt idx="39">
                  <c:v>5.5767867859704608E-3</c:v>
                </c:pt>
                <c:pt idx="40">
                  <c:v>5.5767867859704608E-3</c:v>
                </c:pt>
                <c:pt idx="41">
                  <c:v>5.5767867859704608E-3</c:v>
                </c:pt>
                <c:pt idx="42">
                  <c:v>5.5767867859704608E-3</c:v>
                </c:pt>
                <c:pt idx="43">
                  <c:v>5.5767867859704608E-3</c:v>
                </c:pt>
                <c:pt idx="44">
                  <c:v>5.5767867859704608E-3</c:v>
                </c:pt>
                <c:pt idx="45">
                  <c:v>5.5767867859704608E-3</c:v>
                </c:pt>
                <c:pt idx="46">
                  <c:v>5.5767867859704608E-3</c:v>
                </c:pt>
                <c:pt idx="47">
                  <c:v>5.5767867859704608E-3</c:v>
                </c:pt>
                <c:pt idx="48">
                  <c:v>5.5767867859704608E-3</c:v>
                </c:pt>
                <c:pt idx="49">
                  <c:v>5.5767867859704608E-3</c:v>
                </c:pt>
                <c:pt idx="50">
                  <c:v>5.5767867859704608E-3</c:v>
                </c:pt>
                <c:pt idx="51">
                  <c:v>5.5767867859704608E-3</c:v>
                </c:pt>
                <c:pt idx="52">
                  <c:v>5.5767867859704608E-3</c:v>
                </c:pt>
                <c:pt idx="53">
                  <c:v>5.5767867859704608E-3</c:v>
                </c:pt>
                <c:pt idx="54">
                  <c:v>5.5767867859704608E-3</c:v>
                </c:pt>
                <c:pt idx="55">
                  <c:v>5.5767867859704608E-3</c:v>
                </c:pt>
                <c:pt idx="56">
                  <c:v>5.5767867859704608E-3</c:v>
                </c:pt>
                <c:pt idx="57">
                  <c:v>5.5767867859704608E-3</c:v>
                </c:pt>
                <c:pt idx="58">
                  <c:v>5.5767867859704608E-3</c:v>
                </c:pt>
                <c:pt idx="59">
                  <c:v>5.5767867859704608E-3</c:v>
                </c:pt>
                <c:pt idx="60">
                  <c:v>5.5767867859704608E-3</c:v>
                </c:pt>
                <c:pt idx="61">
                  <c:v>5.5767867859704608E-3</c:v>
                </c:pt>
                <c:pt idx="62">
                  <c:v>5.5767867859704608E-3</c:v>
                </c:pt>
                <c:pt idx="63">
                  <c:v>5.5767867859704608E-3</c:v>
                </c:pt>
                <c:pt idx="64">
                  <c:v>5.5767867859704608E-3</c:v>
                </c:pt>
                <c:pt idx="65">
                  <c:v>5.5767867859704608E-3</c:v>
                </c:pt>
                <c:pt idx="66">
                  <c:v>5.5767867859704608E-3</c:v>
                </c:pt>
                <c:pt idx="67">
                  <c:v>5.5767867859704608E-3</c:v>
                </c:pt>
                <c:pt idx="68">
                  <c:v>5.5767867859704608E-3</c:v>
                </c:pt>
                <c:pt idx="69">
                  <c:v>5.5767867859704608E-3</c:v>
                </c:pt>
                <c:pt idx="70">
                  <c:v>5.5767867859704608E-3</c:v>
                </c:pt>
                <c:pt idx="71">
                  <c:v>5.5767867859704608E-3</c:v>
                </c:pt>
                <c:pt idx="72">
                  <c:v>5.5767867859704608E-3</c:v>
                </c:pt>
                <c:pt idx="73">
                  <c:v>5.5767867859704608E-3</c:v>
                </c:pt>
                <c:pt idx="74">
                  <c:v>5.5767867859704608E-3</c:v>
                </c:pt>
                <c:pt idx="75">
                  <c:v>5.5767867859704608E-3</c:v>
                </c:pt>
                <c:pt idx="76">
                  <c:v>5.5767867859704608E-3</c:v>
                </c:pt>
                <c:pt idx="77">
                  <c:v>5.5767867859704608E-3</c:v>
                </c:pt>
                <c:pt idx="78">
                  <c:v>5.5767867859704608E-3</c:v>
                </c:pt>
                <c:pt idx="79">
                  <c:v>5.5767867859704608E-3</c:v>
                </c:pt>
                <c:pt idx="80">
                  <c:v>5.5767867859704608E-3</c:v>
                </c:pt>
                <c:pt idx="81">
                  <c:v>5.5767867859704608E-3</c:v>
                </c:pt>
                <c:pt idx="82">
                  <c:v>5.5767867859704608E-3</c:v>
                </c:pt>
                <c:pt idx="83">
                  <c:v>5.5767867859704608E-3</c:v>
                </c:pt>
                <c:pt idx="84">
                  <c:v>5.5767867859704608E-3</c:v>
                </c:pt>
                <c:pt idx="85">
                  <c:v>5.5767867859704608E-3</c:v>
                </c:pt>
                <c:pt idx="86">
                  <c:v>5.5767867859704608E-3</c:v>
                </c:pt>
                <c:pt idx="87">
                  <c:v>5.5767867859704608E-3</c:v>
                </c:pt>
                <c:pt idx="88">
                  <c:v>5.5767867859704608E-3</c:v>
                </c:pt>
                <c:pt idx="89">
                  <c:v>5.5767867859704608E-3</c:v>
                </c:pt>
                <c:pt idx="90">
                  <c:v>5.5767867859704608E-3</c:v>
                </c:pt>
                <c:pt idx="91">
                  <c:v>5.5767867859704608E-3</c:v>
                </c:pt>
                <c:pt idx="92">
                  <c:v>5.5767867859704608E-3</c:v>
                </c:pt>
                <c:pt idx="93">
                  <c:v>5.5767867859704608E-3</c:v>
                </c:pt>
                <c:pt idx="94">
                  <c:v>5.5767867859704608E-3</c:v>
                </c:pt>
                <c:pt idx="95">
                  <c:v>5.5767867859704608E-3</c:v>
                </c:pt>
                <c:pt idx="96">
                  <c:v>5.5767867859704608E-3</c:v>
                </c:pt>
                <c:pt idx="97">
                  <c:v>5.5767867859704608E-3</c:v>
                </c:pt>
                <c:pt idx="98">
                  <c:v>5.5767867859704608E-3</c:v>
                </c:pt>
                <c:pt idx="99">
                  <c:v>5.5767867859704608E-3</c:v>
                </c:pt>
                <c:pt idx="100">
                  <c:v>5.5767867859704608E-3</c:v>
                </c:pt>
                <c:pt idx="101">
                  <c:v>5.5767867859704608E-3</c:v>
                </c:pt>
                <c:pt idx="102">
                  <c:v>5.5767867859704608E-3</c:v>
                </c:pt>
                <c:pt idx="103">
                  <c:v>5.5767867859704608E-3</c:v>
                </c:pt>
                <c:pt idx="104">
                  <c:v>5.5767867859704608E-3</c:v>
                </c:pt>
                <c:pt idx="105">
                  <c:v>5.5767867859704608E-3</c:v>
                </c:pt>
                <c:pt idx="106">
                  <c:v>5.5767867859704608E-3</c:v>
                </c:pt>
                <c:pt idx="107">
                  <c:v>5.5767867859704608E-3</c:v>
                </c:pt>
                <c:pt idx="108">
                  <c:v>5.5767867859704608E-3</c:v>
                </c:pt>
                <c:pt idx="109">
                  <c:v>5.5767867859704608E-3</c:v>
                </c:pt>
                <c:pt idx="110">
                  <c:v>5.5767867859704608E-3</c:v>
                </c:pt>
                <c:pt idx="111">
                  <c:v>5.5767867859704608E-3</c:v>
                </c:pt>
                <c:pt idx="112">
                  <c:v>5.5767867859704608E-3</c:v>
                </c:pt>
                <c:pt idx="113">
                  <c:v>5.5767867859704608E-3</c:v>
                </c:pt>
                <c:pt idx="114">
                  <c:v>5.5767867859704608E-3</c:v>
                </c:pt>
                <c:pt idx="115">
                  <c:v>5.5767867859704608E-3</c:v>
                </c:pt>
                <c:pt idx="116">
                  <c:v>5.5767867859704608E-3</c:v>
                </c:pt>
                <c:pt idx="117">
                  <c:v>5.5767867859704608E-3</c:v>
                </c:pt>
                <c:pt idx="118">
                  <c:v>5.5767867859704608E-3</c:v>
                </c:pt>
                <c:pt idx="119">
                  <c:v>5.5767867859704608E-3</c:v>
                </c:pt>
                <c:pt idx="120">
                  <c:v>5.5767867859704608E-3</c:v>
                </c:pt>
                <c:pt idx="121">
                  <c:v>5.5767867859704608E-3</c:v>
                </c:pt>
                <c:pt idx="122">
                  <c:v>5.5767867859704608E-3</c:v>
                </c:pt>
                <c:pt idx="123">
                  <c:v>5.5767867859704608E-3</c:v>
                </c:pt>
                <c:pt idx="124">
                  <c:v>5.5767867859704608E-3</c:v>
                </c:pt>
                <c:pt idx="125">
                  <c:v>5.5767867859704608E-3</c:v>
                </c:pt>
                <c:pt idx="126">
                  <c:v>5.5767867859704608E-3</c:v>
                </c:pt>
                <c:pt idx="127">
                  <c:v>5.5767867859704608E-3</c:v>
                </c:pt>
                <c:pt idx="128">
                  <c:v>5.5767867859704608E-3</c:v>
                </c:pt>
                <c:pt idx="129">
                  <c:v>5.5767867859704608E-3</c:v>
                </c:pt>
                <c:pt idx="130">
                  <c:v>5.5767867859704608E-3</c:v>
                </c:pt>
                <c:pt idx="131">
                  <c:v>5.5767867859704608E-3</c:v>
                </c:pt>
                <c:pt idx="132">
                  <c:v>5.5767867859704608E-3</c:v>
                </c:pt>
                <c:pt idx="133">
                  <c:v>5.5767867859704608E-3</c:v>
                </c:pt>
                <c:pt idx="134">
                  <c:v>5.5767867859704608E-3</c:v>
                </c:pt>
                <c:pt idx="135">
                  <c:v>5.5767867859704608E-3</c:v>
                </c:pt>
                <c:pt idx="136">
                  <c:v>5.5767867859704608E-3</c:v>
                </c:pt>
                <c:pt idx="137">
                  <c:v>5.5767867859704608E-3</c:v>
                </c:pt>
                <c:pt idx="138">
                  <c:v>5.5767867859704608E-3</c:v>
                </c:pt>
                <c:pt idx="139">
                  <c:v>5.5767867859704608E-3</c:v>
                </c:pt>
                <c:pt idx="140">
                  <c:v>5.5767867859704608E-3</c:v>
                </c:pt>
                <c:pt idx="141">
                  <c:v>5.5767867859704608E-3</c:v>
                </c:pt>
                <c:pt idx="142">
                  <c:v>5.5767867859704608E-3</c:v>
                </c:pt>
                <c:pt idx="143">
                  <c:v>5.5767867859704608E-3</c:v>
                </c:pt>
                <c:pt idx="144">
                  <c:v>5.5767867859704608E-3</c:v>
                </c:pt>
                <c:pt idx="145">
                  <c:v>5.5767867859704608E-3</c:v>
                </c:pt>
                <c:pt idx="146">
                  <c:v>5.5767867859704608E-3</c:v>
                </c:pt>
                <c:pt idx="147">
                  <c:v>5.5767867859704608E-3</c:v>
                </c:pt>
                <c:pt idx="148">
                  <c:v>5.5767867859704608E-3</c:v>
                </c:pt>
                <c:pt idx="149">
                  <c:v>5.5767867859704608E-3</c:v>
                </c:pt>
                <c:pt idx="150">
                  <c:v>5.5767867859704608E-3</c:v>
                </c:pt>
                <c:pt idx="151">
                  <c:v>5.5767867859704608E-3</c:v>
                </c:pt>
                <c:pt idx="152">
                  <c:v>5.5767867859704608E-3</c:v>
                </c:pt>
                <c:pt idx="153">
                  <c:v>5.5767867859704608E-3</c:v>
                </c:pt>
                <c:pt idx="154">
                  <c:v>5.5767867859704608E-3</c:v>
                </c:pt>
                <c:pt idx="155">
                  <c:v>5.5767867859704608E-3</c:v>
                </c:pt>
                <c:pt idx="156">
                  <c:v>5.5767867859704608E-3</c:v>
                </c:pt>
                <c:pt idx="157">
                  <c:v>5.5767867859704608E-3</c:v>
                </c:pt>
                <c:pt idx="158">
                  <c:v>5.5767867859704608E-3</c:v>
                </c:pt>
                <c:pt idx="159">
                  <c:v>5.5767867859704608E-3</c:v>
                </c:pt>
                <c:pt idx="160">
                  <c:v>5.5767867859704608E-3</c:v>
                </c:pt>
                <c:pt idx="161">
                  <c:v>5.5767867859704608E-3</c:v>
                </c:pt>
                <c:pt idx="162">
                  <c:v>5.5767867859704608E-3</c:v>
                </c:pt>
                <c:pt idx="163">
                  <c:v>5.5767867859704608E-3</c:v>
                </c:pt>
                <c:pt idx="164">
                  <c:v>5.5767867859704608E-3</c:v>
                </c:pt>
                <c:pt idx="165">
                  <c:v>5.5767867859704608E-3</c:v>
                </c:pt>
                <c:pt idx="166">
                  <c:v>5.5767867859704608E-3</c:v>
                </c:pt>
                <c:pt idx="167">
                  <c:v>5.5767867859704608E-3</c:v>
                </c:pt>
                <c:pt idx="168">
                  <c:v>5.5767867859704608E-3</c:v>
                </c:pt>
                <c:pt idx="169">
                  <c:v>5.5767867859704608E-3</c:v>
                </c:pt>
                <c:pt idx="170">
                  <c:v>5.5767867859704608E-3</c:v>
                </c:pt>
                <c:pt idx="171">
                  <c:v>5.5767867859704608E-3</c:v>
                </c:pt>
                <c:pt idx="172">
                  <c:v>5.5767867859704608E-3</c:v>
                </c:pt>
                <c:pt idx="173">
                  <c:v>5.5767867859704608E-3</c:v>
                </c:pt>
                <c:pt idx="174">
                  <c:v>5.5767867859704608E-3</c:v>
                </c:pt>
                <c:pt idx="175">
                  <c:v>5.5767867859704608E-3</c:v>
                </c:pt>
                <c:pt idx="176">
                  <c:v>5.5767867859704608E-3</c:v>
                </c:pt>
                <c:pt idx="177">
                  <c:v>5.5767867859704608E-3</c:v>
                </c:pt>
                <c:pt idx="178">
                  <c:v>5.5767867859704608E-3</c:v>
                </c:pt>
                <c:pt idx="179">
                  <c:v>5.5767867859704608E-3</c:v>
                </c:pt>
                <c:pt idx="180">
                  <c:v>5.5767867859704608E-3</c:v>
                </c:pt>
                <c:pt idx="181">
                  <c:v>5.5767867859704608E-3</c:v>
                </c:pt>
                <c:pt idx="182">
                  <c:v>5.5767867859704608E-3</c:v>
                </c:pt>
                <c:pt idx="183">
                  <c:v>5.5767867859704608E-3</c:v>
                </c:pt>
                <c:pt idx="184">
                  <c:v>5.5767867859704608E-3</c:v>
                </c:pt>
                <c:pt idx="185">
                  <c:v>5.5767867859704608E-3</c:v>
                </c:pt>
                <c:pt idx="186">
                  <c:v>5.5767867859704608E-3</c:v>
                </c:pt>
                <c:pt idx="187">
                  <c:v>5.5767867859704608E-3</c:v>
                </c:pt>
                <c:pt idx="188">
                  <c:v>5.5767867859704608E-3</c:v>
                </c:pt>
                <c:pt idx="189">
                  <c:v>5.5767867859704608E-3</c:v>
                </c:pt>
                <c:pt idx="190">
                  <c:v>5.5767867859704608E-3</c:v>
                </c:pt>
                <c:pt idx="191">
                  <c:v>5.5767867859704608E-3</c:v>
                </c:pt>
                <c:pt idx="192">
                  <c:v>5.5767867859704608E-3</c:v>
                </c:pt>
                <c:pt idx="193">
                  <c:v>5.5767867859704608E-3</c:v>
                </c:pt>
                <c:pt idx="194">
                  <c:v>5.5767867859704608E-3</c:v>
                </c:pt>
                <c:pt idx="195">
                  <c:v>5.5767867859704608E-3</c:v>
                </c:pt>
                <c:pt idx="196">
                  <c:v>5.5767867859704608E-3</c:v>
                </c:pt>
                <c:pt idx="197">
                  <c:v>5.5767867859704608E-3</c:v>
                </c:pt>
                <c:pt idx="198">
                  <c:v>5.5767867859704608E-3</c:v>
                </c:pt>
                <c:pt idx="199">
                  <c:v>5.5767867859704608E-3</c:v>
                </c:pt>
                <c:pt idx="200">
                  <c:v>5.5767867859704608E-3</c:v>
                </c:pt>
                <c:pt idx="201">
                  <c:v>5.5767867859704608E-3</c:v>
                </c:pt>
                <c:pt idx="202">
                  <c:v>5.5767867859704608E-3</c:v>
                </c:pt>
                <c:pt idx="203">
                  <c:v>5.5767867859704608E-3</c:v>
                </c:pt>
                <c:pt idx="204">
                  <c:v>5.5767867859704608E-3</c:v>
                </c:pt>
                <c:pt idx="205">
                  <c:v>5.5767867859704608E-3</c:v>
                </c:pt>
                <c:pt idx="206">
                  <c:v>5.5767867859704608E-3</c:v>
                </c:pt>
                <c:pt idx="207">
                  <c:v>5.5767867859704608E-3</c:v>
                </c:pt>
                <c:pt idx="208">
                  <c:v>5.5767867859704608E-3</c:v>
                </c:pt>
                <c:pt idx="209">
                  <c:v>5.5767867859704608E-3</c:v>
                </c:pt>
                <c:pt idx="210">
                  <c:v>5.5767867859704608E-3</c:v>
                </c:pt>
                <c:pt idx="211">
                  <c:v>5.5767867859704608E-3</c:v>
                </c:pt>
                <c:pt idx="212">
                  <c:v>5.5767867859704608E-3</c:v>
                </c:pt>
                <c:pt idx="213">
                  <c:v>5.5767867859704608E-3</c:v>
                </c:pt>
                <c:pt idx="214">
                  <c:v>5.5767867859704608E-3</c:v>
                </c:pt>
                <c:pt idx="215">
                  <c:v>5.5767867859704608E-3</c:v>
                </c:pt>
                <c:pt idx="216">
                  <c:v>5.5767867859704608E-3</c:v>
                </c:pt>
                <c:pt idx="217">
                  <c:v>5.5767867859704608E-3</c:v>
                </c:pt>
                <c:pt idx="218">
                  <c:v>5.5767867859704608E-3</c:v>
                </c:pt>
                <c:pt idx="219">
                  <c:v>5.5767867859704608E-3</c:v>
                </c:pt>
                <c:pt idx="220">
                  <c:v>5.5767867859704608E-3</c:v>
                </c:pt>
                <c:pt idx="221">
                  <c:v>5.5767867859704608E-3</c:v>
                </c:pt>
                <c:pt idx="222">
                  <c:v>5.5767867859704608E-3</c:v>
                </c:pt>
                <c:pt idx="223">
                  <c:v>5.5767867859704608E-3</c:v>
                </c:pt>
                <c:pt idx="224">
                  <c:v>5.5767867859704608E-3</c:v>
                </c:pt>
                <c:pt idx="225">
                  <c:v>5.5767867859704608E-3</c:v>
                </c:pt>
                <c:pt idx="226">
                  <c:v>5.5767867859704608E-3</c:v>
                </c:pt>
                <c:pt idx="227">
                  <c:v>5.5767867859704608E-3</c:v>
                </c:pt>
                <c:pt idx="228">
                  <c:v>5.5767867859704608E-3</c:v>
                </c:pt>
                <c:pt idx="229">
                  <c:v>5.5767867859704608E-3</c:v>
                </c:pt>
                <c:pt idx="230">
                  <c:v>5.5767867859704608E-3</c:v>
                </c:pt>
                <c:pt idx="231">
                  <c:v>5.5767867859704608E-3</c:v>
                </c:pt>
                <c:pt idx="232">
                  <c:v>5.5767867859704608E-3</c:v>
                </c:pt>
                <c:pt idx="233">
                  <c:v>5.5767867859704608E-3</c:v>
                </c:pt>
                <c:pt idx="234">
                  <c:v>5.5767867859704608E-3</c:v>
                </c:pt>
                <c:pt idx="235">
                  <c:v>5.5767867859704608E-3</c:v>
                </c:pt>
                <c:pt idx="236">
                  <c:v>5.5767867859704608E-3</c:v>
                </c:pt>
                <c:pt idx="237">
                  <c:v>5.5767867859704608E-3</c:v>
                </c:pt>
                <c:pt idx="238">
                  <c:v>5.5767867859704608E-3</c:v>
                </c:pt>
                <c:pt idx="239">
                  <c:v>5.5767867859704608E-3</c:v>
                </c:pt>
                <c:pt idx="240">
                  <c:v>5.5767867859704608E-3</c:v>
                </c:pt>
                <c:pt idx="241">
                  <c:v>5.5767867859704608E-3</c:v>
                </c:pt>
                <c:pt idx="242">
                  <c:v>5.5767867859704608E-3</c:v>
                </c:pt>
                <c:pt idx="243">
                  <c:v>5.5767867859704608E-3</c:v>
                </c:pt>
                <c:pt idx="244">
                  <c:v>5.5767867859704608E-3</c:v>
                </c:pt>
                <c:pt idx="245">
                  <c:v>5.5767867859704608E-3</c:v>
                </c:pt>
                <c:pt idx="246">
                  <c:v>5.5767867859704608E-3</c:v>
                </c:pt>
                <c:pt idx="247">
                  <c:v>5.5767867859704608E-3</c:v>
                </c:pt>
                <c:pt idx="248">
                  <c:v>5.5767867859704608E-3</c:v>
                </c:pt>
                <c:pt idx="249">
                  <c:v>5.5767867859704608E-3</c:v>
                </c:pt>
                <c:pt idx="250">
                  <c:v>5.5767867859704608E-3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42369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42387</c:v>
                </c:pt>
                <c:pt idx="12">
                  <c:v>42388</c:v>
                </c:pt>
                <c:pt idx="13">
                  <c:v>42389</c:v>
                </c:pt>
                <c:pt idx="14">
                  <c:v>42390</c:v>
                </c:pt>
                <c:pt idx="15">
                  <c:v>42391</c:v>
                </c:pt>
                <c:pt idx="16">
                  <c:v>42394</c:v>
                </c:pt>
                <c:pt idx="17">
                  <c:v>42395</c:v>
                </c:pt>
                <c:pt idx="18">
                  <c:v>42396</c:v>
                </c:pt>
                <c:pt idx="19">
                  <c:v>42397</c:v>
                </c:pt>
                <c:pt idx="20">
                  <c:v>42398</c:v>
                </c:pt>
                <c:pt idx="21">
                  <c:v>42401</c:v>
                </c:pt>
                <c:pt idx="22">
                  <c:v>42402</c:v>
                </c:pt>
                <c:pt idx="23">
                  <c:v>42403</c:v>
                </c:pt>
                <c:pt idx="24">
                  <c:v>42404</c:v>
                </c:pt>
                <c:pt idx="25">
                  <c:v>42405</c:v>
                </c:pt>
                <c:pt idx="26">
                  <c:v>42408</c:v>
                </c:pt>
                <c:pt idx="27">
                  <c:v>42409</c:v>
                </c:pt>
                <c:pt idx="28">
                  <c:v>42410</c:v>
                </c:pt>
                <c:pt idx="29">
                  <c:v>42411</c:v>
                </c:pt>
                <c:pt idx="30">
                  <c:v>42412</c:v>
                </c:pt>
                <c:pt idx="31">
                  <c:v>42415</c:v>
                </c:pt>
                <c:pt idx="32">
                  <c:v>42416</c:v>
                </c:pt>
                <c:pt idx="33">
                  <c:v>42417</c:v>
                </c:pt>
                <c:pt idx="34">
                  <c:v>42418</c:v>
                </c:pt>
                <c:pt idx="35">
                  <c:v>42419</c:v>
                </c:pt>
                <c:pt idx="36">
                  <c:v>42422</c:v>
                </c:pt>
                <c:pt idx="37">
                  <c:v>42423</c:v>
                </c:pt>
                <c:pt idx="38">
                  <c:v>42424</c:v>
                </c:pt>
                <c:pt idx="39">
                  <c:v>42425</c:v>
                </c:pt>
                <c:pt idx="40">
                  <c:v>42426</c:v>
                </c:pt>
                <c:pt idx="41">
                  <c:v>42429</c:v>
                </c:pt>
                <c:pt idx="42">
                  <c:v>42430</c:v>
                </c:pt>
                <c:pt idx="43">
                  <c:v>42431</c:v>
                </c:pt>
                <c:pt idx="44">
                  <c:v>42432</c:v>
                </c:pt>
                <c:pt idx="45">
                  <c:v>42433</c:v>
                </c:pt>
                <c:pt idx="46">
                  <c:v>42436</c:v>
                </c:pt>
                <c:pt idx="47">
                  <c:v>42437</c:v>
                </c:pt>
                <c:pt idx="48">
                  <c:v>42438</c:v>
                </c:pt>
                <c:pt idx="49">
                  <c:v>42439</c:v>
                </c:pt>
                <c:pt idx="50">
                  <c:v>42440</c:v>
                </c:pt>
                <c:pt idx="51">
                  <c:v>42443</c:v>
                </c:pt>
                <c:pt idx="52">
                  <c:v>42444</c:v>
                </c:pt>
                <c:pt idx="53">
                  <c:v>42445</c:v>
                </c:pt>
                <c:pt idx="54">
                  <c:v>42446</c:v>
                </c:pt>
                <c:pt idx="55">
                  <c:v>42447</c:v>
                </c:pt>
                <c:pt idx="56">
                  <c:v>42450</c:v>
                </c:pt>
                <c:pt idx="57">
                  <c:v>42451</c:v>
                </c:pt>
                <c:pt idx="58">
                  <c:v>42452</c:v>
                </c:pt>
                <c:pt idx="59">
                  <c:v>42453</c:v>
                </c:pt>
                <c:pt idx="60">
                  <c:v>42458</c:v>
                </c:pt>
                <c:pt idx="61">
                  <c:v>42459</c:v>
                </c:pt>
                <c:pt idx="62">
                  <c:v>42460</c:v>
                </c:pt>
                <c:pt idx="63">
                  <c:v>42461</c:v>
                </c:pt>
                <c:pt idx="64">
                  <c:v>42464</c:v>
                </c:pt>
                <c:pt idx="65">
                  <c:v>42465</c:v>
                </c:pt>
                <c:pt idx="66">
                  <c:v>42466</c:v>
                </c:pt>
                <c:pt idx="67">
                  <c:v>42467</c:v>
                </c:pt>
                <c:pt idx="68">
                  <c:v>42468</c:v>
                </c:pt>
                <c:pt idx="69">
                  <c:v>42471</c:v>
                </c:pt>
                <c:pt idx="70">
                  <c:v>42472</c:v>
                </c:pt>
                <c:pt idx="71">
                  <c:v>42473</c:v>
                </c:pt>
                <c:pt idx="72">
                  <c:v>42474</c:v>
                </c:pt>
                <c:pt idx="73">
                  <c:v>42475</c:v>
                </c:pt>
                <c:pt idx="74">
                  <c:v>42478</c:v>
                </c:pt>
                <c:pt idx="75">
                  <c:v>42479</c:v>
                </c:pt>
                <c:pt idx="76">
                  <c:v>42480</c:v>
                </c:pt>
                <c:pt idx="77">
                  <c:v>42481</c:v>
                </c:pt>
                <c:pt idx="78">
                  <c:v>42482</c:v>
                </c:pt>
                <c:pt idx="79">
                  <c:v>42485</c:v>
                </c:pt>
                <c:pt idx="80">
                  <c:v>42486</c:v>
                </c:pt>
                <c:pt idx="81">
                  <c:v>42487</c:v>
                </c:pt>
                <c:pt idx="82">
                  <c:v>42488</c:v>
                </c:pt>
                <c:pt idx="83">
                  <c:v>42489</c:v>
                </c:pt>
                <c:pt idx="84">
                  <c:v>42493</c:v>
                </c:pt>
                <c:pt idx="85">
                  <c:v>42494</c:v>
                </c:pt>
                <c:pt idx="86">
                  <c:v>42495</c:v>
                </c:pt>
                <c:pt idx="87">
                  <c:v>42496</c:v>
                </c:pt>
                <c:pt idx="88">
                  <c:v>42499</c:v>
                </c:pt>
                <c:pt idx="89">
                  <c:v>42500</c:v>
                </c:pt>
                <c:pt idx="90">
                  <c:v>42501</c:v>
                </c:pt>
                <c:pt idx="91">
                  <c:v>42502</c:v>
                </c:pt>
                <c:pt idx="92">
                  <c:v>42503</c:v>
                </c:pt>
                <c:pt idx="93">
                  <c:v>42506</c:v>
                </c:pt>
                <c:pt idx="94">
                  <c:v>42507</c:v>
                </c:pt>
                <c:pt idx="95">
                  <c:v>42508</c:v>
                </c:pt>
                <c:pt idx="96">
                  <c:v>42509</c:v>
                </c:pt>
                <c:pt idx="97">
                  <c:v>42510</c:v>
                </c:pt>
                <c:pt idx="98">
                  <c:v>42513</c:v>
                </c:pt>
                <c:pt idx="99">
                  <c:v>42514</c:v>
                </c:pt>
                <c:pt idx="100">
                  <c:v>42515</c:v>
                </c:pt>
                <c:pt idx="101">
                  <c:v>42516</c:v>
                </c:pt>
                <c:pt idx="102">
                  <c:v>42517</c:v>
                </c:pt>
                <c:pt idx="103">
                  <c:v>42521</c:v>
                </c:pt>
                <c:pt idx="104">
                  <c:v>42522</c:v>
                </c:pt>
                <c:pt idx="105">
                  <c:v>42523</c:v>
                </c:pt>
                <c:pt idx="106">
                  <c:v>42524</c:v>
                </c:pt>
                <c:pt idx="107">
                  <c:v>42527</c:v>
                </c:pt>
                <c:pt idx="108">
                  <c:v>42528</c:v>
                </c:pt>
                <c:pt idx="109">
                  <c:v>42529</c:v>
                </c:pt>
                <c:pt idx="110">
                  <c:v>42530</c:v>
                </c:pt>
                <c:pt idx="111">
                  <c:v>42531</c:v>
                </c:pt>
                <c:pt idx="112">
                  <c:v>42534</c:v>
                </c:pt>
                <c:pt idx="113">
                  <c:v>42535</c:v>
                </c:pt>
                <c:pt idx="114">
                  <c:v>42536</c:v>
                </c:pt>
                <c:pt idx="115">
                  <c:v>42537</c:v>
                </c:pt>
                <c:pt idx="116">
                  <c:v>42538</c:v>
                </c:pt>
                <c:pt idx="117">
                  <c:v>42541</c:v>
                </c:pt>
                <c:pt idx="118">
                  <c:v>42542</c:v>
                </c:pt>
                <c:pt idx="119">
                  <c:v>42543</c:v>
                </c:pt>
                <c:pt idx="120">
                  <c:v>42544</c:v>
                </c:pt>
                <c:pt idx="121">
                  <c:v>42545</c:v>
                </c:pt>
                <c:pt idx="122">
                  <c:v>42548</c:v>
                </c:pt>
                <c:pt idx="123">
                  <c:v>42549</c:v>
                </c:pt>
                <c:pt idx="124">
                  <c:v>42550</c:v>
                </c:pt>
                <c:pt idx="125">
                  <c:v>42551</c:v>
                </c:pt>
                <c:pt idx="126">
                  <c:v>42552</c:v>
                </c:pt>
                <c:pt idx="127">
                  <c:v>42555</c:v>
                </c:pt>
                <c:pt idx="128">
                  <c:v>42556</c:v>
                </c:pt>
                <c:pt idx="129">
                  <c:v>42557</c:v>
                </c:pt>
                <c:pt idx="130">
                  <c:v>42558</c:v>
                </c:pt>
                <c:pt idx="131">
                  <c:v>42559</c:v>
                </c:pt>
                <c:pt idx="132">
                  <c:v>42562</c:v>
                </c:pt>
                <c:pt idx="133">
                  <c:v>42563</c:v>
                </c:pt>
                <c:pt idx="134">
                  <c:v>42564</c:v>
                </c:pt>
                <c:pt idx="135">
                  <c:v>42565</c:v>
                </c:pt>
                <c:pt idx="136">
                  <c:v>42566</c:v>
                </c:pt>
                <c:pt idx="137">
                  <c:v>42569</c:v>
                </c:pt>
                <c:pt idx="138">
                  <c:v>42570</c:v>
                </c:pt>
                <c:pt idx="139">
                  <c:v>42571</c:v>
                </c:pt>
                <c:pt idx="140">
                  <c:v>42572</c:v>
                </c:pt>
                <c:pt idx="141">
                  <c:v>42573</c:v>
                </c:pt>
                <c:pt idx="142">
                  <c:v>42576</c:v>
                </c:pt>
                <c:pt idx="143">
                  <c:v>42577</c:v>
                </c:pt>
                <c:pt idx="144">
                  <c:v>42578</c:v>
                </c:pt>
                <c:pt idx="145">
                  <c:v>42579</c:v>
                </c:pt>
                <c:pt idx="146">
                  <c:v>42580</c:v>
                </c:pt>
                <c:pt idx="147">
                  <c:v>42583</c:v>
                </c:pt>
                <c:pt idx="148">
                  <c:v>42584</c:v>
                </c:pt>
                <c:pt idx="149">
                  <c:v>42585</c:v>
                </c:pt>
                <c:pt idx="150">
                  <c:v>42586</c:v>
                </c:pt>
                <c:pt idx="151">
                  <c:v>42587</c:v>
                </c:pt>
                <c:pt idx="152">
                  <c:v>42590</c:v>
                </c:pt>
                <c:pt idx="153">
                  <c:v>42591</c:v>
                </c:pt>
                <c:pt idx="154">
                  <c:v>42592</c:v>
                </c:pt>
                <c:pt idx="155">
                  <c:v>42593</c:v>
                </c:pt>
                <c:pt idx="156">
                  <c:v>42594</c:v>
                </c:pt>
                <c:pt idx="157">
                  <c:v>42597</c:v>
                </c:pt>
                <c:pt idx="158">
                  <c:v>42598</c:v>
                </c:pt>
                <c:pt idx="159">
                  <c:v>42599</c:v>
                </c:pt>
                <c:pt idx="160">
                  <c:v>42600</c:v>
                </c:pt>
                <c:pt idx="161">
                  <c:v>42601</c:v>
                </c:pt>
                <c:pt idx="162">
                  <c:v>42604</c:v>
                </c:pt>
                <c:pt idx="163">
                  <c:v>42605</c:v>
                </c:pt>
                <c:pt idx="164">
                  <c:v>42606</c:v>
                </c:pt>
                <c:pt idx="165">
                  <c:v>42607</c:v>
                </c:pt>
                <c:pt idx="166">
                  <c:v>42608</c:v>
                </c:pt>
                <c:pt idx="167">
                  <c:v>42612</c:v>
                </c:pt>
                <c:pt idx="168">
                  <c:v>42613</c:v>
                </c:pt>
                <c:pt idx="169">
                  <c:v>42614</c:v>
                </c:pt>
                <c:pt idx="170">
                  <c:v>42615</c:v>
                </c:pt>
                <c:pt idx="171">
                  <c:v>42618</c:v>
                </c:pt>
                <c:pt idx="172">
                  <c:v>42619</c:v>
                </c:pt>
                <c:pt idx="173">
                  <c:v>42620</c:v>
                </c:pt>
                <c:pt idx="174">
                  <c:v>42621</c:v>
                </c:pt>
                <c:pt idx="175">
                  <c:v>42622</c:v>
                </c:pt>
                <c:pt idx="176">
                  <c:v>42625</c:v>
                </c:pt>
                <c:pt idx="177">
                  <c:v>42626</c:v>
                </c:pt>
                <c:pt idx="178">
                  <c:v>42627</c:v>
                </c:pt>
                <c:pt idx="179">
                  <c:v>42628</c:v>
                </c:pt>
                <c:pt idx="180">
                  <c:v>42629</c:v>
                </c:pt>
                <c:pt idx="181">
                  <c:v>42632</c:v>
                </c:pt>
                <c:pt idx="182">
                  <c:v>42633</c:v>
                </c:pt>
                <c:pt idx="183">
                  <c:v>42634</c:v>
                </c:pt>
                <c:pt idx="184">
                  <c:v>42635</c:v>
                </c:pt>
                <c:pt idx="185">
                  <c:v>42636</c:v>
                </c:pt>
                <c:pt idx="186">
                  <c:v>42639</c:v>
                </c:pt>
                <c:pt idx="187">
                  <c:v>42640</c:v>
                </c:pt>
                <c:pt idx="188">
                  <c:v>42641</c:v>
                </c:pt>
                <c:pt idx="189">
                  <c:v>42642</c:v>
                </c:pt>
                <c:pt idx="190">
                  <c:v>42643</c:v>
                </c:pt>
                <c:pt idx="191">
                  <c:v>42646</c:v>
                </c:pt>
                <c:pt idx="192">
                  <c:v>42647</c:v>
                </c:pt>
                <c:pt idx="193">
                  <c:v>42648</c:v>
                </c:pt>
                <c:pt idx="194">
                  <c:v>42649</c:v>
                </c:pt>
                <c:pt idx="195">
                  <c:v>42650</c:v>
                </c:pt>
                <c:pt idx="196">
                  <c:v>42653</c:v>
                </c:pt>
                <c:pt idx="197">
                  <c:v>42654</c:v>
                </c:pt>
                <c:pt idx="198">
                  <c:v>42655</c:v>
                </c:pt>
                <c:pt idx="199">
                  <c:v>42656</c:v>
                </c:pt>
                <c:pt idx="200">
                  <c:v>42657</c:v>
                </c:pt>
                <c:pt idx="201">
                  <c:v>42660</c:v>
                </c:pt>
                <c:pt idx="202">
                  <c:v>42661</c:v>
                </c:pt>
                <c:pt idx="203">
                  <c:v>42662</c:v>
                </c:pt>
                <c:pt idx="204">
                  <c:v>42663</c:v>
                </c:pt>
                <c:pt idx="205">
                  <c:v>42664</c:v>
                </c:pt>
                <c:pt idx="206">
                  <c:v>42667</c:v>
                </c:pt>
                <c:pt idx="207">
                  <c:v>42668</c:v>
                </c:pt>
                <c:pt idx="208">
                  <c:v>42669</c:v>
                </c:pt>
                <c:pt idx="209">
                  <c:v>42670</c:v>
                </c:pt>
                <c:pt idx="210">
                  <c:v>42671</c:v>
                </c:pt>
                <c:pt idx="211">
                  <c:v>42674</c:v>
                </c:pt>
                <c:pt idx="212">
                  <c:v>42675</c:v>
                </c:pt>
                <c:pt idx="213">
                  <c:v>42676</c:v>
                </c:pt>
                <c:pt idx="214">
                  <c:v>42677</c:v>
                </c:pt>
                <c:pt idx="215">
                  <c:v>42678</c:v>
                </c:pt>
                <c:pt idx="216">
                  <c:v>42681</c:v>
                </c:pt>
                <c:pt idx="217">
                  <c:v>42682</c:v>
                </c:pt>
                <c:pt idx="218">
                  <c:v>42683</c:v>
                </c:pt>
                <c:pt idx="219">
                  <c:v>42684</c:v>
                </c:pt>
                <c:pt idx="220">
                  <c:v>42685</c:v>
                </c:pt>
                <c:pt idx="221">
                  <c:v>42688</c:v>
                </c:pt>
                <c:pt idx="222">
                  <c:v>42689</c:v>
                </c:pt>
                <c:pt idx="223">
                  <c:v>42690</c:v>
                </c:pt>
                <c:pt idx="224">
                  <c:v>42691</c:v>
                </c:pt>
                <c:pt idx="225">
                  <c:v>42692</c:v>
                </c:pt>
                <c:pt idx="226">
                  <c:v>42695</c:v>
                </c:pt>
                <c:pt idx="227">
                  <c:v>42696</c:v>
                </c:pt>
                <c:pt idx="228">
                  <c:v>42697</c:v>
                </c:pt>
                <c:pt idx="229">
                  <c:v>42698</c:v>
                </c:pt>
                <c:pt idx="230">
                  <c:v>42699</c:v>
                </c:pt>
                <c:pt idx="231">
                  <c:v>42702</c:v>
                </c:pt>
                <c:pt idx="232">
                  <c:v>42703</c:v>
                </c:pt>
                <c:pt idx="233">
                  <c:v>42704</c:v>
                </c:pt>
                <c:pt idx="234">
                  <c:v>42705</c:v>
                </c:pt>
                <c:pt idx="235">
                  <c:v>42706</c:v>
                </c:pt>
                <c:pt idx="236">
                  <c:v>42709</c:v>
                </c:pt>
                <c:pt idx="237">
                  <c:v>42710</c:v>
                </c:pt>
                <c:pt idx="238">
                  <c:v>42711</c:v>
                </c:pt>
                <c:pt idx="239">
                  <c:v>42712</c:v>
                </c:pt>
                <c:pt idx="240">
                  <c:v>42713</c:v>
                </c:pt>
                <c:pt idx="241">
                  <c:v>42716</c:v>
                </c:pt>
                <c:pt idx="242">
                  <c:v>42717</c:v>
                </c:pt>
                <c:pt idx="243">
                  <c:v>42718</c:v>
                </c:pt>
                <c:pt idx="244">
                  <c:v>42719</c:v>
                </c:pt>
                <c:pt idx="245">
                  <c:v>42720</c:v>
                </c:pt>
                <c:pt idx="246">
                  <c:v>42723</c:v>
                </c:pt>
                <c:pt idx="247">
                  <c:v>42724</c:v>
                </c:pt>
                <c:pt idx="248">
                  <c:v>42725</c:v>
                </c:pt>
                <c:pt idx="249">
                  <c:v>42726</c:v>
                </c:pt>
                <c:pt idx="250">
                  <c:v>42727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6.2861147448070379E-3</c:v>
                </c:pt>
                <c:pt idx="1">
                  <c:v>6.270567830640757E-3</c:v>
                </c:pt>
                <c:pt idx="2">
                  <c:v>6.2666811020991864E-3</c:v>
                </c:pt>
                <c:pt idx="3">
                  <c:v>6.2627943735576157E-3</c:v>
                </c:pt>
                <c:pt idx="4">
                  <c:v>6.258907645016046E-3</c:v>
                </c:pt>
                <c:pt idx="5">
                  <c:v>6.2550209164744753E-3</c:v>
                </c:pt>
                <c:pt idx="6">
                  <c:v>6.2433607308497643E-3</c:v>
                </c:pt>
                <c:pt idx="7">
                  <c:v>6.2394740023081945E-3</c:v>
                </c:pt>
                <c:pt idx="8">
                  <c:v>6.2355872737666239E-3</c:v>
                </c:pt>
                <c:pt idx="9">
                  <c:v>6.2317005452250541E-3</c:v>
                </c:pt>
                <c:pt idx="10">
                  <c:v>6.2278138166834834E-3</c:v>
                </c:pt>
                <c:pt idx="11">
                  <c:v>6.2161536310587724E-3</c:v>
                </c:pt>
                <c:pt idx="12">
                  <c:v>6.2122669025172026E-3</c:v>
                </c:pt>
                <c:pt idx="13">
                  <c:v>6.208380173975632E-3</c:v>
                </c:pt>
                <c:pt idx="14">
                  <c:v>6.2044934454340613E-3</c:v>
                </c:pt>
                <c:pt idx="15">
                  <c:v>6.2006067168924916E-3</c:v>
                </c:pt>
                <c:pt idx="16">
                  <c:v>6.1889465312677805E-3</c:v>
                </c:pt>
                <c:pt idx="17">
                  <c:v>6.1850598027262099E-3</c:v>
                </c:pt>
                <c:pt idx="18">
                  <c:v>6.1811730741846401E-3</c:v>
                </c:pt>
                <c:pt idx="19">
                  <c:v>6.1772863456430694E-3</c:v>
                </c:pt>
                <c:pt idx="20">
                  <c:v>6.1733996171014997E-3</c:v>
                </c:pt>
                <c:pt idx="21">
                  <c:v>6.1617394314767886E-3</c:v>
                </c:pt>
                <c:pt idx="22">
                  <c:v>6.157852702935218E-3</c:v>
                </c:pt>
                <c:pt idx="23">
                  <c:v>6.1539659743936482E-3</c:v>
                </c:pt>
                <c:pt idx="24">
                  <c:v>6.1500792458520775E-3</c:v>
                </c:pt>
                <c:pt idx="25">
                  <c:v>6.1461925173105069E-3</c:v>
                </c:pt>
                <c:pt idx="26">
                  <c:v>6.1345323316857967E-3</c:v>
                </c:pt>
                <c:pt idx="27">
                  <c:v>6.1306456031442261E-3</c:v>
                </c:pt>
                <c:pt idx="28">
                  <c:v>6.1267588746026554E-3</c:v>
                </c:pt>
                <c:pt idx="29">
                  <c:v>6.1228721460610857E-3</c:v>
                </c:pt>
                <c:pt idx="30">
                  <c:v>6.118985417519515E-3</c:v>
                </c:pt>
                <c:pt idx="31">
                  <c:v>6.107325231894804E-3</c:v>
                </c:pt>
                <c:pt idx="32">
                  <c:v>6.1034385033532342E-3</c:v>
                </c:pt>
                <c:pt idx="33">
                  <c:v>6.0995517748116635E-3</c:v>
                </c:pt>
                <c:pt idx="34">
                  <c:v>6.0956650462700938E-3</c:v>
                </c:pt>
                <c:pt idx="35">
                  <c:v>6.0917783177285231E-3</c:v>
                </c:pt>
                <c:pt idx="36">
                  <c:v>6.0801181321038121E-3</c:v>
                </c:pt>
                <c:pt idx="37">
                  <c:v>6.0762314035622423E-3</c:v>
                </c:pt>
                <c:pt idx="38">
                  <c:v>6.0723446750206717E-3</c:v>
                </c:pt>
                <c:pt idx="39">
                  <c:v>6.068457946479101E-3</c:v>
                </c:pt>
                <c:pt idx="40">
                  <c:v>6.0645712179375312E-3</c:v>
                </c:pt>
                <c:pt idx="41">
                  <c:v>6.0529110323128202E-3</c:v>
                </c:pt>
                <c:pt idx="42">
                  <c:v>6.0490243037712495E-3</c:v>
                </c:pt>
                <c:pt idx="43">
                  <c:v>6.0451375752296798E-3</c:v>
                </c:pt>
                <c:pt idx="44">
                  <c:v>6.0412508466881091E-3</c:v>
                </c:pt>
                <c:pt idx="45">
                  <c:v>6.0373641181465394E-3</c:v>
                </c:pt>
                <c:pt idx="46">
                  <c:v>6.0257039325218283E-3</c:v>
                </c:pt>
                <c:pt idx="47">
                  <c:v>6.0218172039802577E-3</c:v>
                </c:pt>
                <c:pt idx="48">
                  <c:v>6.0179304754386879E-3</c:v>
                </c:pt>
                <c:pt idx="49">
                  <c:v>6.0140437468971172E-3</c:v>
                </c:pt>
                <c:pt idx="50">
                  <c:v>6.0101570183555466E-3</c:v>
                </c:pt>
                <c:pt idx="51">
                  <c:v>5.9984968327308364E-3</c:v>
                </c:pt>
                <c:pt idx="52">
                  <c:v>5.9946101041892658E-3</c:v>
                </c:pt>
                <c:pt idx="53">
                  <c:v>5.9907233756476951E-3</c:v>
                </c:pt>
                <c:pt idx="54">
                  <c:v>5.9868366471061253E-3</c:v>
                </c:pt>
                <c:pt idx="55">
                  <c:v>5.9829499185645547E-3</c:v>
                </c:pt>
                <c:pt idx="56">
                  <c:v>5.9712897329398437E-3</c:v>
                </c:pt>
                <c:pt idx="57">
                  <c:v>5.9674030043982739E-3</c:v>
                </c:pt>
                <c:pt idx="58">
                  <c:v>5.9635162758567032E-3</c:v>
                </c:pt>
                <c:pt idx="59">
                  <c:v>5.9596295473151335E-3</c:v>
                </c:pt>
                <c:pt idx="60">
                  <c:v>5.940195904607282E-3</c:v>
                </c:pt>
                <c:pt idx="61">
                  <c:v>5.9363091760657113E-3</c:v>
                </c:pt>
                <c:pt idx="62">
                  <c:v>5.9324224475241407E-3</c:v>
                </c:pt>
                <c:pt idx="63">
                  <c:v>5.9285357189825709E-3</c:v>
                </c:pt>
                <c:pt idx="64">
                  <c:v>5.9168755333578599E-3</c:v>
                </c:pt>
                <c:pt idx="65">
                  <c:v>5.9129888048162892E-3</c:v>
                </c:pt>
                <c:pt idx="66">
                  <c:v>5.9091020762747195E-3</c:v>
                </c:pt>
                <c:pt idx="67">
                  <c:v>5.9052153477331488E-3</c:v>
                </c:pt>
                <c:pt idx="68">
                  <c:v>5.901328619191579E-3</c:v>
                </c:pt>
                <c:pt idx="69">
                  <c:v>5.889668433566868E-3</c:v>
                </c:pt>
                <c:pt idx="70">
                  <c:v>5.8857817050252973E-3</c:v>
                </c:pt>
                <c:pt idx="71">
                  <c:v>5.8818949764837276E-3</c:v>
                </c:pt>
                <c:pt idx="72">
                  <c:v>5.8780082479421569E-3</c:v>
                </c:pt>
                <c:pt idx="73">
                  <c:v>5.8741215194005863E-3</c:v>
                </c:pt>
                <c:pt idx="74">
                  <c:v>5.8624613337758761E-3</c:v>
                </c:pt>
                <c:pt idx="75">
                  <c:v>5.8585746052343055E-3</c:v>
                </c:pt>
                <c:pt idx="76">
                  <c:v>5.8546878766927348E-3</c:v>
                </c:pt>
                <c:pt idx="77">
                  <c:v>5.850801148151165E-3</c:v>
                </c:pt>
                <c:pt idx="78">
                  <c:v>5.8469144196095944E-3</c:v>
                </c:pt>
                <c:pt idx="79">
                  <c:v>5.8352542339848833E-3</c:v>
                </c:pt>
                <c:pt idx="80">
                  <c:v>5.8313675054433136E-3</c:v>
                </c:pt>
                <c:pt idx="81">
                  <c:v>5.8274807769017429E-3</c:v>
                </c:pt>
                <c:pt idx="82">
                  <c:v>5.8235940483601732E-3</c:v>
                </c:pt>
                <c:pt idx="83">
                  <c:v>5.8197073198186025E-3</c:v>
                </c:pt>
                <c:pt idx="84">
                  <c:v>5.8041604056523217E-3</c:v>
                </c:pt>
                <c:pt idx="85">
                  <c:v>5.800273677110751E-3</c:v>
                </c:pt>
                <c:pt idx="86">
                  <c:v>5.7963869485691804E-3</c:v>
                </c:pt>
                <c:pt idx="87">
                  <c:v>5.7925002200276106E-3</c:v>
                </c:pt>
                <c:pt idx="88">
                  <c:v>5.7808400344028996E-3</c:v>
                </c:pt>
                <c:pt idx="89">
                  <c:v>5.7769533058613289E-3</c:v>
                </c:pt>
                <c:pt idx="90">
                  <c:v>5.7730665773197591E-3</c:v>
                </c:pt>
                <c:pt idx="91">
                  <c:v>5.7691798487781885E-3</c:v>
                </c:pt>
                <c:pt idx="92">
                  <c:v>5.7652931202366187E-3</c:v>
                </c:pt>
                <c:pt idx="93">
                  <c:v>5.7536329346119077E-3</c:v>
                </c:pt>
                <c:pt idx="94">
                  <c:v>5.749746206070337E-3</c:v>
                </c:pt>
                <c:pt idx="95">
                  <c:v>5.7458594775287673E-3</c:v>
                </c:pt>
                <c:pt idx="96">
                  <c:v>5.7419727489871966E-3</c:v>
                </c:pt>
                <c:pt idx="97">
                  <c:v>5.738086020445626E-3</c:v>
                </c:pt>
                <c:pt idx="98">
                  <c:v>5.7264258348209158E-3</c:v>
                </c:pt>
                <c:pt idx="99">
                  <c:v>5.7225391062793451E-3</c:v>
                </c:pt>
                <c:pt idx="100">
                  <c:v>5.7186523777377745E-3</c:v>
                </c:pt>
                <c:pt idx="101">
                  <c:v>5.7147656491962047E-3</c:v>
                </c:pt>
                <c:pt idx="102">
                  <c:v>5.7108789206546341E-3</c:v>
                </c:pt>
                <c:pt idx="103">
                  <c:v>5.6953320064883533E-3</c:v>
                </c:pt>
                <c:pt idx="104">
                  <c:v>5.6914452779467826E-3</c:v>
                </c:pt>
                <c:pt idx="105">
                  <c:v>5.6875585494052128E-3</c:v>
                </c:pt>
                <c:pt idx="106">
                  <c:v>5.6836718208636422E-3</c:v>
                </c:pt>
                <c:pt idx="107">
                  <c:v>5.6720116352389311E-3</c:v>
                </c:pt>
                <c:pt idx="108">
                  <c:v>5.6681249066973614E-3</c:v>
                </c:pt>
                <c:pt idx="109">
                  <c:v>5.6642381781557907E-3</c:v>
                </c:pt>
                <c:pt idx="110">
                  <c:v>5.6603514496142201E-3</c:v>
                </c:pt>
                <c:pt idx="111">
                  <c:v>5.6564647210726503E-3</c:v>
                </c:pt>
                <c:pt idx="112">
                  <c:v>5.6448045354479393E-3</c:v>
                </c:pt>
                <c:pt idx="113">
                  <c:v>5.6409178069063686E-3</c:v>
                </c:pt>
                <c:pt idx="114">
                  <c:v>5.6370310783647988E-3</c:v>
                </c:pt>
                <c:pt idx="115">
                  <c:v>5.6331443498232282E-3</c:v>
                </c:pt>
                <c:pt idx="116">
                  <c:v>5.6292576212816584E-3</c:v>
                </c:pt>
                <c:pt idx="117">
                  <c:v>5.6175974356569474E-3</c:v>
                </c:pt>
                <c:pt idx="118">
                  <c:v>5.6137107071153767E-3</c:v>
                </c:pt>
                <c:pt idx="119">
                  <c:v>5.6098239785738069E-3</c:v>
                </c:pt>
                <c:pt idx="120">
                  <c:v>5.6059372500322363E-3</c:v>
                </c:pt>
                <c:pt idx="121">
                  <c:v>5.6020505214906657E-3</c:v>
                </c:pt>
                <c:pt idx="122">
                  <c:v>5.5903903358659555E-3</c:v>
                </c:pt>
                <c:pt idx="123">
                  <c:v>5.5865036073243848E-3</c:v>
                </c:pt>
                <c:pt idx="124">
                  <c:v>5.5826168787828142E-3</c:v>
                </c:pt>
                <c:pt idx="125">
                  <c:v>5.5787301502412444E-3</c:v>
                </c:pt>
                <c:pt idx="126">
                  <c:v>5.5748434216996738E-3</c:v>
                </c:pt>
                <c:pt idx="127">
                  <c:v>5.5631832360749627E-3</c:v>
                </c:pt>
                <c:pt idx="128">
                  <c:v>5.5592965075333929E-3</c:v>
                </c:pt>
                <c:pt idx="129">
                  <c:v>5.5554097789918223E-3</c:v>
                </c:pt>
                <c:pt idx="130">
                  <c:v>5.5515230504502525E-3</c:v>
                </c:pt>
                <c:pt idx="131">
                  <c:v>5.5476363219086819E-3</c:v>
                </c:pt>
                <c:pt idx="132">
                  <c:v>5.5359761362839708E-3</c:v>
                </c:pt>
                <c:pt idx="133">
                  <c:v>5.5320894077424011E-3</c:v>
                </c:pt>
                <c:pt idx="134">
                  <c:v>5.5282026792008304E-3</c:v>
                </c:pt>
                <c:pt idx="135">
                  <c:v>5.5243159506592598E-3</c:v>
                </c:pt>
                <c:pt idx="136">
                  <c:v>5.52042922211769E-3</c:v>
                </c:pt>
                <c:pt idx="137">
                  <c:v>5.5087690364929789E-3</c:v>
                </c:pt>
                <c:pt idx="138">
                  <c:v>5.5048823079514083E-3</c:v>
                </c:pt>
                <c:pt idx="139">
                  <c:v>5.5009955794098385E-3</c:v>
                </c:pt>
                <c:pt idx="140">
                  <c:v>5.4971088508682679E-3</c:v>
                </c:pt>
                <c:pt idx="141">
                  <c:v>5.4932221223266981E-3</c:v>
                </c:pt>
                <c:pt idx="142">
                  <c:v>5.4815619367019871E-3</c:v>
                </c:pt>
                <c:pt idx="143">
                  <c:v>5.4776752081604164E-3</c:v>
                </c:pt>
                <c:pt idx="144">
                  <c:v>5.4737884796188466E-3</c:v>
                </c:pt>
                <c:pt idx="145">
                  <c:v>5.469901751077276E-3</c:v>
                </c:pt>
                <c:pt idx="146">
                  <c:v>5.4660150225357054E-3</c:v>
                </c:pt>
                <c:pt idx="147">
                  <c:v>5.4543548369109952E-3</c:v>
                </c:pt>
                <c:pt idx="148">
                  <c:v>5.4504681083694245E-3</c:v>
                </c:pt>
                <c:pt idx="149">
                  <c:v>5.4465813798278539E-3</c:v>
                </c:pt>
                <c:pt idx="150">
                  <c:v>5.4426946512862841E-3</c:v>
                </c:pt>
                <c:pt idx="151">
                  <c:v>5.4388079227447135E-3</c:v>
                </c:pt>
                <c:pt idx="152">
                  <c:v>5.4271477371200024E-3</c:v>
                </c:pt>
                <c:pt idx="153">
                  <c:v>5.4232610085784326E-3</c:v>
                </c:pt>
                <c:pt idx="154">
                  <c:v>5.419374280036862E-3</c:v>
                </c:pt>
                <c:pt idx="155">
                  <c:v>5.4154875514952922E-3</c:v>
                </c:pt>
                <c:pt idx="156">
                  <c:v>5.4116008229537216E-3</c:v>
                </c:pt>
                <c:pt idx="157">
                  <c:v>5.3999406373290105E-3</c:v>
                </c:pt>
                <c:pt idx="158">
                  <c:v>5.3960539087874407E-3</c:v>
                </c:pt>
                <c:pt idx="159">
                  <c:v>5.3921671802458701E-3</c:v>
                </c:pt>
                <c:pt idx="160">
                  <c:v>5.3882804517042995E-3</c:v>
                </c:pt>
                <c:pt idx="161">
                  <c:v>5.3843937231627297E-3</c:v>
                </c:pt>
                <c:pt idx="162">
                  <c:v>5.3727335375380186E-3</c:v>
                </c:pt>
                <c:pt idx="163">
                  <c:v>5.368846808996448E-3</c:v>
                </c:pt>
                <c:pt idx="164">
                  <c:v>5.3649600804548782E-3</c:v>
                </c:pt>
                <c:pt idx="165">
                  <c:v>5.3610733519133076E-3</c:v>
                </c:pt>
                <c:pt idx="166">
                  <c:v>5.3571866233717378E-3</c:v>
                </c:pt>
                <c:pt idx="167">
                  <c:v>5.3416397092054561E-3</c:v>
                </c:pt>
                <c:pt idx="168">
                  <c:v>5.3377529806638863E-3</c:v>
                </c:pt>
                <c:pt idx="169">
                  <c:v>5.3338662521223157E-3</c:v>
                </c:pt>
                <c:pt idx="170">
                  <c:v>5.329979523580745E-3</c:v>
                </c:pt>
                <c:pt idx="171">
                  <c:v>5.3183193379560349E-3</c:v>
                </c:pt>
                <c:pt idx="172">
                  <c:v>5.3144326094144642E-3</c:v>
                </c:pt>
                <c:pt idx="173">
                  <c:v>5.3105458808728936E-3</c:v>
                </c:pt>
                <c:pt idx="174">
                  <c:v>5.3066591523313238E-3</c:v>
                </c:pt>
                <c:pt idx="175">
                  <c:v>5.3027724237897532E-3</c:v>
                </c:pt>
                <c:pt idx="176">
                  <c:v>5.2911122381650421E-3</c:v>
                </c:pt>
                <c:pt idx="177">
                  <c:v>5.2872255096234723E-3</c:v>
                </c:pt>
                <c:pt idx="178">
                  <c:v>5.2833387810819017E-3</c:v>
                </c:pt>
                <c:pt idx="179">
                  <c:v>5.2794520525403319E-3</c:v>
                </c:pt>
                <c:pt idx="180">
                  <c:v>5.2755653239987613E-3</c:v>
                </c:pt>
                <c:pt idx="181">
                  <c:v>5.2639051383740502E-3</c:v>
                </c:pt>
                <c:pt idx="182">
                  <c:v>5.2600184098324804E-3</c:v>
                </c:pt>
                <c:pt idx="183">
                  <c:v>5.2561316812909098E-3</c:v>
                </c:pt>
                <c:pt idx="184">
                  <c:v>5.2522449527493392E-3</c:v>
                </c:pt>
                <c:pt idx="185">
                  <c:v>5.2483582242077694E-3</c:v>
                </c:pt>
                <c:pt idx="186">
                  <c:v>5.2366980385830583E-3</c:v>
                </c:pt>
                <c:pt idx="187">
                  <c:v>5.2328113100414877E-3</c:v>
                </c:pt>
                <c:pt idx="188">
                  <c:v>5.2289245814999179E-3</c:v>
                </c:pt>
                <c:pt idx="189">
                  <c:v>5.2250378529583473E-3</c:v>
                </c:pt>
                <c:pt idx="190">
                  <c:v>5.2211511244167775E-3</c:v>
                </c:pt>
                <c:pt idx="191">
                  <c:v>5.2094909387920664E-3</c:v>
                </c:pt>
                <c:pt idx="192">
                  <c:v>5.2056042102504958E-3</c:v>
                </c:pt>
                <c:pt idx="193">
                  <c:v>5.201717481708926E-3</c:v>
                </c:pt>
                <c:pt idx="194">
                  <c:v>5.1978307531673554E-3</c:v>
                </c:pt>
                <c:pt idx="195">
                  <c:v>5.1939440246257847E-3</c:v>
                </c:pt>
                <c:pt idx="196">
                  <c:v>5.1822838390010745E-3</c:v>
                </c:pt>
                <c:pt idx="197">
                  <c:v>5.1783971104595039E-3</c:v>
                </c:pt>
                <c:pt idx="198">
                  <c:v>5.1745103819179333E-3</c:v>
                </c:pt>
                <c:pt idx="199">
                  <c:v>5.1706236533763635E-3</c:v>
                </c:pt>
                <c:pt idx="200">
                  <c:v>5.1667369248347928E-3</c:v>
                </c:pt>
                <c:pt idx="201">
                  <c:v>5.1550767392100818E-3</c:v>
                </c:pt>
                <c:pt idx="202">
                  <c:v>5.151190010668512E-3</c:v>
                </c:pt>
                <c:pt idx="203">
                  <c:v>5.1473032821269414E-3</c:v>
                </c:pt>
                <c:pt idx="204">
                  <c:v>5.1434165535853716E-3</c:v>
                </c:pt>
                <c:pt idx="205">
                  <c:v>5.139529825043801E-3</c:v>
                </c:pt>
                <c:pt idx="206">
                  <c:v>5.1278696394190899E-3</c:v>
                </c:pt>
                <c:pt idx="207">
                  <c:v>5.1239829108775201E-3</c:v>
                </c:pt>
                <c:pt idx="208">
                  <c:v>5.1200961823359495E-3</c:v>
                </c:pt>
                <c:pt idx="209">
                  <c:v>5.1162094537943788E-3</c:v>
                </c:pt>
                <c:pt idx="210">
                  <c:v>5.1123227252528091E-3</c:v>
                </c:pt>
                <c:pt idx="211">
                  <c:v>5.100662539628098E-3</c:v>
                </c:pt>
                <c:pt idx="212">
                  <c:v>5.0967758110865274E-3</c:v>
                </c:pt>
                <c:pt idx="213">
                  <c:v>5.0928890825449576E-3</c:v>
                </c:pt>
                <c:pt idx="214">
                  <c:v>5.089002354003387E-3</c:v>
                </c:pt>
                <c:pt idx="215">
                  <c:v>5.0851156254618172E-3</c:v>
                </c:pt>
                <c:pt idx="216">
                  <c:v>5.0734554398371061E-3</c:v>
                </c:pt>
                <c:pt idx="217">
                  <c:v>5.0695687112955355E-3</c:v>
                </c:pt>
                <c:pt idx="218">
                  <c:v>5.0656819827539657E-3</c:v>
                </c:pt>
                <c:pt idx="219">
                  <c:v>5.0617952542123951E-3</c:v>
                </c:pt>
                <c:pt idx="220">
                  <c:v>5.0579085256708244E-3</c:v>
                </c:pt>
                <c:pt idx="221">
                  <c:v>5.0462483400461142E-3</c:v>
                </c:pt>
                <c:pt idx="222">
                  <c:v>5.0423616115045436E-3</c:v>
                </c:pt>
                <c:pt idx="223">
                  <c:v>5.038474882962973E-3</c:v>
                </c:pt>
                <c:pt idx="224">
                  <c:v>5.0345881544214032E-3</c:v>
                </c:pt>
                <c:pt idx="225">
                  <c:v>5.0307014258798325E-3</c:v>
                </c:pt>
                <c:pt idx="226">
                  <c:v>5.0190412402551215E-3</c:v>
                </c:pt>
                <c:pt idx="227">
                  <c:v>5.0151545117135517E-3</c:v>
                </c:pt>
                <c:pt idx="228">
                  <c:v>5.0112677831719811E-3</c:v>
                </c:pt>
                <c:pt idx="229">
                  <c:v>5.0073810546304113E-3</c:v>
                </c:pt>
                <c:pt idx="230">
                  <c:v>5.0034943260888406E-3</c:v>
                </c:pt>
                <c:pt idx="231">
                  <c:v>4.9918341404641296E-3</c:v>
                </c:pt>
                <c:pt idx="232">
                  <c:v>4.9879474119225598E-3</c:v>
                </c:pt>
                <c:pt idx="233">
                  <c:v>4.9840606833809892E-3</c:v>
                </c:pt>
                <c:pt idx="234">
                  <c:v>4.9801739548394185E-3</c:v>
                </c:pt>
                <c:pt idx="235">
                  <c:v>4.9762872262978488E-3</c:v>
                </c:pt>
                <c:pt idx="236">
                  <c:v>4.9646270406731377E-3</c:v>
                </c:pt>
                <c:pt idx="237">
                  <c:v>4.9607403121315671E-3</c:v>
                </c:pt>
                <c:pt idx="238">
                  <c:v>4.9568535835899973E-3</c:v>
                </c:pt>
                <c:pt idx="239">
                  <c:v>4.9529668550484266E-3</c:v>
                </c:pt>
                <c:pt idx="240">
                  <c:v>4.9490801265068569E-3</c:v>
                </c:pt>
                <c:pt idx="241">
                  <c:v>4.9374199408821458E-3</c:v>
                </c:pt>
                <c:pt idx="242">
                  <c:v>4.9335332123405752E-3</c:v>
                </c:pt>
                <c:pt idx="243">
                  <c:v>4.9296464837990054E-3</c:v>
                </c:pt>
                <c:pt idx="244">
                  <c:v>4.9257597552574348E-3</c:v>
                </c:pt>
                <c:pt idx="245">
                  <c:v>4.9218730267158641E-3</c:v>
                </c:pt>
                <c:pt idx="246">
                  <c:v>4.9102128410911539E-3</c:v>
                </c:pt>
                <c:pt idx="247">
                  <c:v>4.9063261125495833E-3</c:v>
                </c:pt>
                <c:pt idx="248">
                  <c:v>4.9024393840080126E-3</c:v>
                </c:pt>
                <c:pt idx="249">
                  <c:v>4.8985526554664429E-3</c:v>
                </c:pt>
                <c:pt idx="250">
                  <c:v>4.8946659269248722E-3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42369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42387</c:v>
                </c:pt>
                <c:pt idx="12">
                  <c:v>42388</c:v>
                </c:pt>
                <c:pt idx="13">
                  <c:v>42389</c:v>
                </c:pt>
                <c:pt idx="14">
                  <c:v>42390</c:v>
                </c:pt>
                <c:pt idx="15">
                  <c:v>42391</c:v>
                </c:pt>
                <c:pt idx="16">
                  <c:v>42394</c:v>
                </c:pt>
                <c:pt idx="17">
                  <c:v>42395</c:v>
                </c:pt>
                <c:pt idx="18">
                  <c:v>42396</c:v>
                </c:pt>
                <c:pt idx="19">
                  <c:v>42397</c:v>
                </c:pt>
                <c:pt idx="20">
                  <c:v>42398</c:v>
                </c:pt>
                <c:pt idx="21">
                  <c:v>42401</c:v>
                </c:pt>
                <c:pt idx="22">
                  <c:v>42402</c:v>
                </c:pt>
                <c:pt idx="23">
                  <c:v>42403</c:v>
                </c:pt>
                <c:pt idx="24">
                  <c:v>42404</c:v>
                </c:pt>
                <c:pt idx="25">
                  <c:v>42405</c:v>
                </c:pt>
                <c:pt idx="26">
                  <c:v>42408</c:v>
                </c:pt>
                <c:pt idx="27">
                  <c:v>42409</c:v>
                </c:pt>
                <c:pt idx="28">
                  <c:v>42410</c:v>
                </c:pt>
                <c:pt idx="29">
                  <c:v>42411</c:v>
                </c:pt>
                <c:pt idx="30">
                  <c:v>42412</c:v>
                </c:pt>
                <c:pt idx="31">
                  <c:v>42415</c:v>
                </c:pt>
                <c:pt idx="32">
                  <c:v>42416</c:v>
                </c:pt>
                <c:pt idx="33">
                  <c:v>42417</c:v>
                </c:pt>
                <c:pt idx="34">
                  <c:v>42418</c:v>
                </c:pt>
                <c:pt idx="35">
                  <c:v>42419</c:v>
                </c:pt>
                <c:pt idx="36">
                  <c:v>42422</c:v>
                </c:pt>
                <c:pt idx="37">
                  <c:v>42423</c:v>
                </c:pt>
                <c:pt idx="38">
                  <c:v>42424</c:v>
                </c:pt>
                <c:pt idx="39">
                  <c:v>42425</c:v>
                </c:pt>
                <c:pt idx="40">
                  <c:v>42426</c:v>
                </c:pt>
                <c:pt idx="41">
                  <c:v>42429</c:v>
                </c:pt>
                <c:pt idx="42">
                  <c:v>42430</c:v>
                </c:pt>
                <c:pt idx="43">
                  <c:v>42431</c:v>
                </c:pt>
                <c:pt idx="44">
                  <c:v>42432</c:v>
                </c:pt>
                <c:pt idx="45">
                  <c:v>42433</c:v>
                </c:pt>
                <c:pt idx="46">
                  <c:v>42436</c:v>
                </c:pt>
                <c:pt idx="47">
                  <c:v>42437</c:v>
                </c:pt>
                <c:pt idx="48">
                  <c:v>42438</c:v>
                </c:pt>
                <c:pt idx="49">
                  <c:v>42439</c:v>
                </c:pt>
                <c:pt idx="50">
                  <c:v>42440</c:v>
                </c:pt>
                <c:pt idx="51">
                  <c:v>42443</c:v>
                </c:pt>
                <c:pt idx="52">
                  <c:v>42444</c:v>
                </c:pt>
                <c:pt idx="53">
                  <c:v>42445</c:v>
                </c:pt>
                <c:pt idx="54">
                  <c:v>42446</c:v>
                </c:pt>
                <c:pt idx="55">
                  <c:v>42447</c:v>
                </c:pt>
                <c:pt idx="56">
                  <c:v>42450</c:v>
                </c:pt>
                <c:pt idx="57">
                  <c:v>42451</c:v>
                </c:pt>
                <c:pt idx="58">
                  <c:v>42452</c:v>
                </c:pt>
                <c:pt idx="59">
                  <c:v>42453</c:v>
                </c:pt>
                <c:pt idx="60">
                  <c:v>42458</c:v>
                </c:pt>
                <c:pt idx="61">
                  <c:v>42459</c:v>
                </c:pt>
                <c:pt idx="62">
                  <c:v>42460</c:v>
                </c:pt>
                <c:pt idx="63">
                  <c:v>42461</c:v>
                </c:pt>
                <c:pt idx="64">
                  <c:v>42464</c:v>
                </c:pt>
                <c:pt idx="65">
                  <c:v>42465</c:v>
                </c:pt>
                <c:pt idx="66">
                  <c:v>42466</c:v>
                </c:pt>
                <c:pt idx="67">
                  <c:v>42467</c:v>
                </c:pt>
                <c:pt idx="68">
                  <c:v>42468</c:v>
                </c:pt>
                <c:pt idx="69">
                  <c:v>42471</c:v>
                </c:pt>
                <c:pt idx="70">
                  <c:v>42472</c:v>
                </c:pt>
                <c:pt idx="71">
                  <c:v>42473</c:v>
                </c:pt>
                <c:pt idx="72">
                  <c:v>42474</c:v>
                </c:pt>
                <c:pt idx="73">
                  <c:v>42475</c:v>
                </c:pt>
                <c:pt idx="74">
                  <c:v>42478</c:v>
                </c:pt>
                <c:pt idx="75">
                  <c:v>42479</c:v>
                </c:pt>
                <c:pt idx="76">
                  <c:v>42480</c:v>
                </c:pt>
                <c:pt idx="77">
                  <c:v>42481</c:v>
                </c:pt>
                <c:pt idx="78">
                  <c:v>42482</c:v>
                </c:pt>
                <c:pt idx="79">
                  <c:v>42485</c:v>
                </c:pt>
                <c:pt idx="80">
                  <c:v>42486</c:v>
                </c:pt>
                <c:pt idx="81">
                  <c:v>42487</c:v>
                </c:pt>
                <c:pt idx="82">
                  <c:v>42488</c:v>
                </c:pt>
                <c:pt idx="83">
                  <c:v>42489</c:v>
                </c:pt>
                <c:pt idx="84">
                  <c:v>42493</c:v>
                </c:pt>
                <c:pt idx="85">
                  <c:v>42494</c:v>
                </c:pt>
                <c:pt idx="86">
                  <c:v>42495</c:v>
                </c:pt>
                <c:pt idx="87">
                  <c:v>42496</c:v>
                </c:pt>
                <c:pt idx="88">
                  <c:v>42499</c:v>
                </c:pt>
                <c:pt idx="89">
                  <c:v>42500</c:v>
                </c:pt>
                <c:pt idx="90">
                  <c:v>42501</c:v>
                </c:pt>
                <c:pt idx="91">
                  <c:v>42502</c:v>
                </c:pt>
                <c:pt idx="92">
                  <c:v>42503</c:v>
                </c:pt>
                <c:pt idx="93">
                  <c:v>42506</c:v>
                </c:pt>
                <c:pt idx="94">
                  <c:v>42507</c:v>
                </c:pt>
                <c:pt idx="95">
                  <c:v>42508</c:v>
                </c:pt>
                <c:pt idx="96">
                  <c:v>42509</c:v>
                </c:pt>
                <c:pt idx="97">
                  <c:v>42510</c:v>
                </c:pt>
                <c:pt idx="98">
                  <c:v>42513</c:v>
                </c:pt>
                <c:pt idx="99">
                  <c:v>42514</c:v>
                </c:pt>
                <c:pt idx="100">
                  <c:v>42515</c:v>
                </c:pt>
                <c:pt idx="101">
                  <c:v>42516</c:v>
                </c:pt>
                <c:pt idx="102">
                  <c:v>42517</c:v>
                </c:pt>
                <c:pt idx="103">
                  <c:v>42521</c:v>
                </c:pt>
                <c:pt idx="104">
                  <c:v>42522</c:v>
                </c:pt>
                <c:pt idx="105">
                  <c:v>42523</c:v>
                </c:pt>
                <c:pt idx="106">
                  <c:v>42524</c:v>
                </c:pt>
                <c:pt idx="107">
                  <c:v>42527</c:v>
                </c:pt>
                <c:pt idx="108">
                  <c:v>42528</c:v>
                </c:pt>
                <c:pt idx="109">
                  <c:v>42529</c:v>
                </c:pt>
                <c:pt idx="110">
                  <c:v>42530</c:v>
                </c:pt>
                <c:pt idx="111">
                  <c:v>42531</c:v>
                </c:pt>
                <c:pt idx="112">
                  <c:v>42534</c:v>
                </c:pt>
                <c:pt idx="113">
                  <c:v>42535</c:v>
                </c:pt>
                <c:pt idx="114">
                  <c:v>42536</c:v>
                </c:pt>
                <c:pt idx="115">
                  <c:v>42537</c:v>
                </c:pt>
                <c:pt idx="116">
                  <c:v>42538</c:v>
                </c:pt>
                <c:pt idx="117">
                  <c:v>42541</c:v>
                </c:pt>
                <c:pt idx="118">
                  <c:v>42542</c:v>
                </c:pt>
                <c:pt idx="119">
                  <c:v>42543</c:v>
                </c:pt>
                <c:pt idx="120">
                  <c:v>42544</c:v>
                </c:pt>
                <c:pt idx="121">
                  <c:v>42545</c:v>
                </c:pt>
                <c:pt idx="122">
                  <c:v>42548</c:v>
                </c:pt>
                <c:pt idx="123">
                  <c:v>42549</c:v>
                </c:pt>
                <c:pt idx="124">
                  <c:v>42550</c:v>
                </c:pt>
                <c:pt idx="125">
                  <c:v>42551</c:v>
                </c:pt>
                <c:pt idx="126">
                  <c:v>42552</c:v>
                </c:pt>
                <c:pt idx="127">
                  <c:v>42555</c:v>
                </c:pt>
                <c:pt idx="128">
                  <c:v>42556</c:v>
                </c:pt>
                <c:pt idx="129">
                  <c:v>42557</c:v>
                </c:pt>
                <c:pt idx="130">
                  <c:v>42558</c:v>
                </c:pt>
                <c:pt idx="131">
                  <c:v>42559</c:v>
                </c:pt>
                <c:pt idx="132">
                  <c:v>42562</c:v>
                </c:pt>
                <c:pt idx="133">
                  <c:v>42563</c:v>
                </c:pt>
                <c:pt idx="134">
                  <c:v>42564</c:v>
                </c:pt>
                <c:pt idx="135">
                  <c:v>42565</c:v>
                </c:pt>
                <c:pt idx="136">
                  <c:v>42566</c:v>
                </c:pt>
                <c:pt idx="137">
                  <c:v>42569</c:v>
                </c:pt>
                <c:pt idx="138">
                  <c:v>42570</c:v>
                </c:pt>
                <c:pt idx="139">
                  <c:v>42571</c:v>
                </c:pt>
                <c:pt idx="140">
                  <c:v>42572</c:v>
                </c:pt>
                <c:pt idx="141">
                  <c:v>42573</c:v>
                </c:pt>
                <c:pt idx="142">
                  <c:v>42576</c:v>
                </c:pt>
                <c:pt idx="143">
                  <c:v>42577</c:v>
                </c:pt>
                <c:pt idx="144">
                  <c:v>42578</c:v>
                </c:pt>
                <c:pt idx="145">
                  <c:v>42579</c:v>
                </c:pt>
                <c:pt idx="146">
                  <c:v>42580</c:v>
                </c:pt>
                <c:pt idx="147">
                  <c:v>42583</c:v>
                </c:pt>
                <c:pt idx="148">
                  <c:v>42584</c:v>
                </c:pt>
                <c:pt idx="149">
                  <c:v>42585</c:v>
                </c:pt>
                <c:pt idx="150">
                  <c:v>42586</c:v>
                </c:pt>
                <c:pt idx="151">
                  <c:v>42587</c:v>
                </c:pt>
                <c:pt idx="152">
                  <c:v>42590</c:v>
                </c:pt>
                <c:pt idx="153">
                  <c:v>42591</c:v>
                </c:pt>
                <c:pt idx="154">
                  <c:v>42592</c:v>
                </c:pt>
                <c:pt idx="155">
                  <c:v>42593</c:v>
                </c:pt>
                <c:pt idx="156">
                  <c:v>42594</c:v>
                </c:pt>
                <c:pt idx="157">
                  <c:v>42597</c:v>
                </c:pt>
                <c:pt idx="158">
                  <c:v>42598</c:v>
                </c:pt>
                <c:pt idx="159">
                  <c:v>42599</c:v>
                </c:pt>
                <c:pt idx="160">
                  <c:v>42600</c:v>
                </c:pt>
                <c:pt idx="161">
                  <c:v>42601</c:v>
                </c:pt>
                <c:pt idx="162">
                  <c:v>42604</c:v>
                </c:pt>
                <c:pt idx="163">
                  <c:v>42605</c:v>
                </c:pt>
                <c:pt idx="164">
                  <c:v>42606</c:v>
                </c:pt>
                <c:pt idx="165">
                  <c:v>42607</c:v>
                </c:pt>
                <c:pt idx="166">
                  <c:v>42608</c:v>
                </c:pt>
                <c:pt idx="167">
                  <c:v>42612</c:v>
                </c:pt>
                <c:pt idx="168">
                  <c:v>42613</c:v>
                </c:pt>
                <c:pt idx="169">
                  <c:v>42614</c:v>
                </c:pt>
                <c:pt idx="170">
                  <c:v>42615</c:v>
                </c:pt>
                <c:pt idx="171">
                  <c:v>42618</c:v>
                </c:pt>
                <c:pt idx="172">
                  <c:v>42619</c:v>
                </c:pt>
                <c:pt idx="173">
                  <c:v>42620</c:v>
                </c:pt>
                <c:pt idx="174">
                  <c:v>42621</c:v>
                </c:pt>
                <c:pt idx="175">
                  <c:v>42622</c:v>
                </c:pt>
                <c:pt idx="176">
                  <c:v>42625</c:v>
                </c:pt>
                <c:pt idx="177">
                  <c:v>42626</c:v>
                </c:pt>
                <c:pt idx="178">
                  <c:v>42627</c:v>
                </c:pt>
                <c:pt idx="179">
                  <c:v>42628</c:v>
                </c:pt>
                <c:pt idx="180">
                  <c:v>42629</c:v>
                </c:pt>
                <c:pt idx="181">
                  <c:v>42632</c:v>
                </c:pt>
                <c:pt idx="182">
                  <c:v>42633</c:v>
                </c:pt>
                <c:pt idx="183">
                  <c:v>42634</c:v>
                </c:pt>
                <c:pt idx="184">
                  <c:v>42635</c:v>
                </c:pt>
                <c:pt idx="185">
                  <c:v>42636</c:v>
                </c:pt>
                <c:pt idx="186">
                  <c:v>42639</c:v>
                </c:pt>
                <c:pt idx="187">
                  <c:v>42640</c:v>
                </c:pt>
                <c:pt idx="188">
                  <c:v>42641</c:v>
                </c:pt>
                <c:pt idx="189">
                  <c:v>42642</c:v>
                </c:pt>
                <c:pt idx="190">
                  <c:v>42643</c:v>
                </c:pt>
                <c:pt idx="191">
                  <c:v>42646</c:v>
                </c:pt>
                <c:pt idx="192">
                  <c:v>42647</c:v>
                </c:pt>
                <c:pt idx="193">
                  <c:v>42648</c:v>
                </c:pt>
                <c:pt idx="194">
                  <c:v>42649</c:v>
                </c:pt>
                <c:pt idx="195">
                  <c:v>42650</c:v>
                </c:pt>
                <c:pt idx="196">
                  <c:v>42653</c:v>
                </c:pt>
                <c:pt idx="197">
                  <c:v>42654</c:v>
                </c:pt>
                <c:pt idx="198">
                  <c:v>42655</c:v>
                </c:pt>
                <c:pt idx="199">
                  <c:v>42656</c:v>
                </c:pt>
                <c:pt idx="200">
                  <c:v>42657</c:v>
                </c:pt>
                <c:pt idx="201">
                  <c:v>42660</c:v>
                </c:pt>
                <c:pt idx="202">
                  <c:v>42661</c:v>
                </c:pt>
                <c:pt idx="203">
                  <c:v>42662</c:v>
                </c:pt>
                <c:pt idx="204">
                  <c:v>42663</c:v>
                </c:pt>
                <c:pt idx="205">
                  <c:v>42664</c:v>
                </c:pt>
                <c:pt idx="206">
                  <c:v>42667</c:v>
                </c:pt>
                <c:pt idx="207">
                  <c:v>42668</c:v>
                </c:pt>
                <c:pt idx="208">
                  <c:v>42669</c:v>
                </c:pt>
                <c:pt idx="209">
                  <c:v>42670</c:v>
                </c:pt>
                <c:pt idx="210">
                  <c:v>42671</c:v>
                </c:pt>
                <c:pt idx="211">
                  <c:v>42674</c:v>
                </c:pt>
                <c:pt idx="212">
                  <c:v>42675</c:v>
                </c:pt>
                <c:pt idx="213">
                  <c:v>42676</c:v>
                </c:pt>
                <c:pt idx="214">
                  <c:v>42677</c:v>
                </c:pt>
                <c:pt idx="215">
                  <c:v>42678</c:v>
                </c:pt>
                <c:pt idx="216">
                  <c:v>42681</c:v>
                </c:pt>
                <c:pt idx="217">
                  <c:v>42682</c:v>
                </c:pt>
                <c:pt idx="218">
                  <c:v>42683</c:v>
                </c:pt>
                <c:pt idx="219">
                  <c:v>42684</c:v>
                </c:pt>
                <c:pt idx="220">
                  <c:v>42685</c:v>
                </c:pt>
                <c:pt idx="221">
                  <c:v>42688</c:v>
                </c:pt>
                <c:pt idx="222">
                  <c:v>42689</c:v>
                </c:pt>
                <c:pt idx="223">
                  <c:v>42690</c:v>
                </c:pt>
                <c:pt idx="224">
                  <c:v>42691</c:v>
                </c:pt>
                <c:pt idx="225">
                  <c:v>42692</c:v>
                </c:pt>
                <c:pt idx="226">
                  <c:v>42695</c:v>
                </c:pt>
                <c:pt idx="227">
                  <c:v>42696</c:v>
                </c:pt>
                <c:pt idx="228">
                  <c:v>42697</c:v>
                </c:pt>
                <c:pt idx="229">
                  <c:v>42698</c:v>
                </c:pt>
                <c:pt idx="230">
                  <c:v>42699</c:v>
                </c:pt>
                <c:pt idx="231">
                  <c:v>42702</c:v>
                </c:pt>
                <c:pt idx="232">
                  <c:v>42703</c:v>
                </c:pt>
                <c:pt idx="233">
                  <c:v>42704</c:v>
                </c:pt>
                <c:pt idx="234">
                  <c:v>42705</c:v>
                </c:pt>
                <c:pt idx="235">
                  <c:v>42706</c:v>
                </c:pt>
                <c:pt idx="236">
                  <c:v>42709</c:v>
                </c:pt>
                <c:pt idx="237">
                  <c:v>42710</c:v>
                </c:pt>
                <c:pt idx="238">
                  <c:v>42711</c:v>
                </c:pt>
                <c:pt idx="239">
                  <c:v>42712</c:v>
                </c:pt>
                <c:pt idx="240">
                  <c:v>42713</c:v>
                </c:pt>
                <c:pt idx="241">
                  <c:v>42716</c:v>
                </c:pt>
                <c:pt idx="242">
                  <c:v>42717</c:v>
                </c:pt>
                <c:pt idx="243">
                  <c:v>42718</c:v>
                </c:pt>
                <c:pt idx="244">
                  <c:v>42719</c:v>
                </c:pt>
                <c:pt idx="245">
                  <c:v>42720</c:v>
                </c:pt>
                <c:pt idx="246">
                  <c:v>42723</c:v>
                </c:pt>
                <c:pt idx="247">
                  <c:v>42724</c:v>
                </c:pt>
                <c:pt idx="248">
                  <c:v>42725</c:v>
                </c:pt>
                <c:pt idx="249">
                  <c:v>42726</c:v>
                </c:pt>
                <c:pt idx="250">
                  <c:v>42727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6.1644569358088319E-3</c:v>
                </c:pt>
                <c:pt idx="1">
                  <c:v>6.1556111160055204E-3</c:v>
                </c:pt>
                <c:pt idx="2">
                  <c:v>6.1533785888654323E-3</c:v>
                </c:pt>
                <c:pt idx="3">
                  <c:v>6.1511376328496408E-3</c:v>
                </c:pt>
                <c:pt idx="4">
                  <c:v>6.1488882479581435E-3</c:v>
                </c:pt>
                <c:pt idx="5">
                  <c:v>6.1466304341909438E-3</c:v>
                </c:pt>
                <c:pt idx="6">
                  <c:v>6.1398064196351203E-3</c:v>
                </c:pt>
                <c:pt idx="7">
                  <c:v>6.1375148903651047E-3</c:v>
                </c:pt>
                <c:pt idx="8">
                  <c:v>6.135214932219385E-3</c:v>
                </c:pt>
                <c:pt idx="9">
                  <c:v>6.132906545197961E-3</c:v>
                </c:pt>
                <c:pt idx="10">
                  <c:v>6.1305897293008321E-3</c:v>
                </c:pt>
                <c:pt idx="11">
                  <c:v>6.1235887083552253E-3</c:v>
                </c:pt>
                <c:pt idx="12">
                  <c:v>6.1212381769552805E-3</c:v>
                </c:pt>
                <c:pt idx="13">
                  <c:v>6.1188792166796324E-3</c:v>
                </c:pt>
                <c:pt idx="14">
                  <c:v>6.116511827528281E-3</c:v>
                </c:pt>
                <c:pt idx="15">
                  <c:v>6.1141360095012254E-3</c:v>
                </c:pt>
                <c:pt idx="16">
                  <c:v>6.1069579821658336E-3</c:v>
                </c:pt>
                <c:pt idx="17">
                  <c:v>6.1045484486359613E-3</c:v>
                </c:pt>
                <c:pt idx="18">
                  <c:v>6.1021304862303848E-3</c:v>
                </c:pt>
                <c:pt idx="19">
                  <c:v>6.0997040949491051E-3</c:v>
                </c:pt>
                <c:pt idx="20">
                  <c:v>6.0972692747921211E-3</c:v>
                </c:pt>
                <c:pt idx="21">
                  <c:v>6.0899142410669451E-3</c:v>
                </c:pt>
                <c:pt idx="22">
                  <c:v>6.0874457054071454E-3</c:v>
                </c:pt>
                <c:pt idx="23">
                  <c:v>6.0849687408716423E-3</c:v>
                </c:pt>
                <c:pt idx="24">
                  <c:v>6.0824833474604333E-3</c:v>
                </c:pt>
                <c:pt idx="25">
                  <c:v>6.0799895251735219E-3</c:v>
                </c:pt>
                <c:pt idx="26">
                  <c:v>6.0724574850585617E-3</c:v>
                </c:pt>
                <c:pt idx="27">
                  <c:v>6.0699299472688345E-3</c:v>
                </c:pt>
                <c:pt idx="28">
                  <c:v>6.0673939806034022E-3</c:v>
                </c:pt>
                <c:pt idx="29">
                  <c:v>6.0648495850622666E-3</c:v>
                </c:pt>
                <c:pt idx="30">
                  <c:v>6.062296760645426E-3</c:v>
                </c:pt>
                <c:pt idx="31">
                  <c:v>6.0545877141406834E-3</c:v>
                </c:pt>
                <c:pt idx="32">
                  <c:v>6.0520011742210278E-3</c:v>
                </c:pt>
                <c:pt idx="33">
                  <c:v>6.0494062054256672E-3</c:v>
                </c:pt>
                <c:pt idx="34">
                  <c:v>6.0468028077546032E-3</c:v>
                </c:pt>
                <c:pt idx="35">
                  <c:v>6.0441909812078351E-3</c:v>
                </c:pt>
                <c:pt idx="36">
                  <c:v>6.0363049283133074E-3</c:v>
                </c:pt>
                <c:pt idx="37">
                  <c:v>6.0336593862637235E-3</c:v>
                </c:pt>
                <c:pt idx="38">
                  <c:v>6.0310054153384363E-3</c:v>
                </c:pt>
                <c:pt idx="39">
                  <c:v>6.028343015537444E-3</c:v>
                </c:pt>
                <c:pt idx="40">
                  <c:v>6.0256721868607484E-3</c:v>
                </c:pt>
                <c:pt idx="41">
                  <c:v>6.0176091275764365E-3</c:v>
                </c:pt>
                <c:pt idx="42">
                  <c:v>6.0149045833969243E-3</c:v>
                </c:pt>
                <c:pt idx="43">
                  <c:v>6.0121916103417087E-3</c:v>
                </c:pt>
                <c:pt idx="44">
                  <c:v>6.0094702084107889E-3</c:v>
                </c:pt>
                <c:pt idx="45">
                  <c:v>6.0067403776041649E-3</c:v>
                </c:pt>
                <c:pt idx="46">
                  <c:v>5.9985003119300698E-3</c:v>
                </c:pt>
                <c:pt idx="47">
                  <c:v>5.9957367656206292E-3</c:v>
                </c:pt>
                <c:pt idx="48">
                  <c:v>5.9929647904354852E-3</c:v>
                </c:pt>
                <c:pt idx="49">
                  <c:v>5.990184386374638E-3</c:v>
                </c:pt>
                <c:pt idx="50">
                  <c:v>5.9873955534380865E-3</c:v>
                </c:pt>
                <c:pt idx="51">
                  <c:v>5.9789784813742064E-3</c:v>
                </c:pt>
                <c:pt idx="52">
                  <c:v>5.9761559329348391E-3</c:v>
                </c:pt>
                <c:pt idx="53">
                  <c:v>5.973324955619766E-3</c:v>
                </c:pt>
                <c:pt idx="54">
                  <c:v>5.9704855494289904E-3</c:v>
                </c:pt>
                <c:pt idx="55">
                  <c:v>5.9676377143625106E-3</c:v>
                </c:pt>
                <c:pt idx="56">
                  <c:v>5.9590436359088471E-3</c:v>
                </c:pt>
                <c:pt idx="57">
                  <c:v>5.9561620853395515E-3</c:v>
                </c:pt>
                <c:pt idx="58">
                  <c:v>5.9532721058945517E-3</c:v>
                </c:pt>
                <c:pt idx="59">
                  <c:v>5.9503736975738478E-3</c:v>
                </c:pt>
                <c:pt idx="60">
                  <c:v>5.935755222834768E-3</c:v>
                </c:pt>
                <c:pt idx="61">
                  <c:v>5.9328062412598408E-3</c:v>
                </c:pt>
                <c:pt idx="62">
                  <c:v>5.9298488308092093E-3</c:v>
                </c:pt>
                <c:pt idx="63">
                  <c:v>5.9268829914828737E-3</c:v>
                </c:pt>
                <c:pt idx="64">
                  <c:v>5.9179349002496419E-3</c:v>
                </c:pt>
                <c:pt idx="65">
                  <c:v>5.9149353454204905E-3</c:v>
                </c:pt>
                <c:pt idx="66">
                  <c:v>5.911927361715634E-3</c:v>
                </c:pt>
                <c:pt idx="67">
                  <c:v>5.9089109491350742E-3</c:v>
                </c:pt>
                <c:pt idx="68">
                  <c:v>5.9058861076788103E-3</c:v>
                </c:pt>
                <c:pt idx="69">
                  <c:v>5.8967610100557951E-3</c:v>
                </c:pt>
                <c:pt idx="70">
                  <c:v>5.8937024530967153E-3</c:v>
                </c:pt>
                <c:pt idx="71">
                  <c:v>5.8906354672619314E-3</c:v>
                </c:pt>
                <c:pt idx="72">
                  <c:v>5.8875600525514432E-3</c:v>
                </c:pt>
                <c:pt idx="73">
                  <c:v>5.8844762089652518E-3</c:v>
                </c:pt>
                <c:pt idx="74">
                  <c:v>5.8751741049524516E-3</c:v>
                </c:pt>
                <c:pt idx="75">
                  <c:v>5.8720565458634444E-3</c:v>
                </c:pt>
                <c:pt idx="76">
                  <c:v>5.8689305578987329E-3</c:v>
                </c:pt>
                <c:pt idx="77">
                  <c:v>5.8657961410583173E-3</c:v>
                </c:pt>
                <c:pt idx="78">
                  <c:v>5.8626532953421967E-3</c:v>
                </c:pt>
                <c:pt idx="79">
                  <c:v>5.853174184939614E-3</c:v>
                </c:pt>
                <c:pt idx="80">
                  <c:v>5.8499976237206775E-3</c:v>
                </c:pt>
                <c:pt idx="81">
                  <c:v>5.8468126336260378E-3</c:v>
                </c:pt>
                <c:pt idx="82">
                  <c:v>5.8436192146556947E-3</c:v>
                </c:pt>
                <c:pt idx="83">
                  <c:v>5.8404173668096466E-3</c:v>
                </c:pt>
                <c:pt idx="84">
                  <c:v>5.8275256866684158E-3</c:v>
                </c:pt>
                <c:pt idx="85">
                  <c:v>5.8242816944438468E-3</c:v>
                </c:pt>
                <c:pt idx="86">
                  <c:v>5.8210292733435753E-3</c:v>
                </c:pt>
                <c:pt idx="87">
                  <c:v>5.8177684233675997E-3</c:v>
                </c:pt>
                <c:pt idx="88">
                  <c:v>5.8079353001854487E-3</c:v>
                </c:pt>
                <c:pt idx="89">
                  <c:v>5.8046407347066573E-3</c:v>
                </c:pt>
                <c:pt idx="90">
                  <c:v>5.8013377403521617E-3</c:v>
                </c:pt>
                <c:pt idx="91">
                  <c:v>5.798026317121961E-3</c:v>
                </c:pt>
                <c:pt idx="92">
                  <c:v>5.7947064650160571E-3</c:v>
                </c:pt>
                <c:pt idx="93">
                  <c:v>5.7846963354441228E-3</c:v>
                </c:pt>
                <c:pt idx="94">
                  <c:v>5.7813427678354021E-3</c:v>
                </c:pt>
                <c:pt idx="95">
                  <c:v>5.777980771350979E-3</c:v>
                </c:pt>
                <c:pt idx="96">
                  <c:v>5.7746103459908509E-3</c:v>
                </c:pt>
                <c:pt idx="97">
                  <c:v>5.7712314917550194E-3</c:v>
                </c:pt>
                <c:pt idx="98">
                  <c:v>5.7610443557933001E-3</c:v>
                </c:pt>
                <c:pt idx="99">
                  <c:v>5.7576317860546528E-3</c:v>
                </c:pt>
                <c:pt idx="100">
                  <c:v>5.7542107874403005E-3</c:v>
                </c:pt>
                <c:pt idx="101">
                  <c:v>5.7507813599502449E-3</c:v>
                </c:pt>
                <c:pt idx="102">
                  <c:v>5.7473435035844851E-3</c:v>
                </c:pt>
                <c:pt idx="103">
                  <c:v>5.733507789364406E-3</c:v>
                </c:pt>
                <c:pt idx="104">
                  <c:v>5.7300277886201271E-3</c:v>
                </c:pt>
                <c:pt idx="105">
                  <c:v>5.7265393590001422E-3</c:v>
                </c:pt>
                <c:pt idx="106">
                  <c:v>5.723042500504455E-3</c:v>
                </c:pt>
                <c:pt idx="107">
                  <c:v>5.7125013517631672E-3</c:v>
                </c:pt>
                <c:pt idx="108">
                  <c:v>5.7089707777646641E-3</c:v>
                </c:pt>
                <c:pt idx="109">
                  <c:v>5.705431774890456E-3</c:v>
                </c:pt>
                <c:pt idx="110">
                  <c:v>5.7018843431405446E-3</c:v>
                </c:pt>
                <c:pt idx="111">
                  <c:v>5.6983284825149281E-3</c:v>
                </c:pt>
                <c:pt idx="112">
                  <c:v>5.6876103273838579E-3</c:v>
                </c:pt>
                <c:pt idx="113">
                  <c:v>5.6840207512554256E-3</c:v>
                </c:pt>
                <c:pt idx="114">
                  <c:v>5.68042274625129E-3</c:v>
                </c:pt>
                <c:pt idx="115">
                  <c:v>5.6768163123714502E-3</c:v>
                </c:pt>
                <c:pt idx="116">
                  <c:v>5.6732014496159071E-3</c:v>
                </c:pt>
                <c:pt idx="117">
                  <c:v>5.6623062880950519E-3</c:v>
                </c:pt>
                <c:pt idx="118">
                  <c:v>5.6586577098366921E-3</c:v>
                </c:pt>
                <c:pt idx="119">
                  <c:v>5.6550007027026273E-3</c:v>
                </c:pt>
                <c:pt idx="120">
                  <c:v>5.65133526669286E-3</c:v>
                </c:pt>
                <c:pt idx="121">
                  <c:v>5.6476614018073886E-3</c:v>
                </c:pt>
                <c:pt idx="122">
                  <c:v>5.6365892338967492E-3</c:v>
                </c:pt>
                <c:pt idx="123">
                  <c:v>5.6328816535084619E-3</c:v>
                </c:pt>
                <c:pt idx="124">
                  <c:v>5.6291656442444705E-3</c:v>
                </c:pt>
                <c:pt idx="125">
                  <c:v>5.6254412061047749E-3</c:v>
                </c:pt>
                <c:pt idx="126">
                  <c:v>5.6217083390893742E-3</c:v>
                </c:pt>
                <c:pt idx="127">
                  <c:v>5.6104591647889515E-3</c:v>
                </c:pt>
                <c:pt idx="128">
                  <c:v>5.6066925822707359E-3</c:v>
                </c:pt>
                <c:pt idx="129">
                  <c:v>5.6029175708768161E-3</c:v>
                </c:pt>
                <c:pt idx="130">
                  <c:v>5.599134130607193E-3</c:v>
                </c:pt>
                <c:pt idx="131">
                  <c:v>5.5953422614618657E-3</c:v>
                </c:pt>
                <c:pt idx="132">
                  <c:v>5.583916080771658E-3</c:v>
                </c:pt>
                <c:pt idx="133">
                  <c:v>5.5800904961235149E-3</c:v>
                </c:pt>
                <c:pt idx="134">
                  <c:v>5.5762564825996667E-3</c:v>
                </c:pt>
                <c:pt idx="135">
                  <c:v>5.5724140402001153E-3</c:v>
                </c:pt>
                <c:pt idx="136">
                  <c:v>5.5685631689248597E-3</c:v>
                </c:pt>
                <c:pt idx="137">
                  <c:v>5.5569599818448678E-3</c:v>
                </c:pt>
                <c:pt idx="138">
                  <c:v>5.5530753950667963E-3</c:v>
                </c:pt>
                <c:pt idx="139">
                  <c:v>5.5491823794130216E-3</c:v>
                </c:pt>
                <c:pt idx="140">
                  <c:v>5.5452809348835409E-3</c:v>
                </c:pt>
                <c:pt idx="141">
                  <c:v>5.5413710614783578E-3</c:v>
                </c:pt>
                <c:pt idx="142">
                  <c:v>5.5295908680085826E-3</c:v>
                </c:pt>
                <c:pt idx="143">
                  <c:v>5.5256472791005828E-3</c:v>
                </c:pt>
                <c:pt idx="144">
                  <c:v>5.5216952613168797E-3</c:v>
                </c:pt>
                <c:pt idx="145">
                  <c:v>5.5177348146574715E-3</c:v>
                </c:pt>
                <c:pt idx="146">
                  <c:v>5.5137659391223601E-3</c:v>
                </c:pt>
                <c:pt idx="147">
                  <c:v>5.5018087392628015E-3</c:v>
                </c:pt>
                <c:pt idx="148">
                  <c:v>5.4978061482248734E-3</c:v>
                </c:pt>
                <c:pt idx="149">
                  <c:v>5.4937951283112419E-3</c:v>
                </c:pt>
                <c:pt idx="150">
                  <c:v>5.4897756795219063E-3</c:v>
                </c:pt>
                <c:pt idx="151">
                  <c:v>5.4857478018568665E-3</c:v>
                </c:pt>
                <c:pt idx="152">
                  <c:v>5.4736135956075238E-3</c:v>
                </c:pt>
                <c:pt idx="153">
                  <c:v>5.4695520024396682E-3</c:v>
                </c:pt>
                <c:pt idx="154">
                  <c:v>5.4654819803961075E-3</c:v>
                </c:pt>
                <c:pt idx="155">
                  <c:v>5.4614035294768444E-3</c:v>
                </c:pt>
                <c:pt idx="156">
                  <c:v>5.4573166496818771E-3</c:v>
                </c:pt>
                <c:pt idx="157">
                  <c:v>5.4450054370427502E-3</c:v>
                </c:pt>
                <c:pt idx="158">
                  <c:v>5.4408848417449663E-3</c:v>
                </c:pt>
                <c:pt idx="159">
                  <c:v>5.436755817571479E-3</c:v>
                </c:pt>
                <c:pt idx="160">
                  <c:v>5.4326183645222867E-3</c:v>
                </c:pt>
                <c:pt idx="161">
                  <c:v>5.4284724825973919E-3</c:v>
                </c:pt>
                <c:pt idx="162">
                  <c:v>5.4159842635684817E-3</c:v>
                </c:pt>
                <c:pt idx="163">
                  <c:v>5.4118046661407694E-3</c:v>
                </c:pt>
                <c:pt idx="164">
                  <c:v>5.4076166398373537E-3</c:v>
                </c:pt>
                <c:pt idx="165">
                  <c:v>5.4034201846582339E-3</c:v>
                </c:pt>
                <c:pt idx="166">
                  <c:v>5.3992153006034108E-3</c:v>
                </c:pt>
                <c:pt idx="167">
                  <c:v>5.3823114756270767E-3</c:v>
                </c:pt>
                <c:pt idx="168">
                  <c:v>5.3780644471937318E-3</c:v>
                </c:pt>
                <c:pt idx="169">
                  <c:v>5.3738089898846845E-3</c:v>
                </c:pt>
                <c:pt idx="170">
                  <c:v>5.3695451036999331E-3</c:v>
                </c:pt>
                <c:pt idx="171">
                  <c:v>5.3567028718914545E-3</c:v>
                </c:pt>
                <c:pt idx="172">
                  <c:v>5.3524052702038872E-3</c:v>
                </c:pt>
                <c:pt idx="173">
                  <c:v>5.3480992396406158E-3</c:v>
                </c:pt>
                <c:pt idx="174">
                  <c:v>5.3437847802016393E-3</c:v>
                </c:pt>
                <c:pt idx="175">
                  <c:v>5.3394618918869603E-3</c:v>
                </c:pt>
                <c:pt idx="176">
                  <c:v>5.3264426536886967E-3</c:v>
                </c:pt>
                <c:pt idx="177">
                  <c:v>5.322086049871202E-3</c:v>
                </c:pt>
                <c:pt idx="178">
                  <c:v>5.3177210171780022E-3</c:v>
                </c:pt>
                <c:pt idx="179">
                  <c:v>5.313347555609099E-3</c:v>
                </c:pt>
                <c:pt idx="180">
                  <c:v>5.3089656651644909E-3</c:v>
                </c:pt>
                <c:pt idx="181">
                  <c:v>5.2957694205764448E-3</c:v>
                </c:pt>
                <c:pt idx="182">
                  <c:v>5.2913538146290209E-3</c:v>
                </c:pt>
                <c:pt idx="183">
                  <c:v>5.2869297798058927E-3</c:v>
                </c:pt>
                <c:pt idx="184">
                  <c:v>5.2824973161070612E-3</c:v>
                </c:pt>
                <c:pt idx="185">
                  <c:v>5.2780564235325265E-3</c:v>
                </c:pt>
                <c:pt idx="186">
                  <c:v>5.2646831725546954E-3</c:v>
                </c:pt>
                <c:pt idx="187">
                  <c:v>5.2602085644773439E-3</c:v>
                </c:pt>
                <c:pt idx="188">
                  <c:v>5.2557255275242892E-3</c:v>
                </c:pt>
                <c:pt idx="189">
                  <c:v>5.2512340616955285E-3</c:v>
                </c:pt>
                <c:pt idx="190">
                  <c:v>5.2467341669910654E-3</c:v>
                </c:pt>
                <c:pt idx="191">
                  <c:v>5.2331839096234501E-3</c:v>
                </c:pt>
                <c:pt idx="192">
                  <c:v>5.2286502994161712E-3</c:v>
                </c:pt>
                <c:pt idx="193">
                  <c:v>5.2241082603331872E-3</c:v>
                </c:pt>
                <c:pt idx="194">
                  <c:v>5.2195577923744999E-3</c:v>
                </c:pt>
                <c:pt idx="195">
                  <c:v>5.2149988955401084E-3</c:v>
                </c:pt>
                <c:pt idx="196">
                  <c:v>5.2012716317827098E-3</c:v>
                </c:pt>
                <c:pt idx="197">
                  <c:v>5.1966790194455017E-3</c:v>
                </c:pt>
                <c:pt idx="198">
                  <c:v>5.1920779782325902E-3</c:v>
                </c:pt>
                <c:pt idx="199">
                  <c:v>5.1874685081439754E-3</c:v>
                </c:pt>
                <c:pt idx="200">
                  <c:v>5.1828506091796556E-3</c:v>
                </c:pt>
                <c:pt idx="201">
                  <c:v>5.1689463390324729E-3</c:v>
                </c:pt>
                <c:pt idx="202">
                  <c:v>5.1642947245653381E-3</c:v>
                </c:pt>
                <c:pt idx="203">
                  <c:v>5.1596346812224974E-3</c:v>
                </c:pt>
                <c:pt idx="204">
                  <c:v>5.1549662090039543E-3</c:v>
                </c:pt>
                <c:pt idx="205">
                  <c:v>5.150289307909707E-3</c:v>
                </c:pt>
                <c:pt idx="206">
                  <c:v>5.1362080313727401E-3</c:v>
                </c:pt>
                <c:pt idx="207">
                  <c:v>5.131497414775677E-3</c:v>
                </c:pt>
                <c:pt idx="208">
                  <c:v>5.1267783693029097E-3</c:v>
                </c:pt>
                <c:pt idx="209">
                  <c:v>5.1220508949544373E-3</c:v>
                </c:pt>
                <c:pt idx="210">
                  <c:v>5.1173149917302617E-3</c:v>
                </c:pt>
                <c:pt idx="211">
                  <c:v>5.1030567088035115E-3</c:v>
                </c:pt>
                <c:pt idx="212">
                  <c:v>5.09828709007652E-3</c:v>
                </c:pt>
                <c:pt idx="213">
                  <c:v>5.0935090424738243E-3</c:v>
                </c:pt>
                <c:pt idx="214">
                  <c:v>5.0887225659954254E-3</c:v>
                </c:pt>
                <c:pt idx="215">
                  <c:v>5.0839276606413223E-3</c:v>
                </c:pt>
                <c:pt idx="216">
                  <c:v>5.069492371324787E-3</c:v>
                </c:pt>
                <c:pt idx="217">
                  <c:v>5.0646637504678672E-3</c:v>
                </c:pt>
                <c:pt idx="218">
                  <c:v>5.059826700735244E-3</c:v>
                </c:pt>
                <c:pt idx="219">
                  <c:v>5.0549812221269167E-3</c:v>
                </c:pt>
                <c:pt idx="220">
                  <c:v>5.0501273146428853E-3</c:v>
                </c:pt>
                <c:pt idx="221">
                  <c:v>5.0355150189365667E-3</c:v>
                </c:pt>
                <c:pt idx="222">
                  <c:v>5.0306273959497194E-3</c:v>
                </c:pt>
                <c:pt idx="223">
                  <c:v>5.025731344087167E-3</c:v>
                </c:pt>
                <c:pt idx="224">
                  <c:v>5.0208268633489123E-3</c:v>
                </c:pt>
                <c:pt idx="225">
                  <c:v>5.0159139537349524E-3</c:v>
                </c:pt>
                <c:pt idx="226">
                  <c:v>5.0011246516388505E-3</c:v>
                </c:pt>
                <c:pt idx="227">
                  <c:v>4.9961780265220749E-3</c:v>
                </c:pt>
                <c:pt idx="228">
                  <c:v>4.9912229725295959E-3</c:v>
                </c:pt>
                <c:pt idx="229">
                  <c:v>4.9862594896614128E-3</c:v>
                </c:pt>
                <c:pt idx="230">
                  <c:v>4.9812875779175246E-3</c:v>
                </c:pt>
                <c:pt idx="231">
                  <c:v>4.9663212694316386E-3</c:v>
                </c:pt>
                <c:pt idx="232">
                  <c:v>4.9613156421849346E-3</c:v>
                </c:pt>
                <c:pt idx="233">
                  <c:v>4.9563015860625273E-3</c:v>
                </c:pt>
                <c:pt idx="234">
                  <c:v>4.9512791010644158E-3</c:v>
                </c:pt>
                <c:pt idx="235">
                  <c:v>4.946248187190601E-3</c:v>
                </c:pt>
                <c:pt idx="236">
                  <c:v>4.9311048723149299E-3</c:v>
                </c:pt>
                <c:pt idx="237">
                  <c:v>4.9260402429382993E-3</c:v>
                </c:pt>
                <c:pt idx="238">
                  <c:v>4.9209671846859628E-3</c:v>
                </c:pt>
                <c:pt idx="239">
                  <c:v>4.9158856975579238E-3</c:v>
                </c:pt>
                <c:pt idx="240">
                  <c:v>4.9107957815541798E-3</c:v>
                </c:pt>
                <c:pt idx="241">
                  <c:v>4.8954754602887254E-3</c:v>
                </c:pt>
                <c:pt idx="242">
                  <c:v>4.8903518287821664E-3</c:v>
                </c:pt>
                <c:pt idx="243">
                  <c:v>4.8852197683999033E-3</c:v>
                </c:pt>
                <c:pt idx="244">
                  <c:v>4.8800792791419351E-3</c:v>
                </c:pt>
                <c:pt idx="245">
                  <c:v>4.8749303610082636E-3</c:v>
                </c:pt>
                <c:pt idx="246">
                  <c:v>4.8594330333530259E-3</c:v>
                </c:pt>
                <c:pt idx="247">
                  <c:v>4.8542503997165377E-3</c:v>
                </c:pt>
                <c:pt idx="248">
                  <c:v>4.8490593372043471E-3</c:v>
                </c:pt>
                <c:pt idx="249">
                  <c:v>4.8438598458164514E-3</c:v>
                </c:pt>
                <c:pt idx="250">
                  <c:v>4.8386519255528516E-3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994624"/>
        <c:axId val="607996160"/>
      </c:lineChart>
      <c:dateAx>
        <c:axId val="6079946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7996160"/>
        <c:crosses val="autoZero"/>
        <c:auto val="1"/>
        <c:lblOffset val="100"/>
        <c:baseTimeUnit val="days"/>
      </c:dateAx>
      <c:valAx>
        <c:axId val="6079961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7994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42369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2.2760243016308793E-3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42398</c:v>
                </c:pt>
                <c:pt idx="1">
                  <c:v>42429</c:v>
                </c:pt>
                <c:pt idx="2">
                  <c:v>42460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2.0868137032965736E-3</c:v>
                </c:pt>
                <c:pt idx="1">
                  <c:v>2.1387035408880093E-3</c:v>
                </c:pt>
                <c:pt idx="2">
                  <c:v>2.286886411923067E-3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42445</c:v>
                </c:pt>
                <c:pt idx="1">
                  <c:v>42536</c:v>
                </c:pt>
                <c:pt idx="2">
                  <c:v>42634</c:v>
                </c:pt>
                <c:pt idx="3">
                  <c:v>42725</c:v>
                </c:pt>
                <c:pt idx="4">
                  <c:v>42809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2.2268962604223598E-3</c:v>
                </c:pt>
                <c:pt idx="1">
                  <c:v>2.4578544422747825E-3</c:v>
                </c:pt>
                <c:pt idx="2">
                  <c:v>2.4353813695700338E-3</c:v>
                </c:pt>
                <c:pt idx="3">
                  <c:v>2.6400884978371453E-3</c:v>
                </c:pt>
                <c:pt idx="4">
                  <c:v>2.7074371371103353E-3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42369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42387</c:v>
                </c:pt>
                <c:pt idx="12">
                  <c:v>42388</c:v>
                </c:pt>
                <c:pt idx="13">
                  <c:v>42389</c:v>
                </c:pt>
                <c:pt idx="14">
                  <c:v>42390</c:v>
                </c:pt>
                <c:pt idx="15">
                  <c:v>42391</c:v>
                </c:pt>
                <c:pt idx="16">
                  <c:v>42394</c:v>
                </c:pt>
                <c:pt idx="17">
                  <c:v>42395</c:v>
                </c:pt>
                <c:pt idx="18">
                  <c:v>42396</c:v>
                </c:pt>
                <c:pt idx="19">
                  <c:v>42397</c:v>
                </c:pt>
                <c:pt idx="20">
                  <c:v>42398</c:v>
                </c:pt>
                <c:pt idx="21">
                  <c:v>42401</c:v>
                </c:pt>
                <c:pt idx="22">
                  <c:v>42402</c:v>
                </c:pt>
                <c:pt idx="23">
                  <c:v>42403</c:v>
                </c:pt>
                <c:pt idx="24">
                  <c:v>42404</c:v>
                </c:pt>
                <c:pt idx="25">
                  <c:v>42405</c:v>
                </c:pt>
                <c:pt idx="26">
                  <c:v>42408</c:v>
                </c:pt>
                <c:pt idx="27">
                  <c:v>42409</c:v>
                </c:pt>
                <c:pt idx="28">
                  <c:v>42410</c:v>
                </c:pt>
                <c:pt idx="29">
                  <c:v>42411</c:v>
                </c:pt>
                <c:pt idx="30">
                  <c:v>42412</c:v>
                </c:pt>
                <c:pt idx="31">
                  <c:v>42415</c:v>
                </c:pt>
                <c:pt idx="32">
                  <c:v>42416</c:v>
                </c:pt>
                <c:pt idx="33">
                  <c:v>42417</c:v>
                </c:pt>
                <c:pt idx="34">
                  <c:v>42418</c:v>
                </c:pt>
                <c:pt idx="35">
                  <c:v>42419</c:v>
                </c:pt>
                <c:pt idx="36">
                  <c:v>42422</c:v>
                </c:pt>
                <c:pt idx="37">
                  <c:v>42423</c:v>
                </c:pt>
                <c:pt idx="38">
                  <c:v>42424</c:v>
                </c:pt>
                <c:pt idx="39">
                  <c:v>42425</c:v>
                </c:pt>
                <c:pt idx="40">
                  <c:v>42426</c:v>
                </c:pt>
                <c:pt idx="41">
                  <c:v>42429</c:v>
                </c:pt>
                <c:pt idx="42">
                  <c:v>42430</c:v>
                </c:pt>
                <c:pt idx="43">
                  <c:v>42431</c:v>
                </c:pt>
                <c:pt idx="44">
                  <c:v>42432</c:v>
                </c:pt>
                <c:pt idx="45">
                  <c:v>42433</c:v>
                </c:pt>
                <c:pt idx="46">
                  <c:v>42436</c:v>
                </c:pt>
                <c:pt idx="47">
                  <c:v>42437</c:v>
                </c:pt>
                <c:pt idx="48">
                  <c:v>42438</c:v>
                </c:pt>
                <c:pt idx="49">
                  <c:v>42439</c:v>
                </c:pt>
                <c:pt idx="50">
                  <c:v>42440</c:v>
                </c:pt>
                <c:pt idx="51">
                  <c:v>42443</c:v>
                </c:pt>
                <c:pt idx="52">
                  <c:v>42444</c:v>
                </c:pt>
                <c:pt idx="53">
                  <c:v>42445</c:v>
                </c:pt>
                <c:pt idx="54">
                  <c:v>42446</c:v>
                </c:pt>
                <c:pt idx="55">
                  <c:v>42447</c:v>
                </c:pt>
                <c:pt idx="56">
                  <c:v>42450</c:v>
                </c:pt>
                <c:pt idx="57">
                  <c:v>42451</c:v>
                </c:pt>
                <c:pt idx="58">
                  <c:v>42452</c:v>
                </c:pt>
                <c:pt idx="59">
                  <c:v>42453</c:v>
                </c:pt>
                <c:pt idx="60">
                  <c:v>42458</c:v>
                </c:pt>
                <c:pt idx="61">
                  <c:v>42459</c:v>
                </c:pt>
                <c:pt idx="62">
                  <c:v>42460</c:v>
                </c:pt>
                <c:pt idx="63">
                  <c:v>42461</c:v>
                </c:pt>
                <c:pt idx="64">
                  <c:v>42464</c:v>
                </c:pt>
                <c:pt idx="65">
                  <c:v>42465</c:v>
                </c:pt>
                <c:pt idx="66">
                  <c:v>42466</c:v>
                </c:pt>
                <c:pt idx="67">
                  <c:v>42467</c:v>
                </c:pt>
                <c:pt idx="68">
                  <c:v>42468</c:v>
                </c:pt>
                <c:pt idx="69">
                  <c:v>42471</c:v>
                </c:pt>
                <c:pt idx="70">
                  <c:v>42472</c:v>
                </c:pt>
                <c:pt idx="71">
                  <c:v>42473</c:v>
                </c:pt>
                <c:pt idx="72">
                  <c:v>42474</c:v>
                </c:pt>
                <c:pt idx="73">
                  <c:v>42475</c:v>
                </c:pt>
                <c:pt idx="74">
                  <c:v>42478</c:v>
                </c:pt>
                <c:pt idx="75">
                  <c:v>42479</c:v>
                </c:pt>
                <c:pt idx="76">
                  <c:v>42480</c:v>
                </c:pt>
                <c:pt idx="77">
                  <c:v>42481</c:v>
                </c:pt>
                <c:pt idx="78">
                  <c:v>42482</c:v>
                </c:pt>
                <c:pt idx="79">
                  <c:v>42485</c:v>
                </c:pt>
                <c:pt idx="80">
                  <c:v>42486</c:v>
                </c:pt>
                <c:pt idx="81">
                  <c:v>42487</c:v>
                </c:pt>
                <c:pt idx="82">
                  <c:v>42488</c:v>
                </c:pt>
                <c:pt idx="83">
                  <c:v>42489</c:v>
                </c:pt>
                <c:pt idx="84">
                  <c:v>42493</c:v>
                </c:pt>
                <c:pt idx="85">
                  <c:v>42494</c:v>
                </c:pt>
                <c:pt idx="86">
                  <c:v>42495</c:v>
                </c:pt>
                <c:pt idx="87">
                  <c:v>42496</c:v>
                </c:pt>
                <c:pt idx="88">
                  <c:v>42499</c:v>
                </c:pt>
                <c:pt idx="89">
                  <c:v>42500</c:v>
                </c:pt>
                <c:pt idx="90">
                  <c:v>42501</c:v>
                </c:pt>
                <c:pt idx="91">
                  <c:v>42502</c:v>
                </c:pt>
                <c:pt idx="92">
                  <c:v>42503</c:v>
                </c:pt>
                <c:pt idx="93">
                  <c:v>42506</c:v>
                </c:pt>
                <c:pt idx="94">
                  <c:v>42507</c:v>
                </c:pt>
                <c:pt idx="95">
                  <c:v>42508</c:v>
                </c:pt>
                <c:pt idx="96">
                  <c:v>42509</c:v>
                </c:pt>
                <c:pt idx="97">
                  <c:v>42510</c:v>
                </c:pt>
                <c:pt idx="98">
                  <c:v>42513</c:v>
                </c:pt>
                <c:pt idx="99">
                  <c:v>42514</c:v>
                </c:pt>
                <c:pt idx="100">
                  <c:v>42515</c:v>
                </c:pt>
                <c:pt idx="101">
                  <c:v>42516</c:v>
                </c:pt>
                <c:pt idx="102">
                  <c:v>42517</c:v>
                </c:pt>
                <c:pt idx="103">
                  <c:v>42521</c:v>
                </c:pt>
                <c:pt idx="104">
                  <c:v>42522</c:v>
                </c:pt>
                <c:pt idx="105">
                  <c:v>42523</c:v>
                </c:pt>
                <c:pt idx="106">
                  <c:v>42524</c:v>
                </c:pt>
                <c:pt idx="107">
                  <c:v>42527</c:v>
                </c:pt>
                <c:pt idx="108">
                  <c:v>42528</c:v>
                </c:pt>
                <c:pt idx="109">
                  <c:v>42529</c:v>
                </c:pt>
                <c:pt idx="110">
                  <c:v>42530</c:v>
                </c:pt>
                <c:pt idx="111">
                  <c:v>42531</c:v>
                </c:pt>
                <c:pt idx="112">
                  <c:v>42534</c:v>
                </c:pt>
                <c:pt idx="113">
                  <c:v>42535</c:v>
                </c:pt>
                <c:pt idx="114">
                  <c:v>42536</c:v>
                </c:pt>
                <c:pt idx="115">
                  <c:v>42537</c:v>
                </c:pt>
                <c:pt idx="116">
                  <c:v>42538</c:v>
                </c:pt>
                <c:pt idx="117">
                  <c:v>42541</c:v>
                </c:pt>
                <c:pt idx="118">
                  <c:v>42542</c:v>
                </c:pt>
                <c:pt idx="119">
                  <c:v>42543</c:v>
                </c:pt>
                <c:pt idx="120">
                  <c:v>42544</c:v>
                </c:pt>
                <c:pt idx="121">
                  <c:v>42545</c:v>
                </c:pt>
                <c:pt idx="122">
                  <c:v>42548</c:v>
                </c:pt>
                <c:pt idx="123">
                  <c:v>42549</c:v>
                </c:pt>
                <c:pt idx="124">
                  <c:v>42550</c:v>
                </c:pt>
                <c:pt idx="125">
                  <c:v>42551</c:v>
                </c:pt>
                <c:pt idx="126">
                  <c:v>42552</c:v>
                </c:pt>
                <c:pt idx="127">
                  <c:v>42555</c:v>
                </c:pt>
                <c:pt idx="128">
                  <c:v>42556</c:v>
                </c:pt>
                <c:pt idx="129">
                  <c:v>42557</c:v>
                </c:pt>
                <c:pt idx="130">
                  <c:v>42558</c:v>
                </c:pt>
                <c:pt idx="131">
                  <c:v>42559</c:v>
                </c:pt>
                <c:pt idx="132">
                  <c:v>42562</c:v>
                </c:pt>
                <c:pt idx="133">
                  <c:v>42563</c:v>
                </c:pt>
                <c:pt idx="134">
                  <c:v>42564</c:v>
                </c:pt>
                <c:pt idx="135">
                  <c:v>42565</c:v>
                </c:pt>
                <c:pt idx="136">
                  <c:v>42566</c:v>
                </c:pt>
                <c:pt idx="137">
                  <c:v>42569</c:v>
                </c:pt>
                <c:pt idx="138">
                  <c:v>42570</c:v>
                </c:pt>
                <c:pt idx="139">
                  <c:v>42571</c:v>
                </c:pt>
                <c:pt idx="140">
                  <c:v>42572</c:v>
                </c:pt>
                <c:pt idx="141">
                  <c:v>42573</c:v>
                </c:pt>
                <c:pt idx="142">
                  <c:v>42576</c:v>
                </c:pt>
                <c:pt idx="143">
                  <c:v>42577</c:v>
                </c:pt>
                <c:pt idx="144">
                  <c:v>42578</c:v>
                </c:pt>
                <c:pt idx="145">
                  <c:v>42579</c:v>
                </c:pt>
                <c:pt idx="146">
                  <c:v>42580</c:v>
                </c:pt>
                <c:pt idx="147">
                  <c:v>42583</c:v>
                </c:pt>
                <c:pt idx="148">
                  <c:v>42584</c:v>
                </c:pt>
                <c:pt idx="149">
                  <c:v>42585</c:v>
                </c:pt>
                <c:pt idx="150">
                  <c:v>42586</c:v>
                </c:pt>
                <c:pt idx="151">
                  <c:v>42587</c:v>
                </c:pt>
                <c:pt idx="152">
                  <c:v>42590</c:v>
                </c:pt>
                <c:pt idx="153">
                  <c:v>42591</c:v>
                </c:pt>
                <c:pt idx="154">
                  <c:v>42592</c:v>
                </c:pt>
                <c:pt idx="155">
                  <c:v>42593</c:v>
                </c:pt>
                <c:pt idx="156">
                  <c:v>42594</c:v>
                </c:pt>
                <c:pt idx="157">
                  <c:v>42597</c:v>
                </c:pt>
                <c:pt idx="158">
                  <c:v>42598</c:v>
                </c:pt>
                <c:pt idx="159">
                  <c:v>42599</c:v>
                </c:pt>
                <c:pt idx="160">
                  <c:v>42600</c:v>
                </c:pt>
                <c:pt idx="161">
                  <c:v>42601</c:v>
                </c:pt>
                <c:pt idx="162">
                  <c:v>42604</c:v>
                </c:pt>
                <c:pt idx="163">
                  <c:v>42605</c:v>
                </c:pt>
                <c:pt idx="164">
                  <c:v>42606</c:v>
                </c:pt>
                <c:pt idx="165">
                  <c:v>42607</c:v>
                </c:pt>
                <c:pt idx="166">
                  <c:v>42608</c:v>
                </c:pt>
                <c:pt idx="167">
                  <c:v>42612</c:v>
                </c:pt>
                <c:pt idx="168">
                  <c:v>42613</c:v>
                </c:pt>
                <c:pt idx="169">
                  <c:v>42614</c:v>
                </c:pt>
                <c:pt idx="170">
                  <c:v>42615</c:v>
                </c:pt>
                <c:pt idx="171">
                  <c:v>42618</c:v>
                </c:pt>
                <c:pt idx="172">
                  <c:v>42619</c:v>
                </c:pt>
                <c:pt idx="173">
                  <c:v>42620</c:v>
                </c:pt>
                <c:pt idx="174">
                  <c:v>42621</c:v>
                </c:pt>
                <c:pt idx="175">
                  <c:v>42622</c:v>
                </c:pt>
                <c:pt idx="176">
                  <c:v>42625</c:v>
                </c:pt>
                <c:pt idx="177">
                  <c:v>42626</c:v>
                </c:pt>
                <c:pt idx="178">
                  <c:v>42627</c:v>
                </c:pt>
                <c:pt idx="179">
                  <c:v>42628</c:v>
                </c:pt>
                <c:pt idx="180">
                  <c:v>42629</c:v>
                </c:pt>
                <c:pt idx="181">
                  <c:v>42632</c:v>
                </c:pt>
                <c:pt idx="182">
                  <c:v>42633</c:v>
                </c:pt>
                <c:pt idx="183">
                  <c:v>42634</c:v>
                </c:pt>
                <c:pt idx="184">
                  <c:v>42635</c:v>
                </c:pt>
                <c:pt idx="185">
                  <c:v>42636</c:v>
                </c:pt>
                <c:pt idx="186">
                  <c:v>42639</c:v>
                </c:pt>
                <c:pt idx="187">
                  <c:v>42640</c:v>
                </c:pt>
                <c:pt idx="188">
                  <c:v>42641</c:v>
                </c:pt>
                <c:pt idx="189">
                  <c:v>42642</c:v>
                </c:pt>
                <c:pt idx="190">
                  <c:v>42643</c:v>
                </c:pt>
                <c:pt idx="191">
                  <c:v>42646</c:v>
                </c:pt>
                <c:pt idx="192">
                  <c:v>42647</c:v>
                </c:pt>
                <c:pt idx="193">
                  <c:v>42648</c:v>
                </c:pt>
                <c:pt idx="194">
                  <c:v>42649</c:v>
                </c:pt>
                <c:pt idx="195">
                  <c:v>42650</c:v>
                </c:pt>
                <c:pt idx="196">
                  <c:v>42653</c:v>
                </c:pt>
                <c:pt idx="197">
                  <c:v>42654</c:v>
                </c:pt>
                <c:pt idx="198">
                  <c:v>42655</c:v>
                </c:pt>
                <c:pt idx="199">
                  <c:v>42656</c:v>
                </c:pt>
                <c:pt idx="200">
                  <c:v>42657</c:v>
                </c:pt>
                <c:pt idx="201">
                  <c:v>42660</c:v>
                </c:pt>
                <c:pt idx="202">
                  <c:v>42661</c:v>
                </c:pt>
                <c:pt idx="203">
                  <c:v>42662</c:v>
                </c:pt>
                <c:pt idx="204">
                  <c:v>42663</c:v>
                </c:pt>
                <c:pt idx="205">
                  <c:v>42664</c:v>
                </c:pt>
                <c:pt idx="206">
                  <c:v>42667</c:v>
                </c:pt>
                <c:pt idx="207">
                  <c:v>42668</c:v>
                </c:pt>
                <c:pt idx="208">
                  <c:v>42669</c:v>
                </c:pt>
                <c:pt idx="209">
                  <c:v>42670</c:v>
                </c:pt>
                <c:pt idx="210">
                  <c:v>42671</c:v>
                </c:pt>
                <c:pt idx="211">
                  <c:v>42674</c:v>
                </c:pt>
                <c:pt idx="212">
                  <c:v>42675</c:v>
                </c:pt>
                <c:pt idx="213">
                  <c:v>42676</c:v>
                </c:pt>
                <c:pt idx="214">
                  <c:v>42677</c:v>
                </c:pt>
                <c:pt idx="215">
                  <c:v>42678</c:v>
                </c:pt>
                <c:pt idx="216">
                  <c:v>42681</c:v>
                </c:pt>
                <c:pt idx="217">
                  <c:v>42682</c:v>
                </c:pt>
                <c:pt idx="218">
                  <c:v>42683</c:v>
                </c:pt>
                <c:pt idx="219">
                  <c:v>42684</c:v>
                </c:pt>
                <c:pt idx="220">
                  <c:v>42685</c:v>
                </c:pt>
                <c:pt idx="221">
                  <c:v>42688</c:v>
                </c:pt>
                <c:pt idx="222">
                  <c:v>42689</c:v>
                </c:pt>
                <c:pt idx="223">
                  <c:v>42690</c:v>
                </c:pt>
                <c:pt idx="224">
                  <c:v>42691</c:v>
                </c:pt>
                <c:pt idx="225">
                  <c:v>42692</c:v>
                </c:pt>
                <c:pt idx="226">
                  <c:v>42695</c:v>
                </c:pt>
                <c:pt idx="227">
                  <c:v>42696</c:v>
                </c:pt>
                <c:pt idx="228">
                  <c:v>42697</c:v>
                </c:pt>
                <c:pt idx="229">
                  <c:v>42698</c:v>
                </c:pt>
                <c:pt idx="230">
                  <c:v>42699</c:v>
                </c:pt>
                <c:pt idx="231">
                  <c:v>42702</c:v>
                </c:pt>
                <c:pt idx="232">
                  <c:v>42703</c:v>
                </c:pt>
                <c:pt idx="233">
                  <c:v>42704</c:v>
                </c:pt>
                <c:pt idx="234">
                  <c:v>42705</c:v>
                </c:pt>
                <c:pt idx="235">
                  <c:v>42706</c:v>
                </c:pt>
                <c:pt idx="236">
                  <c:v>42709</c:v>
                </c:pt>
                <c:pt idx="237">
                  <c:v>42710</c:v>
                </c:pt>
                <c:pt idx="238">
                  <c:v>42711</c:v>
                </c:pt>
                <c:pt idx="239">
                  <c:v>42712</c:v>
                </c:pt>
                <c:pt idx="240">
                  <c:v>42713</c:v>
                </c:pt>
                <c:pt idx="241">
                  <c:v>42716</c:v>
                </c:pt>
                <c:pt idx="242">
                  <c:v>42717</c:v>
                </c:pt>
                <c:pt idx="243">
                  <c:v>42718</c:v>
                </c:pt>
                <c:pt idx="244">
                  <c:v>42719</c:v>
                </c:pt>
                <c:pt idx="245">
                  <c:v>42720</c:v>
                </c:pt>
                <c:pt idx="246">
                  <c:v>42723</c:v>
                </c:pt>
                <c:pt idx="247">
                  <c:v>42724</c:v>
                </c:pt>
                <c:pt idx="248">
                  <c:v>42725</c:v>
                </c:pt>
                <c:pt idx="249">
                  <c:v>42726</c:v>
                </c:pt>
                <c:pt idx="250">
                  <c:v>42727</c:v>
                </c:pt>
                <c:pt idx="251">
                  <c:v>42732</c:v>
                </c:pt>
                <c:pt idx="252">
                  <c:v>42733</c:v>
                </c:pt>
                <c:pt idx="253">
                  <c:v>42734</c:v>
                </c:pt>
                <c:pt idx="254">
                  <c:v>42738</c:v>
                </c:pt>
                <c:pt idx="255">
                  <c:v>42739</c:v>
                </c:pt>
                <c:pt idx="256">
                  <c:v>42740</c:v>
                </c:pt>
                <c:pt idx="257">
                  <c:v>42741</c:v>
                </c:pt>
                <c:pt idx="258">
                  <c:v>42744</c:v>
                </c:pt>
                <c:pt idx="259">
                  <c:v>42745</c:v>
                </c:pt>
                <c:pt idx="260">
                  <c:v>42746</c:v>
                </c:pt>
                <c:pt idx="261">
                  <c:v>42747</c:v>
                </c:pt>
                <c:pt idx="262">
                  <c:v>42748</c:v>
                </c:pt>
                <c:pt idx="263">
                  <c:v>42751</c:v>
                </c:pt>
                <c:pt idx="264">
                  <c:v>42752</c:v>
                </c:pt>
                <c:pt idx="265">
                  <c:v>42753</c:v>
                </c:pt>
                <c:pt idx="266">
                  <c:v>42754</c:v>
                </c:pt>
                <c:pt idx="267">
                  <c:v>42755</c:v>
                </c:pt>
                <c:pt idx="268">
                  <c:v>42758</c:v>
                </c:pt>
                <c:pt idx="269">
                  <c:v>42759</c:v>
                </c:pt>
                <c:pt idx="270">
                  <c:v>42760</c:v>
                </c:pt>
                <c:pt idx="271">
                  <c:v>42761</c:v>
                </c:pt>
                <c:pt idx="272">
                  <c:v>42762</c:v>
                </c:pt>
                <c:pt idx="273">
                  <c:v>42765</c:v>
                </c:pt>
                <c:pt idx="274">
                  <c:v>42766</c:v>
                </c:pt>
                <c:pt idx="275">
                  <c:v>42767</c:v>
                </c:pt>
                <c:pt idx="276">
                  <c:v>42768</c:v>
                </c:pt>
                <c:pt idx="277">
                  <c:v>42769</c:v>
                </c:pt>
                <c:pt idx="278">
                  <c:v>42772</c:v>
                </c:pt>
                <c:pt idx="279">
                  <c:v>42773</c:v>
                </c:pt>
                <c:pt idx="280">
                  <c:v>42774</c:v>
                </c:pt>
                <c:pt idx="281">
                  <c:v>42775</c:v>
                </c:pt>
                <c:pt idx="282">
                  <c:v>42776</c:v>
                </c:pt>
                <c:pt idx="283">
                  <c:v>42779</c:v>
                </c:pt>
                <c:pt idx="284">
                  <c:v>42780</c:v>
                </c:pt>
                <c:pt idx="285">
                  <c:v>42781</c:v>
                </c:pt>
                <c:pt idx="286">
                  <c:v>42782</c:v>
                </c:pt>
              </c:numCache>
            </c:numRef>
          </c:xVal>
          <c:yVal>
            <c:numRef>
              <c:f>'Delta 3M'!$S$3:$S$289</c:f>
              <c:numCache>
                <c:formatCode>0.0000%</c:formatCode>
                <c:ptCount val="287"/>
                <c:pt idx="0">
                  <c:v>2.2760243016308793E-3</c:v>
                </c:pt>
                <c:pt idx="1">
                  <c:v>2.2694394917576895E-3</c:v>
                </c:pt>
                <c:pt idx="2">
                  <c:v>2.2678011000774661E-3</c:v>
                </c:pt>
                <c:pt idx="3">
                  <c:v>2.2661679155892918E-3</c:v>
                </c:pt>
                <c:pt idx="4">
                  <c:v>2.2645409797315765E-3</c:v>
                </c:pt>
                <c:pt idx="5">
                  <c:v>2.26292133394273E-3</c:v>
                </c:pt>
                <c:pt idx="6">
                  <c:v>2.2581165513735025E-3</c:v>
                </c:pt>
                <c:pt idx="7">
                  <c:v>2.2565364802442298E-3</c:v>
                </c:pt>
                <c:pt idx="8">
                  <c:v>2.2549689063758758E-3</c:v>
                </c:pt>
                <c:pt idx="9">
                  <c:v>2.2534148712068493E-3</c:v>
                </c:pt>
                <c:pt idx="10">
                  <c:v>2.2518754161755606E-3</c:v>
                </c:pt>
                <c:pt idx="11">
                  <c:v>2.2473549462922199E-3</c:v>
                </c:pt>
                <c:pt idx="12">
                  <c:v>2.2458842261959809E-3</c:v>
                </c:pt>
                <c:pt idx="13">
                  <c:v>2.244433293429529E-3</c:v>
                </c:pt>
                <c:pt idx="14">
                  <c:v>2.243003189431274E-3</c:v>
                </c:pt>
                <c:pt idx="15">
                  <c:v>2.2415949556396256E-3</c:v>
                </c:pt>
                <c:pt idx="16">
                  <c:v>2.2375118898884183E-3</c:v>
                </c:pt>
                <c:pt idx="17">
                  <c:v>2.2362015513072951E-3</c:v>
                </c:pt>
                <c:pt idx="18">
                  <c:v>2.2349182901248276E-3</c:v>
                </c:pt>
                <c:pt idx="19">
                  <c:v>2.2336631477794262E-3</c:v>
                </c:pt>
                <c:pt idx="20">
                  <c:v>2.2324371657094998E-3</c:v>
                </c:pt>
                <c:pt idx="21">
                  <c:v>2.2289445955366734E-3</c:v>
                </c:pt>
                <c:pt idx="22">
                  <c:v>2.2278456689527482E-3</c:v>
                </c:pt>
                <c:pt idx="23">
                  <c:v>2.2267811098363476E-3</c:v>
                </c:pt>
                <c:pt idx="24">
                  <c:v>2.2257519596258816E-3</c:v>
                </c:pt>
                <c:pt idx="25">
                  <c:v>2.2247592597597603E-3</c:v>
                </c:pt>
                <c:pt idx="26">
                  <c:v>2.2220102766115609E-3</c:v>
                </c:pt>
                <c:pt idx="27">
                  <c:v>2.2211737925069159E-3</c:v>
                </c:pt>
                <c:pt idx="28">
                  <c:v>2.2203789659386644E-3</c:v>
                </c:pt>
                <c:pt idx="29">
                  <c:v>2.2196268383452167E-3</c:v>
                </c:pt>
                <c:pt idx="30">
                  <c:v>2.218918451164982E-3</c:v>
                </c:pt>
                <c:pt idx="31">
                  <c:v>2.2170661464876572E-3</c:v>
                </c:pt>
                <c:pt idx="32">
                  <c:v>2.2165431353443742E-3</c:v>
                </c:pt>
                <c:pt idx="33">
                  <c:v>2.2160690718063545E-3</c:v>
                </c:pt>
                <c:pt idx="34">
                  <c:v>2.2156449973120065E-3</c:v>
                </c:pt>
                <c:pt idx="35">
                  <c:v>2.2152719532997412E-3</c:v>
                </c:pt>
                <c:pt idx="36">
                  <c:v>2.2144694185395374E-3</c:v>
                </c:pt>
                <c:pt idx="37">
                  <c:v>2.2143109108396994E-3</c:v>
                </c:pt>
                <c:pt idx="38">
                  <c:v>2.2142086408139931E-3</c:v>
                </c:pt>
                <c:pt idx="39">
                  <c:v>2.2141636499008279E-3</c:v>
                </c:pt>
                <c:pt idx="40">
                  <c:v>2.2141769795386138E-3</c:v>
                </c:pt>
                <c:pt idx="41">
                  <c:v>2.2145773061417774E-3</c:v>
                </c:pt>
                <c:pt idx="42">
                  <c:v>2.2148343323674666E-3</c:v>
                </c:pt>
                <c:pt idx="43">
                  <c:v>2.2151548863361559E-3</c:v>
                </c:pt>
                <c:pt idx="44">
                  <c:v>2.2155400094862557E-3</c:v>
                </c:pt>
                <c:pt idx="45">
                  <c:v>2.2159907432561755E-3</c:v>
                </c:pt>
                <c:pt idx="46">
                  <c:v>2.2177470226689535E-3</c:v>
                </c:pt>
                <c:pt idx="47">
                  <c:v>2.218470613302252E-3</c:v>
                </c:pt>
                <c:pt idx="48">
                  <c:v>2.2192650217474196E-3</c:v>
                </c:pt>
                <c:pt idx="49">
                  <c:v>2.2201312894428666E-3</c:v>
                </c:pt>
                <c:pt idx="50">
                  <c:v>2.2210704578270023E-3</c:v>
                </c:pt>
                <c:pt idx="51">
                  <c:v>2.2243357814956417E-3</c:v>
                </c:pt>
                <c:pt idx="52">
                  <c:v>2.2255769670186318E-3</c:v>
                </c:pt>
                <c:pt idx="53">
                  <c:v>2.2268962604223598E-3</c:v>
                </c:pt>
                <c:pt idx="54">
                  <c:v>2.2283008381670743E-3</c:v>
                </c:pt>
                <c:pt idx="55">
                  <c:v>2.2297957191393593E-3</c:v>
                </c:pt>
                <c:pt idx="56">
                  <c:v>2.2348002322007563E-3</c:v>
                </c:pt>
                <c:pt idx="57">
                  <c:v>2.2366343768624444E-3</c:v>
                </c:pt>
                <c:pt idx="58">
                  <c:v>2.2385478501412647E-3</c:v>
                </c:pt>
                <c:pt idx="59">
                  <c:v>2.2405384571151286E-3</c:v>
                </c:pt>
                <c:pt idx="60">
                  <c:v>2.2515716751370447E-3</c:v>
                </c:pt>
                <c:pt idx="61">
                  <c:v>2.2539789909173337E-3</c:v>
                </c:pt>
                <c:pt idx="62">
                  <c:v>2.2564480759380535E-3</c:v>
                </c:pt>
                <c:pt idx="63">
                  <c:v>2.2589767352771163E-3</c:v>
                </c:pt>
                <c:pt idx="64">
                  <c:v>2.2668982099834879E-3</c:v>
                </c:pt>
                <c:pt idx="65">
                  <c:v>2.2696432173750472E-3</c:v>
                </c:pt>
                <c:pt idx="66">
                  <c:v>2.2724368244745113E-3</c:v>
                </c:pt>
                <c:pt idx="67">
                  <c:v>2.2752768363597927E-3</c:v>
                </c:pt>
                <c:pt idx="68">
                  <c:v>2.2781610581088041E-3</c:v>
                </c:pt>
                <c:pt idx="69">
                  <c:v>2.2870570333173405E-3</c:v>
                </c:pt>
                <c:pt idx="70">
                  <c:v>2.2900961453003947E-3</c:v>
                </c:pt>
                <c:pt idx="71">
                  <c:v>2.2931684925367401E-3</c:v>
                </c:pt>
                <c:pt idx="72">
                  <c:v>2.2962718801042897E-3</c:v>
                </c:pt>
                <c:pt idx="73">
                  <c:v>2.2994041130809557E-3</c:v>
                </c:pt>
                <c:pt idx="74">
                  <c:v>2.3089519352447758E-3</c:v>
                </c:pt>
                <c:pt idx="75">
                  <c:v>2.3121776006370309E-3</c:v>
                </c:pt>
                <c:pt idx="76">
                  <c:v>2.3154211368279641E-3</c:v>
                </c:pt>
                <c:pt idx="77">
                  <c:v>2.3186803488954881E-3</c:v>
                </c:pt>
                <c:pt idx="78">
                  <c:v>2.3219530419175149E-3</c:v>
                </c:pt>
                <c:pt idx="79">
                  <c:v>2.3318300574897369E-3</c:v>
                </c:pt>
                <c:pt idx="80">
                  <c:v>2.3351347251088991E-3</c:v>
                </c:pt>
                <c:pt idx="81">
                  <c:v>2.3384418990721263E-3</c:v>
                </c:pt>
                <c:pt idx="82">
                  <c:v>2.3417493844573307E-3</c:v>
                </c:pt>
                <c:pt idx="83">
                  <c:v>2.3450549863424245E-3</c:v>
                </c:pt>
                <c:pt idx="84">
                  <c:v>2.3582146604399432E-3</c:v>
                </c:pt>
                <c:pt idx="85">
                  <c:v>2.3614779209931705E-3</c:v>
                </c:pt>
                <c:pt idx="86">
                  <c:v>2.3647261285137614E-3</c:v>
                </c:pt>
                <c:pt idx="87">
                  <c:v>2.3679570880796286E-3</c:v>
                </c:pt>
                <c:pt idx="88">
                  <c:v>2.3775245298280107E-3</c:v>
                </c:pt>
                <c:pt idx="89">
                  <c:v>2.3806645483541063E-3</c:v>
                </c:pt>
                <c:pt idx="90">
                  <c:v>2.3837763443150398E-3</c:v>
                </c:pt>
                <c:pt idx="91">
                  <c:v>2.3868577227887234E-3</c:v>
                </c:pt>
                <c:pt idx="92">
                  <c:v>2.3899064888530698E-3</c:v>
                </c:pt>
                <c:pt idx="93">
                  <c:v>2.3988351633692099E-3</c:v>
                </c:pt>
                <c:pt idx="94">
                  <c:v>2.4017315305753313E-3</c:v>
                </c:pt>
                <c:pt idx="95">
                  <c:v>2.4045843107616772E-3</c:v>
                </c:pt>
                <c:pt idx="96">
                  <c:v>2.4073913090061601E-3</c:v>
                </c:pt>
                <c:pt idx="97">
                  <c:v>2.4101503303866926E-3</c:v>
                </c:pt>
                <c:pt idx="98">
                  <c:v>2.418117584123709E-3</c:v>
                </c:pt>
                <c:pt idx="99">
                  <c:v>2.4206627488275625E-3</c:v>
                </c:pt>
                <c:pt idx="100">
                  <c:v>2.4231489620570269E-3</c:v>
                </c:pt>
                <c:pt idx="101">
                  <c:v>2.4255740288900152E-3</c:v>
                </c:pt>
                <c:pt idx="102">
                  <c:v>2.4279357544044395E-3</c:v>
                </c:pt>
                <c:pt idx="103">
                  <c:v>2.4367053448347427E-3</c:v>
                </c:pt>
                <c:pt idx="104">
                  <c:v>2.4387174399250321E-3</c:v>
                </c:pt>
                <c:pt idx="105">
                  <c:v>2.4406530241642319E-3</c:v>
                </c:pt>
                <c:pt idx="106">
                  <c:v>2.4425099026302542E-3</c:v>
                </c:pt>
                <c:pt idx="107">
                  <c:v>2.4475863541683798E-3</c:v>
                </c:pt>
                <c:pt idx="108">
                  <c:v>2.4491064603208157E-3</c:v>
                </c:pt>
                <c:pt idx="109">
                  <c:v>2.4505368860896362E-3</c:v>
                </c:pt>
                <c:pt idx="110">
                  <c:v>2.4518754365527536E-3</c:v>
                </c:pt>
                <c:pt idx="111">
                  <c:v>2.45311991678808E-3</c:v>
                </c:pt>
                <c:pt idx="112">
                  <c:v>2.456266986906438E-3</c:v>
                </c:pt>
                <c:pt idx="113">
                  <c:v>2.4571132370097247E-3</c:v>
                </c:pt>
                <c:pt idx="114">
                  <c:v>2.4578544422747825E-3</c:v>
                </c:pt>
                <c:pt idx="115">
                  <c:v>2.4585147067100041E-3</c:v>
                </c:pt>
                <c:pt idx="116">
                  <c:v>2.459120353353203E-3</c:v>
                </c:pt>
                <c:pt idx="117">
                  <c:v>2.460620922751081E-3</c:v>
                </c:pt>
                <c:pt idx="118">
                  <c:v>2.4610194344466085E-3</c:v>
                </c:pt>
                <c:pt idx="119">
                  <c:v>2.4613689964603242E-3</c:v>
                </c:pt>
                <c:pt idx="120">
                  <c:v>2.4616707424142694E-3</c:v>
                </c:pt>
                <c:pt idx="121">
                  <c:v>2.4619258059304871E-3</c:v>
                </c:pt>
                <c:pt idx="122">
                  <c:v>2.4624222380731945E-3</c:v>
                </c:pt>
                <c:pt idx="123">
                  <c:v>2.4625019080589225E-3</c:v>
                </c:pt>
                <c:pt idx="124">
                  <c:v>2.4625405637171338E-3</c:v>
                </c:pt>
                <c:pt idx="125">
                  <c:v>2.4625393386698705E-3</c:v>
                </c:pt>
                <c:pt idx="126">
                  <c:v>2.4624993665391744E-3</c:v>
                </c:pt>
                <c:pt idx="127">
                  <c:v>2.4621583038669142E-3</c:v>
                </c:pt>
                <c:pt idx="128">
                  <c:v>2.4619746796229101E-3</c:v>
                </c:pt>
                <c:pt idx="129">
                  <c:v>2.4617579764056848E-3</c:v>
                </c:pt>
                <c:pt idx="130">
                  <c:v>2.4615093278372805E-3</c:v>
                </c:pt>
                <c:pt idx="131">
                  <c:v>2.4612298675397385E-3</c:v>
                </c:pt>
                <c:pt idx="132">
                  <c:v>2.460217952492713E-3</c:v>
                </c:pt>
                <c:pt idx="133">
                  <c:v>2.4598265814990451E-3</c:v>
                </c:pt>
                <c:pt idx="134">
                  <c:v>2.4594100668864508E-3</c:v>
                </c:pt>
                <c:pt idx="135">
                  <c:v>2.4589695422769725E-3</c:v>
                </c:pt>
                <c:pt idx="136">
                  <c:v>2.4585061412926526E-3</c:v>
                </c:pt>
                <c:pt idx="137">
                  <c:v>2.456990016311065E-3</c:v>
                </c:pt>
                <c:pt idx="138">
                  <c:v>2.4564464460478E-3</c:v>
                </c:pt>
                <c:pt idx="139">
                  <c:v>2.4558856675199045E-3</c:v>
                </c:pt>
                <c:pt idx="140">
                  <c:v>2.4553088143494206E-3</c:v>
                </c:pt>
                <c:pt idx="141">
                  <c:v>2.4547170201583901E-3</c:v>
                </c:pt>
                <c:pt idx="142">
                  <c:v>2.4528633276824424E-3</c:v>
                </c:pt>
                <c:pt idx="143">
                  <c:v>2.4522231056296486E-3</c:v>
                </c:pt>
                <c:pt idx="144">
                  <c:v>2.4515736106665194E-3</c:v>
                </c:pt>
                <c:pt idx="145">
                  <c:v>2.4509159764150969E-3</c:v>
                </c:pt>
                <c:pt idx="146">
                  <c:v>2.4502513364974238E-3</c:v>
                </c:pt>
                <c:pt idx="147">
                  <c:v>2.4482267189673197E-3</c:v>
                </c:pt>
                <c:pt idx="148">
                  <c:v>2.4475453926050641E-3</c:v>
                </c:pt>
                <c:pt idx="149">
                  <c:v>2.4468627286867686E-3</c:v>
                </c:pt>
                <c:pt idx="150">
                  <c:v>2.4461798608344759E-3</c:v>
                </c:pt>
                <c:pt idx="151">
                  <c:v>2.4454979226702271E-3</c:v>
                </c:pt>
                <c:pt idx="152">
                  <c:v>2.4434690225261691E-3</c:v>
                </c:pt>
                <c:pt idx="153">
                  <c:v>2.44280213933452E-3</c:v>
                </c:pt>
                <c:pt idx="154">
                  <c:v>2.4421418539411258E-3</c:v>
                </c:pt>
                <c:pt idx="155">
                  <c:v>2.4414892999680298E-3</c:v>
                </c:pt>
                <c:pt idx="156">
                  <c:v>2.4408456110372734E-3</c:v>
                </c:pt>
                <c:pt idx="157">
                  <c:v>2.4389790707194641E-3</c:v>
                </c:pt>
                <c:pt idx="158">
                  <c:v>2.4383821781784887E-3</c:v>
                </c:pt>
                <c:pt idx="159">
                  <c:v>2.437799818790064E-3</c:v>
                </c:pt>
                <c:pt idx="160">
                  <c:v>2.4372331261762322E-3</c:v>
                </c:pt>
                <c:pt idx="161">
                  <c:v>2.4366832339590356E-3</c:v>
                </c:pt>
                <c:pt idx="162">
                  <c:v>2.4351456959076788E-3</c:v>
                </c:pt>
                <c:pt idx="163">
                  <c:v>2.4346743414974444E-3</c:v>
                </c:pt>
                <c:pt idx="164">
                  <c:v>2.4342254555940563E-3</c:v>
                </c:pt>
                <c:pt idx="165">
                  <c:v>2.4338001718195567E-3</c:v>
                </c:pt>
                <c:pt idx="166">
                  <c:v>2.4333996237959877E-3</c:v>
                </c:pt>
                <c:pt idx="167">
                  <c:v>2.43206746165186E-3</c:v>
                </c:pt>
                <c:pt idx="168">
                  <c:v>2.4318075967135764E-3</c:v>
                </c:pt>
                <c:pt idx="169">
                  <c:v>2.4315792692584763E-3</c:v>
                </c:pt>
                <c:pt idx="170">
                  <c:v>2.4313836129086024E-3</c:v>
                </c:pt>
                <c:pt idx="171">
                  <c:v>2.4310040067107574E-3</c:v>
                </c:pt>
                <c:pt idx="172">
                  <c:v>2.4309503710022089E-3</c:v>
                </c:pt>
                <c:pt idx="173">
                  <c:v>2.4309350745090972E-3</c:v>
                </c:pt>
                <c:pt idx="174">
                  <c:v>2.4309592508534646E-3</c:v>
                </c:pt>
                <c:pt idx="175">
                  <c:v>2.4310240336573529E-3</c:v>
                </c:pt>
                <c:pt idx="176">
                  <c:v>2.4314733570465685E-3</c:v>
                </c:pt>
                <c:pt idx="177">
                  <c:v>2.4317119019089638E-3</c:v>
                </c:pt>
                <c:pt idx="178">
                  <c:v>2.431996721341092E-3</c:v>
                </c:pt>
                <c:pt idx="179">
                  <c:v>2.4323289489649939E-3</c:v>
                </c:pt>
                <c:pt idx="180">
                  <c:v>2.4327097184027131E-3</c:v>
                </c:pt>
                <c:pt idx="181">
                  <c:v>2.4341546138191912E-3</c:v>
                </c:pt>
                <c:pt idx="182">
                  <c:v>2.4347408867325987E-3</c:v>
                </c:pt>
                <c:pt idx="183">
                  <c:v>2.4353813695700338E-3</c:v>
                </c:pt>
                <c:pt idx="184">
                  <c:v>2.4360830234831268E-3</c:v>
                </c:pt>
                <c:pt idx="185">
                  <c:v>2.436851329056629E-3</c:v>
                </c:pt>
                <c:pt idx="186">
                  <c:v>2.4395452834568222E-3</c:v>
                </c:pt>
                <c:pt idx="187">
                  <c:v>2.4405693233891935E-3</c:v>
                </c:pt>
                <c:pt idx="188">
                  <c:v>2.4416545788405902E-3</c:v>
                </c:pt>
                <c:pt idx="189">
                  <c:v>2.4427999625827351E-3</c:v>
                </c:pt>
                <c:pt idx="190">
                  <c:v>2.4440043873873523E-3</c:v>
                </c:pt>
                <c:pt idx="191">
                  <c:v>2.4479610358932678E-3</c:v>
                </c:pt>
                <c:pt idx="192">
                  <c:v>2.449390752665005E-3</c:v>
                </c:pt>
                <c:pt idx="193">
                  <c:v>2.4508740743578307E-3</c:v>
                </c:pt>
                <c:pt idx="194">
                  <c:v>2.4524099137434681E-3</c:v>
                </c:pt>
                <c:pt idx="195">
                  <c:v>2.4539971835936402E-3</c:v>
                </c:pt>
                <c:pt idx="196">
                  <c:v>2.4590567036485967E-3</c:v>
                </c:pt>
                <c:pt idx="197">
                  <c:v>2.4608388230741404E-3</c:v>
                </c:pt>
                <c:pt idx="198">
                  <c:v>2.4626669368228351E-3</c:v>
                </c:pt>
                <c:pt idx="199">
                  <c:v>2.464539957666404E-3</c:v>
                </c:pt>
                <c:pt idx="200">
                  <c:v>2.4664567983765707E-3</c:v>
                </c:pt>
                <c:pt idx="201">
                  <c:v>2.4724593674238884E-3</c:v>
                </c:pt>
                <c:pt idx="202">
                  <c:v>2.4745406153176778E-3</c:v>
                </c:pt>
                <c:pt idx="203">
                  <c:v>2.4766602469366811E-3</c:v>
                </c:pt>
                <c:pt idx="204">
                  <c:v>2.4788171750526216E-3</c:v>
                </c:pt>
                <c:pt idx="205">
                  <c:v>2.4810103124372224E-3</c:v>
                </c:pt>
                <c:pt idx="206">
                  <c:v>2.4877961079202205E-3</c:v>
                </c:pt>
                <c:pt idx="207">
                  <c:v>2.4901232100966956E-3</c:v>
                </c:pt>
                <c:pt idx="208">
                  <c:v>2.4924810854004475E-3</c:v>
                </c:pt>
                <c:pt idx="209">
                  <c:v>2.4948686466031993E-3</c:v>
                </c:pt>
                <c:pt idx="210">
                  <c:v>2.4972848064766747E-3</c:v>
                </c:pt>
                <c:pt idx="211">
                  <c:v>2.504694005838672E-3</c:v>
                </c:pt>
                <c:pt idx="212">
                  <c:v>2.5072136881122728E-3</c:v>
                </c:pt>
                <c:pt idx="213">
                  <c:v>2.509756532915213E-3</c:v>
                </c:pt>
                <c:pt idx="214">
                  <c:v>2.512321453019216E-3</c:v>
                </c:pt>
                <c:pt idx="215">
                  <c:v>2.5149073611960052E-3</c:v>
                </c:pt>
                <c:pt idx="216">
                  <c:v>2.5227801418803218E-3</c:v>
                </c:pt>
                <c:pt idx="217">
                  <c:v>2.5254391300654879E-3</c:v>
                </c:pt>
                <c:pt idx="218">
                  <c:v>2.5281136701820564E-3</c:v>
                </c:pt>
                <c:pt idx="219">
                  <c:v>2.5308026750017502E-3</c:v>
                </c:pt>
                <c:pt idx="220">
                  <c:v>2.5335050572962933E-3</c:v>
                </c:pt>
                <c:pt idx="221">
                  <c:v>2.541681596746248E-3</c:v>
                </c:pt>
                <c:pt idx="222">
                  <c:v>2.5444266166574189E-3</c:v>
                </c:pt>
                <c:pt idx="223">
                  <c:v>2.5471795779020553E-3</c:v>
                </c:pt>
                <c:pt idx="224">
                  <c:v>2.5499393932518805E-3</c:v>
                </c:pt>
                <c:pt idx="225">
                  <c:v>2.552704975478617E-3</c:v>
                </c:pt>
                <c:pt idx="226">
                  <c:v>2.5610254511375294E-3</c:v>
                </c:pt>
                <c:pt idx="227">
                  <c:v>2.5638032285891454E-3</c:v>
                </c:pt>
                <c:pt idx="228">
                  <c:v>2.5665813367762897E-3</c:v>
                </c:pt>
                <c:pt idx="229">
                  <c:v>2.5693586884706849E-3</c:v>
                </c:pt>
                <c:pt idx="230">
                  <c:v>2.5721341964440548E-3</c:v>
                </c:pt>
                <c:pt idx="231">
                  <c:v>2.5804387857552447E-3</c:v>
                </c:pt>
                <c:pt idx="232">
                  <c:v>2.5831960465617452E-3</c:v>
                </c:pt>
                <c:pt idx="233">
                  <c:v>2.585946027505837E-3</c:v>
                </c:pt>
                <c:pt idx="234">
                  <c:v>2.5886876413592427E-3</c:v>
                </c:pt>
                <c:pt idx="235">
                  <c:v>2.5914198008936858E-3</c:v>
                </c:pt>
                <c:pt idx="236">
                  <c:v>2.5995486813004723E-3</c:v>
                </c:pt>
                <c:pt idx="237">
                  <c:v>2.6022321512762974E-3</c:v>
                </c:pt>
                <c:pt idx="238">
                  <c:v>2.6049007307917763E-3</c:v>
                </c:pt>
                <c:pt idx="239">
                  <c:v>2.6075533326186322E-3</c:v>
                </c:pt>
                <c:pt idx="240">
                  <c:v>2.6101888695285883E-3</c:v>
                </c:pt>
                <c:pt idx="241">
                  <c:v>2.6179822184742908E-3</c:v>
                </c:pt>
                <c:pt idx="242">
                  <c:v>2.6205386234338804E-3</c:v>
                </c:pt>
                <c:pt idx="243">
                  <c:v>2.6230725273351865E-3</c:v>
                </c:pt>
                <c:pt idx="244">
                  <c:v>2.6255828429499321E-3</c:v>
                </c:pt>
                <c:pt idx="245">
                  <c:v>2.6280684830498413E-3</c:v>
                </c:pt>
                <c:pt idx="246">
                  <c:v>2.6353664779777785E-3</c:v>
                </c:pt>
                <c:pt idx="247">
                  <c:v>2.6377425437355724E-3</c:v>
                </c:pt>
                <c:pt idx="248">
                  <c:v>2.6400884978371453E-3</c:v>
                </c:pt>
                <c:pt idx="249">
                  <c:v>2.6423922824100111E-3</c:v>
                </c:pt>
                <c:pt idx="250">
                  <c:v>2.6446429765302586E-3</c:v>
                </c:pt>
                <c:pt idx="251">
                  <c:v>2.655121727152748E-3</c:v>
                </c:pt>
                <c:pt idx="252">
                  <c:v>2.657066860643602E-3</c:v>
                </c:pt>
                <c:pt idx="253">
                  <c:v>2.658963231043943E-3</c:v>
                </c:pt>
                <c:pt idx="254">
                  <c:v>2.6660734456319087E-3</c:v>
                </c:pt>
                <c:pt idx="255">
                  <c:v>2.667735273498483E-3</c:v>
                </c:pt>
                <c:pt idx="256">
                  <c:v>2.6693520474420636E-3</c:v>
                </c:pt>
                <c:pt idx="257">
                  <c:v>2.6709243856572369E-3</c:v>
                </c:pt>
                <c:pt idx="258">
                  <c:v>2.6753809678781771E-3</c:v>
                </c:pt>
                <c:pt idx="259">
                  <c:v>2.6767817451255858E-3</c:v>
                </c:pt>
                <c:pt idx="260">
                  <c:v>2.6781411776175194E-3</c:v>
                </c:pt>
                <c:pt idx="261">
                  <c:v>2.679459883548565E-3</c:v>
                </c:pt>
                <c:pt idx="262">
                  <c:v>2.6807384811133087E-3</c:v>
                </c:pt>
                <c:pt idx="263">
                  <c:v>2.6843398055555936E-3</c:v>
                </c:pt>
                <c:pt idx="264">
                  <c:v>2.685464151600995E-3</c:v>
                </c:pt>
                <c:pt idx="265">
                  <c:v>2.6865514802530267E-3</c:v>
                </c:pt>
                <c:pt idx="266">
                  <c:v>2.6876024097062757E-3</c:v>
                </c:pt>
                <c:pt idx="267">
                  <c:v>2.6886175581553283E-3</c:v>
                </c:pt>
                <c:pt idx="268">
                  <c:v>2.6914544994231732E-3</c:v>
                </c:pt>
                <c:pt idx="269">
                  <c:v>2.6923327058013054E-3</c:v>
                </c:pt>
                <c:pt idx="270">
                  <c:v>2.6931782221481736E-3</c:v>
                </c:pt>
                <c:pt idx="271">
                  <c:v>2.6939916666583645E-3</c:v>
                </c:pt>
                <c:pt idx="272">
                  <c:v>2.6947736575264648E-3</c:v>
                </c:pt>
                <c:pt idx="273">
                  <c:v>2.6969370902240851E-3</c:v>
                </c:pt>
                <c:pt idx="274">
                  <c:v>2.6975994484696865E-3</c:v>
                </c:pt>
                <c:pt idx="275">
                  <c:v>2.6982334440461301E-3</c:v>
                </c:pt>
                <c:pt idx="276">
                  <c:v>2.6988396951480014E-3</c:v>
                </c:pt>
                <c:pt idx="277">
                  <c:v>2.6994188199698874E-3</c:v>
                </c:pt>
                <c:pt idx="278">
                  <c:v>2.7009996187014984E-3</c:v>
                </c:pt>
                <c:pt idx="279">
                  <c:v>2.7014764203493078E-3</c:v>
                </c:pt>
                <c:pt idx="280">
                  <c:v>2.7019291866900645E-3</c:v>
                </c:pt>
                <c:pt idx="281">
                  <c:v>2.7023585359183546E-3</c:v>
                </c:pt>
                <c:pt idx="282">
                  <c:v>2.7027650862287652E-3</c:v>
                </c:pt>
                <c:pt idx="283">
                  <c:v>2.7038541255985822E-3</c:v>
                </c:pt>
                <c:pt idx="284">
                  <c:v>2.7041756621833382E-3</c:v>
                </c:pt>
                <c:pt idx="285">
                  <c:v>2.7044774908231467E-3</c:v>
                </c:pt>
                <c:pt idx="286">
                  <c:v>2.7047602297125941E-3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449664"/>
        <c:axId val="608451200"/>
      </c:scatterChart>
      <c:valAx>
        <c:axId val="6084496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8451200"/>
        <c:crosses val="autoZero"/>
        <c:crossBetween val="midCat"/>
      </c:valAx>
      <c:valAx>
        <c:axId val="608451200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0844966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42369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3.8335239926120266E-3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42398</c:v>
                </c:pt>
                <c:pt idx="1">
                  <c:v>42429</c:v>
                </c:pt>
                <c:pt idx="2">
                  <c:v>42460</c:v>
                </c:pt>
                <c:pt idx="3">
                  <c:v>42489</c:v>
                </c:pt>
                <c:pt idx="4">
                  <c:v>42521</c:v>
                </c:pt>
                <c:pt idx="5">
                  <c:v>42551</c:v>
                </c:pt>
                <c:pt idx="6">
                  <c:v>42580</c:v>
                </c:pt>
                <c:pt idx="7">
                  <c:v>42613</c:v>
                </c:pt>
                <c:pt idx="8">
                  <c:v>42643</c:v>
                </c:pt>
                <c:pt idx="9">
                  <c:v>42674</c:v>
                </c:pt>
                <c:pt idx="10">
                  <c:v>42704</c:v>
                </c:pt>
                <c:pt idx="11">
                  <c:v>42734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3.8935704844178867E-3</c:v>
                </c:pt>
                <c:pt idx="1">
                  <c:v>3.8698668745132392E-3</c:v>
                </c:pt>
                <c:pt idx="2">
                  <c:v>3.9165878699707283E-3</c:v>
                </c:pt>
                <c:pt idx="3">
                  <c:v>3.9120515872851334E-3</c:v>
                </c:pt>
                <c:pt idx="4">
                  <c:v>3.9684259108405716E-3</c:v>
                </c:pt>
                <c:pt idx="5">
                  <c:v>3.9261687670921622E-3</c:v>
                </c:pt>
                <c:pt idx="6">
                  <c:v>3.8859930975462982E-3</c:v>
                </c:pt>
                <c:pt idx="7">
                  <c:v>3.9339576745007626E-3</c:v>
                </c:pt>
                <c:pt idx="8">
                  <c:v>3.9778747222483923E-3</c:v>
                </c:pt>
                <c:pt idx="9">
                  <c:v>4.0795001176938944E-3</c:v>
                </c:pt>
                <c:pt idx="10">
                  <c:v>0</c:v>
                </c:pt>
                <c:pt idx="11">
                  <c:v>4.0203030298601936E-3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42369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42387</c:v>
                </c:pt>
                <c:pt idx="12">
                  <c:v>42388</c:v>
                </c:pt>
                <c:pt idx="13">
                  <c:v>42389</c:v>
                </c:pt>
                <c:pt idx="14">
                  <c:v>42390</c:v>
                </c:pt>
                <c:pt idx="15">
                  <c:v>42391</c:v>
                </c:pt>
                <c:pt idx="16">
                  <c:v>42394</c:v>
                </c:pt>
                <c:pt idx="17">
                  <c:v>42395</c:v>
                </c:pt>
                <c:pt idx="18">
                  <c:v>42396</c:v>
                </c:pt>
                <c:pt idx="19">
                  <c:v>42397</c:v>
                </c:pt>
                <c:pt idx="20">
                  <c:v>42398</c:v>
                </c:pt>
                <c:pt idx="21">
                  <c:v>42401</c:v>
                </c:pt>
                <c:pt idx="22">
                  <c:v>42402</c:v>
                </c:pt>
                <c:pt idx="23">
                  <c:v>42403</c:v>
                </c:pt>
                <c:pt idx="24">
                  <c:v>42404</c:v>
                </c:pt>
                <c:pt idx="25">
                  <c:v>42405</c:v>
                </c:pt>
                <c:pt idx="26">
                  <c:v>42408</c:v>
                </c:pt>
                <c:pt idx="27">
                  <c:v>42409</c:v>
                </c:pt>
                <c:pt idx="28">
                  <c:v>42410</c:v>
                </c:pt>
                <c:pt idx="29">
                  <c:v>42411</c:v>
                </c:pt>
                <c:pt idx="30">
                  <c:v>42412</c:v>
                </c:pt>
                <c:pt idx="31">
                  <c:v>42415</c:v>
                </c:pt>
                <c:pt idx="32">
                  <c:v>42416</c:v>
                </c:pt>
                <c:pt idx="33">
                  <c:v>42417</c:v>
                </c:pt>
                <c:pt idx="34">
                  <c:v>42418</c:v>
                </c:pt>
                <c:pt idx="35">
                  <c:v>42419</c:v>
                </c:pt>
                <c:pt idx="36">
                  <c:v>42422</c:v>
                </c:pt>
                <c:pt idx="37">
                  <c:v>42423</c:v>
                </c:pt>
                <c:pt idx="38">
                  <c:v>42424</c:v>
                </c:pt>
                <c:pt idx="39">
                  <c:v>42425</c:v>
                </c:pt>
                <c:pt idx="40">
                  <c:v>42426</c:v>
                </c:pt>
                <c:pt idx="41">
                  <c:v>42429</c:v>
                </c:pt>
                <c:pt idx="42">
                  <c:v>42430</c:v>
                </c:pt>
                <c:pt idx="43">
                  <c:v>42431</c:v>
                </c:pt>
                <c:pt idx="44">
                  <c:v>42432</c:v>
                </c:pt>
                <c:pt idx="45">
                  <c:v>42433</c:v>
                </c:pt>
                <c:pt idx="46">
                  <c:v>42436</c:v>
                </c:pt>
                <c:pt idx="47">
                  <c:v>42437</c:v>
                </c:pt>
                <c:pt idx="48">
                  <c:v>42438</c:v>
                </c:pt>
                <c:pt idx="49">
                  <c:v>42439</c:v>
                </c:pt>
                <c:pt idx="50">
                  <c:v>42440</c:v>
                </c:pt>
                <c:pt idx="51">
                  <c:v>42443</c:v>
                </c:pt>
                <c:pt idx="52">
                  <c:v>42444</c:v>
                </c:pt>
                <c:pt idx="53">
                  <c:v>42445</c:v>
                </c:pt>
                <c:pt idx="54">
                  <c:v>42446</c:v>
                </c:pt>
                <c:pt idx="55">
                  <c:v>42447</c:v>
                </c:pt>
                <c:pt idx="56">
                  <c:v>42450</c:v>
                </c:pt>
                <c:pt idx="57">
                  <c:v>42451</c:v>
                </c:pt>
                <c:pt idx="58">
                  <c:v>42452</c:v>
                </c:pt>
                <c:pt idx="59">
                  <c:v>42453</c:v>
                </c:pt>
                <c:pt idx="60">
                  <c:v>42458</c:v>
                </c:pt>
                <c:pt idx="61">
                  <c:v>42459</c:v>
                </c:pt>
                <c:pt idx="62">
                  <c:v>42460</c:v>
                </c:pt>
                <c:pt idx="63">
                  <c:v>42461</c:v>
                </c:pt>
                <c:pt idx="64">
                  <c:v>42464</c:v>
                </c:pt>
                <c:pt idx="65">
                  <c:v>42465</c:v>
                </c:pt>
                <c:pt idx="66">
                  <c:v>42466</c:v>
                </c:pt>
                <c:pt idx="67">
                  <c:v>42467</c:v>
                </c:pt>
                <c:pt idx="68">
                  <c:v>42468</c:v>
                </c:pt>
                <c:pt idx="69">
                  <c:v>42471</c:v>
                </c:pt>
                <c:pt idx="70">
                  <c:v>42472</c:v>
                </c:pt>
                <c:pt idx="71">
                  <c:v>42473</c:v>
                </c:pt>
                <c:pt idx="72">
                  <c:v>42474</c:v>
                </c:pt>
                <c:pt idx="73">
                  <c:v>42475</c:v>
                </c:pt>
                <c:pt idx="74">
                  <c:v>42478</c:v>
                </c:pt>
                <c:pt idx="75">
                  <c:v>42479</c:v>
                </c:pt>
                <c:pt idx="76">
                  <c:v>42480</c:v>
                </c:pt>
                <c:pt idx="77">
                  <c:v>42481</c:v>
                </c:pt>
                <c:pt idx="78">
                  <c:v>42482</c:v>
                </c:pt>
                <c:pt idx="79">
                  <c:v>42485</c:v>
                </c:pt>
                <c:pt idx="80">
                  <c:v>42486</c:v>
                </c:pt>
                <c:pt idx="81">
                  <c:v>42487</c:v>
                </c:pt>
                <c:pt idx="82">
                  <c:v>42488</c:v>
                </c:pt>
                <c:pt idx="83">
                  <c:v>42489</c:v>
                </c:pt>
                <c:pt idx="84">
                  <c:v>42493</c:v>
                </c:pt>
                <c:pt idx="85">
                  <c:v>42494</c:v>
                </c:pt>
                <c:pt idx="86">
                  <c:v>42495</c:v>
                </c:pt>
                <c:pt idx="87">
                  <c:v>42496</c:v>
                </c:pt>
                <c:pt idx="88">
                  <c:v>42499</c:v>
                </c:pt>
                <c:pt idx="89">
                  <c:v>42500</c:v>
                </c:pt>
                <c:pt idx="90">
                  <c:v>42501</c:v>
                </c:pt>
                <c:pt idx="91">
                  <c:v>42502</c:v>
                </c:pt>
                <c:pt idx="92">
                  <c:v>42503</c:v>
                </c:pt>
                <c:pt idx="93">
                  <c:v>42506</c:v>
                </c:pt>
                <c:pt idx="94">
                  <c:v>42507</c:v>
                </c:pt>
                <c:pt idx="95">
                  <c:v>42508</c:v>
                </c:pt>
                <c:pt idx="96">
                  <c:v>42509</c:v>
                </c:pt>
                <c:pt idx="97">
                  <c:v>42510</c:v>
                </c:pt>
                <c:pt idx="98">
                  <c:v>42513</c:v>
                </c:pt>
                <c:pt idx="99">
                  <c:v>42514</c:v>
                </c:pt>
                <c:pt idx="100">
                  <c:v>42515</c:v>
                </c:pt>
                <c:pt idx="101">
                  <c:v>42516</c:v>
                </c:pt>
                <c:pt idx="102">
                  <c:v>42517</c:v>
                </c:pt>
                <c:pt idx="103">
                  <c:v>42521</c:v>
                </c:pt>
                <c:pt idx="104">
                  <c:v>42522</c:v>
                </c:pt>
                <c:pt idx="105">
                  <c:v>42523</c:v>
                </c:pt>
                <c:pt idx="106">
                  <c:v>42524</c:v>
                </c:pt>
                <c:pt idx="107">
                  <c:v>42527</c:v>
                </c:pt>
                <c:pt idx="108">
                  <c:v>42528</c:v>
                </c:pt>
                <c:pt idx="109">
                  <c:v>42529</c:v>
                </c:pt>
                <c:pt idx="110">
                  <c:v>42530</c:v>
                </c:pt>
                <c:pt idx="111">
                  <c:v>42531</c:v>
                </c:pt>
                <c:pt idx="112">
                  <c:v>42534</c:v>
                </c:pt>
                <c:pt idx="113">
                  <c:v>42535</c:v>
                </c:pt>
                <c:pt idx="114">
                  <c:v>42536</c:v>
                </c:pt>
                <c:pt idx="115">
                  <c:v>42537</c:v>
                </c:pt>
                <c:pt idx="116">
                  <c:v>42538</c:v>
                </c:pt>
                <c:pt idx="117">
                  <c:v>42541</c:v>
                </c:pt>
                <c:pt idx="118">
                  <c:v>42542</c:v>
                </c:pt>
                <c:pt idx="119">
                  <c:v>42543</c:v>
                </c:pt>
                <c:pt idx="120">
                  <c:v>42544</c:v>
                </c:pt>
                <c:pt idx="121">
                  <c:v>42545</c:v>
                </c:pt>
                <c:pt idx="122">
                  <c:v>42548</c:v>
                </c:pt>
                <c:pt idx="123">
                  <c:v>42549</c:v>
                </c:pt>
                <c:pt idx="124">
                  <c:v>42550</c:v>
                </c:pt>
                <c:pt idx="125">
                  <c:v>42551</c:v>
                </c:pt>
                <c:pt idx="126">
                  <c:v>42552</c:v>
                </c:pt>
                <c:pt idx="127">
                  <c:v>42555</c:v>
                </c:pt>
                <c:pt idx="128">
                  <c:v>42556</c:v>
                </c:pt>
                <c:pt idx="129">
                  <c:v>42557</c:v>
                </c:pt>
                <c:pt idx="130">
                  <c:v>42558</c:v>
                </c:pt>
                <c:pt idx="131">
                  <c:v>42559</c:v>
                </c:pt>
                <c:pt idx="132">
                  <c:v>42562</c:v>
                </c:pt>
                <c:pt idx="133">
                  <c:v>42563</c:v>
                </c:pt>
                <c:pt idx="134">
                  <c:v>42564</c:v>
                </c:pt>
                <c:pt idx="135">
                  <c:v>42565</c:v>
                </c:pt>
                <c:pt idx="136">
                  <c:v>42566</c:v>
                </c:pt>
                <c:pt idx="137">
                  <c:v>42569</c:v>
                </c:pt>
                <c:pt idx="138">
                  <c:v>42570</c:v>
                </c:pt>
                <c:pt idx="139">
                  <c:v>42571</c:v>
                </c:pt>
                <c:pt idx="140">
                  <c:v>42572</c:v>
                </c:pt>
                <c:pt idx="141">
                  <c:v>42573</c:v>
                </c:pt>
                <c:pt idx="142">
                  <c:v>42576</c:v>
                </c:pt>
                <c:pt idx="143">
                  <c:v>42577</c:v>
                </c:pt>
                <c:pt idx="144">
                  <c:v>42578</c:v>
                </c:pt>
                <c:pt idx="145">
                  <c:v>42579</c:v>
                </c:pt>
                <c:pt idx="146">
                  <c:v>42580</c:v>
                </c:pt>
                <c:pt idx="147">
                  <c:v>42583</c:v>
                </c:pt>
                <c:pt idx="148">
                  <c:v>42584</c:v>
                </c:pt>
                <c:pt idx="149">
                  <c:v>42585</c:v>
                </c:pt>
                <c:pt idx="150">
                  <c:v>42586</c:v>
                </c:pt>
                <c:pt idx="151">
                  <c:v>42587</c:v>
                </c:pt>
                <c:pt idx="152">
                  <c:v>42590</c:v>
                </c:pt>
                <c:pt idx="153">
                  <c:v>42591</c:v>
                </c:pt>
                <c:pt idx="154">
                  <c:v>42592</c:v>
                </c:pt>
                <c:pt idx="155">
                  <c:v>42593</c:v>
                </c:pt>
                <c:pt idx="156">
                  <c:v>42594</c:v>
                </c:pt>
                <c:pt idx="157">
                  <c:v>42597</c:v>
                </c:pt>
                <c:pt idx="158">
                  <c:v>42598</c:v>
                </c:pt>
                <c:pt idx="159">
                  <c:v>42599</c:v>
                </c:pt>
                <c:pt idx="160">
                  <c:v>42600</c:v>
                </c:pt>
                <c:pt idx="161">
                  <c:v>42601</c:v>
                </c:pt>
                <c:pt idx="162">
                  <c:v>42604</c:v>
                </c:pt>
                <c:pt idx="163">
                  <c:v>42605</c:v>
                </c:pt>
                <c:pt idx="164">
                  <c:v>42606</c:v>
                </c:pt>
                <c:pt idx="165">
                  <c:v>42607</c:v>
                </c:pt>
                <c:pt idx="166">
                  <c:v>42608</c:v>
                </c:pt>
                <c:pt idx="167">
                  <c:v>42612</c:v>
                </c:pt>
                <c:pt idx="168">
                  <c:v>42613</c:v>
                </c:pt>
                <c:pt idx="169">
                  <c:v>42614</c:v>
                </c:pt>
                <c:pt idx="170">
                  <c:v>42615</c:v>
                </c:pt>
                <c:pt idx="171">
                  <c:v>42618</c:v>
                </c:pt>
                <c:pt idx="172">
                  <c:v>42619</c:v>
                </c:pt>
                <c:pt idx="173">
                  <c:v>42620</c:v>
                </c:pt>
                <c:pt idx="174">
                  <c:v>42621</c:v>
                </c:pt>
                <c:pt idx="175">
                  <c:v>42622</c:v>
                </c:pt>
                <c:pt idx="176">
                  <c:v>42625</c:v>
                </c:pt>
                <c:pt idx="177">
                  <c:v>42626</c:v>
                </c:pt>
                <c:pt idx="178">
                  <c:v>42627</c:v>
                </c:pt>
                <c:pt idx="179">
                  <c:v>42628</c:v>
                </c:pt>
                <c:pt idx="180">
                  <c:v>42629</c:v>
                </c:pt>
                <c:pt idx="181">
                  <c:v>42632</c:v>
                </c:pt>
                <c:pt idx="182">
                  <c:v>42633</c:v>
                </c:pt>
                <c:pt idx="183">
                  <c:v>42634</c:v>
                </c:pt>
                <c:pt idx="184">
                  <c:v>42635</c:v>
                </c:pt>
                <c:pt idx="185">
                  <c:v>42636</c:v>
                </c:pt>
                <c:pt idx="186">
                  <c:v>42639</c:v>
                </c:pt>
                <c:pt idx="187">
                  <c:v>42640</c:v>
                </c:pt>
                <c:pt idx="188">
                  <c:v>42641</c:v>
                </c:pt>
                <c:pt idx="189">
                  <c:v>42642</c:v>
                </c:pt>
                <c:pt idx="190">
                  <c:v>42643</c:v>
                </c:pt>
                <c:pt idx="191">
                  <c:v>42646</c:v>
                </c:pt>
                <c:pt idx="192">
                  <c:v>42647</c:v>
                </c:pt>
                <c:pt idx="193">
                  <c:v>42648</c:v>
                </c:pt>
                <c:pt idx="194">
                  <c:v>42649</c:v>
                </c:pt>
                <c:pt idx="195">
                  <c:v>42650</c:v>
                </c:pt>
                <c:pt idx="196">
                  <c:v>42653</c:v>
                </c:pt>
                <c:pt idx="197">
                  <c:v>42654</c:v>
                </c:pt>
                <c:pt idx="198">
                  <c:v>42655</c:v>
                </c:pt>
                <c:pt idx="199">
                  <c:v>42656</c:v>
                </c:pt>
                <c:pt idx="200">
                  <c:v>42657</c:v>
                </c:pt>
                <c:pt idx="201">
                  <c:v>42660</c:v>
                </c:pt>
                <c:pt idx="202">
                  <c:v>42661</c:v>
                </c:pt>
                <c:pt idx="203">
                  <c:v>42662</c:v>
                </c:pt>
                <c:pt idx="204">
                  <c:v>42663</c:v>
                </c:pt>
                <c:pt idx="205">
                  <c:v>42664</c:v>
                </c:pt>
                <c:pt idx="206">
                  <c:v>42667</c:v>
                </c:pt>
                <c:pt idx="207">
                  <c:v>42668</c:v>
                </c:pt>
                <c:pt idx="208">
                  <c:v>42669</c:v>
                </c:pt>
                <c:pt idx="209">
                  <c:v>42670</c:v>
                </c:pt>
                <c:pt idx="210">
                  <c:v>42671</c:v>
                </c:pt>
                <c:pt idx="211">
                  <c:v>42674</c:v>
                </c:pt>
                <c:pt idx="212">
                  <c:v>42675</c:v>
                </c:pt>
                <c:pt idx="213">
                  <c:v>42676</c:v>
                </c:pt>
                <c:pt idx="214">
                  <c:v>42677</c:v>
                </c:pt>
                <c:pt idx="215">
                  <c:v>42678</c:v>
                </c:pt>
                <c:pt idx="216">
                  <c:v>42681</c:v>
                </c:pt>
                <c:pt idx="217">
                  <c:v>42682</c:v>
                </c:pt>
                <c:pt idx="218">
                  <c:v>42683</c:v>
                </c:pt>
                <c:pt idx="219">
                  <c:v>42684</c:v>
                </c:pt>
                <c:pt idx="220">
                  <c:v>42685</c:v>
                </c:pt>
                <c:pt idx="221">
                  <c:v>42688</c:v>
                </c:pt>
                <c:pt idx="222">
                  <c:v>42689</c:v>
                </c:pt>
                <c:pt idx="223">
                  <c:v>42690</c:v>
                </c:pt>
                <c:pt idx="224">
                  <c:v>42691</c:v>
                </c:pt>
                <c:pt idx="225">
                  <c:v>42692</c:v>
                </c:pt>
                <c:pt idx="226">
                  <c:v>42695</c:v>
                </c:pt>
                <c:pt idx="227">
                  <c:v>42696</c:v>
                </c:pt>
                <c:pt idx="228">
                  <c:v>42697</c:v>
                </c:pt>
                <c:pt idx="229">
                  <c:v>42698</c:v>
                </c:pt>
                <c:pt idx="230">
                  <c:v>42699</c:v>
                </c:pt>
                <c:pt idx="231">
                  <c:v>42702</c:v>
                </c:pt>
                <c:pt idx="232">
                  <c:v>42703</c:v>
                </c:pt>
                <c:pt idx="233">
                  <c:v>42704</c:v>
                </c:pt>
                <c:pt idx="234">
                  <c:v>42705</c:v>
                </c:pt>
                <c:pt idx="235">
                  <c:v>42706</c:v>
                </c:pt>
                <c:pt idx="236">
                  <c:v>42709</c:v>
                </c:pt>
                <c:pt idx="237">
                  <c:v>42710</c:v>
                </c:pt>
                <c:pt idx="238">
                  <c:v>42711</c:v>
                </c:pt>
                <c:pt idx="239">
                  <c:v>42712</c:v>
                </c:pt>
                <c:pt idx="240">
                  <c:v>42713</c:v>
                </c:pt>
                <c:pt idx="241">
                  <c:v>42716</c:v>
                </c:pt>
                <c:pt idx="242">
                  <c:v>42717</c:v>
                </c:pt>
                <c:pt idx="243">
                  <c:v>42718</c:v>
                </c:pt>
                <c:pt idx="244">
                  <c:v>42719</c:v>
                </c:pt>
                <c:pt idx="245">
                  <c:v>42720</c:v>
                </c:pt>
                <c:pt idx="246">
                  <c:v>42723</c:v>
                </c:pt>
                <c:pt idx="247">
                  <c:v>42724</c:v>
                </c:pt>
                <c:pt idx="248">
                  <c:v>42725</c:v>
                </c:pt>
                <c:pt idx="249">
                  <c:v>42726</c:v>
                </c:pt>
                <c:pt idx="250">
                  <c:v>42727</c:v>
                </c:pt>
                <c:pt idx="251">
                  <c:v>42732</c:v>
                </c:pt>
                <c:pt idx="252">
                  <c:v>42733</c:v>
                </c:pt>
                <c:pt idx="253">
                  <c:v>42734</c:v>
                </c:pt>
                <c:pt idx="254">
                  <c:v>42738</c:v>
                </c:pt>
                <c:pt idx="255">
                  <c:v>42739</c:v>
                </c:pt>
                <c:pt idx="256">
                  <c:v>42740</c:v>
                </c:pt>
                <c:pt idx="257">
                  <c:v>42741</c:v>
                </c:pt>
                <c:pt idx="258">
                  <c:v>42744</c:v>
                </c:pt>
                <c:pt idx="259">
                  <c:v>42745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3.8335239926120266E-3</c:v>
                </c:pt>
                <c:pt idx="1">
                  <c:v>3.8454948770421135E-3</c:v>
                </c:pt>
                <c:pt idx="2">
                  <c:v>3.8484372989264774E-3</c:v>
                </c:pt>
                <c:pt idx="3">
                  <c:v>3.8513461879954025E-3</c:v>
                </c:pt>
                <c:pt idx="4">
                  <c:v>3.8542148376858017E-3</c:v>
                </c:pt>
                <c:pt idx="5">
                  <c:v>3.8570365414345867E-3</c:v>
                </c:pt>
                <c:pt idx="6">
                  <c:v>3.8651529114003802E-3</c:v>
                </c:pt>
                <c:pt idx="7">
                  <c:v>3.8677197657518321E-3</c:v>
                </c:pt>
                <c:pt idx="8">
                  <c:v>3.8702061413462313E-3</c:v>
                </c:pt>
                <c:pt idx="9">
                  <c:v>3.8726053316204901E-3</c:v>
                </c:pt>
                <c:pt idx="10">
                  <c:v>3.8749106300115209E-3</c:v>
                </c:pt>
                <c:pt idx="11">
                  <c:v>3.8811961082543677E-3</c:v>
                </c:pt>
                <c:pt idx="12">
                  <c:v>3.8830587734816091E-3</c:v>
                </c:pt>
                <c:pt idx="13">
                  <c:v>3.8847940140101841E-3</c:v>
                </c:pt>
                <c:pt idx="14">
                  <c:v>3.8863951232770044E-3</c:v>
                </c:pt>
                <c:pt idx="15">
                  <c:v>3.8878553947189831E-3</c:v>
                </c:pt>
                <c:pt idx="16">
                  <c:v>3.891324116464989E-3</c:v>
                </c:pt>
                <c:pt idx="17">
                  <c:v>3.892153970976722E-3</c:v>
                </c:pt>
                <c:pt idx="18">
                  <c:v>3.8928094548481744E-3</c:v>
                </c:pt>
                <c:pt idx="19">
                  <c:v>3.8932838615162585E-3</c:v>
                </c:pt>
                <c:pt idx="20">
                  <c:v>3.8935704844178867E-3</c:v>
                </c:pt>
                <c:pt idx="21">
                  <c:v>3.8933246268046699E-3</c:v>
                </c:pt>
                <c:pt idx="22">
                  <c:v>3.8929136990364841E-3</c:v>
                </c:pt>
                <c:pt idx="23">
                  <c:v>3.8923597141633033E-3</c:v>
                </c:pt>
                <c:pt idx="24">
                  <c:v>3.8916755304912658E-3</c:v>
                </c:pt>
                <c:pt idx="25">
                  <c:v>3.8908740063265078E-3</c:v>
                </c:pt>
                <c:pt idx="26">
                  <c:v>3.8878939739372862E-3</c:v>
                </c:pt>
                <c:pt idx="27">
                  <c:v>3.8867516708630209E-3</c:v>
                </c:pt>
                <c:pt idx="28">
                  <c:v>3.885556318826722E-3</c:v>
                </c:pt>
                <c:pt idx="29">
                  <c:v>3.8843207761345266E-3</c:v>
                </c:pt>
                <c:pt idx="30">
                  <c:v>3.8830579010925722E-3</c:v>
                </c:pt>
                <c:pt idx="31">
                  <c:v>3.8792338649295275E-3</c:v>
                </c:pt>
                <c:pt idx="32">
                  <c:v>3.8779902435499094E-3</c:v>
                </c:pt>
                <c:pt idx="33">
                  <c:v>3.8767835813512189E-3</c:v>
                </c:pt>
                <c:pt idx="34">
                  <c:v>3.8756267366395931E-3</c:v>
                </c:pt>
                <c:pt idx="35">
                  <c:v>3.8745325677211691E-3</c:v>
                </c:pt>
                <c:pt idx="36">
                  <c:v>3.8717546987864821E-3</c:v>
                </c:pt>
                <c:pt idx="37">
                  <c:v>3.8710398161022385E-3</c:v>
                </c:pt>
                <c:pt idx="38">
                  <c:v>3.8704519007418834E-3</c:v>
                </c:pt>
                <c:pt idx="39">
                  <c:v>3.8700038110115543E-3</c:v>
                </c:pt>
                <c:pt idx="40">
                  <c:v>3.8697084052173878E-3</c:v>
                </c:pt>
                <c:pt idx="41">
                  <c:v>3.8698668745132392E-3</c:v>
                </c:pt>
                <c:pt idx="42">
                  <c:v>3.8703130876790591E-3</c:v>
                </c:pt>
                <c:pt idx="43">
                  <c:v>3.870963125328075E-3</c:v>
                </c:pt>
                <c:pt idx="44">
                  <c:v>3.8718032188290591E-3</c:v>
                </c:pt>
                <c:pt idx="45">
                  <c:v>3.8728195995507836E-3</c:v>
                </c:pt>
                <c:pt idx="46">
                  <c:v>3.8767887787281214E-3</c:v>
                </c:pt>
                <c:pt idx="47">
                  <c:v>3.8783726220205294E-3</c:v>
                </c:pt>
                <c:pt idx="48">
                  <c:v>3.8800639093775386E-3</c:v>
                </c:pt>
                <c:pt idx="49">
                  <c:v>3.881848872167921E-3</c:v>
                </c:pt>
                <c:pt idx="50">
                  <c:v>3.8837137417604491E-3</c:v>
                </c:pt>
                <c:pt idx="51">
                  <c:v>3.8896501050386285E-3</c:v>
                </c:pt>
                <c:pt idx="52">
                  <c:v>3.8916969155274607E-3</c:v>
                </c:pt>
                <c:pt idx="53">
                  <c:v>3.8937547896622992E-3</c:v>
                </c:pt>
                <c:pt idx="54">
                  <c:v>3.8958099588119167E-3</c:v>
                </c:pt>
                <c:pt idx="55">
                  <c:v>3.8978486543450844E-3</c:v>
                </c:pt>
                <c:pt idx="56">
                  <c:v>3.9037282129336152E-3</c:v>
                </c:pt>
                <c:pt idx="57">
                  <c:v>3.9055633276887077E-3</c:v>
                </c:pt>
                <c:pt idx="58">
                  <c:v>3.9073131256712121E-3</c:v>
                </c:pt>
                <c:pt idx="59">
                  <c:v>3.9089638382499006E-3</c:v>
                </c:pt>
                <c:pt idx="60">
                  <c:v>3.9152492179931253E-3</c:v>
                </c:pt>
                <c:pt idx="61">
                  <c:v>3.9160162768931321E-3</c:v>
                </c:pt>
                <c:pt idx="62">
                  <c:v>3.9165878699707283E-3</c:v>
                </c:pt>
                <c:pt idx="63">
                  <c:v>3.91699390158755E-3</c:v>
                </c:pt>
                <c:pt idx="64">
                  <c:v>3.9175245512452642E-3</c:v>
                </c:pt>
                <c:pt idx="65">
                  <c:v>3.9175020455990729E-3</c:v>
                </c:pt>
                <c:pt idx="66">
                  <c:v>3.9173947252862436E-3</c:v>
                </c:pt>
                <c:pt idx="67">
                  <c:v>3.9172115181664233E-3</c:v>
                </c:pt>
                <c:pt idx="68">
                  <c:v>3.9169613520992569E-3</c:v>
                </c:pt>
                <c:pt idx="69">
                  <c:v>3.915898378810144E-3</c:v>
                </c:pt>
                <c:pt idx="70">
                  <c:v>3.9154696555500548E-3</c:v>
                </c:pt>
                <c:pt idx="71">
                  <c:v>3.9150186126408514E-3</c:v>
                </c:pt>
                <c:pt idx="72">
                  <c:v>3.914554177942179E-3</c:v>
                </c:pt>
                <c:pt idx="73">
                  <c:v>3.9140852793136827E-3</c:v>
                </c:pt>
                <c:pt idx="74">
                  <c:v>3.9127410784457178E-3</c:v>
                </c:pt>
                <c:pt idx="75">
                  <c:v>3.9123436026943913E-3</c:v>
                </c:pt>
                <c:pt idx="76">
                  <c:v>3.9119863023114711E-3</c:v>
                </c:pt>
                <c:pt idx="77">
                  <c:v>3.9116781051566048E-3</c:v>
                </c:pt>
                <c:pt idx="78">
                  <c:v>3.9114279390894385E-3</c:v>
                </c:pt>
                <c:pt idx="79">
                  <c:v>3.9111149060105975E-3</c:v>
                </c:pt>
                <c:pt idx="80">
                  <c:v>3.9111861428906903E-3</c:v>
                </c:pt>
                <c:pt idx="81">
                  <c:v>3.911360050156713E-3</c:v>
                </c:pt>
                <c:pt idx="82">
                  <c:v>3.9116455556683118E-3</c:v>
                </c:pt>
                <c:pt idx="83">
                  <c:v>3.9120515872851334E-3</c:v>
                </c:pt>
                <c:pt idx="84">
                  <c:v>3.9157464362953361E-3</c:v>
                </c:pt>
                <c:pt idx="85">
                  <c:v>3.9171728237423313E-3</c:v>
                </c:pt>
                <c:pt idx="86">
                  <c:v>3.9187689003824955E-3</c:v>
                </c:pt>
                <c:pt idx="87">
                  <c:v>3.9205189757735249E-3</c:v>
                </c:pt>
                <c:pt idx="88">
                  <c:v>3.9265362900287619E-3</c:v>
                </c:pt>
                <c:pt idx="89">
                  <c:v>3.9287454560002098E-3</c:v>
                </c:pt>
                <c:pt idx="90">
                  <c:v>3.9310301685110014E-3</c:v>
                </c:pt>
                <c:pt idx="91">
                  <c:v>3.9333747371188329E-3</c:v>
                </c:pt>
                <c:pt idx="92">
                  <c:v>3.9357634713814002E-3</c:v>
                </c:pt>
                <c:pt idx="93">
                  <c:v>3.9430377636744717E-3</c:v>
                </c:pt>
                <c:pt idx="94">
                  <c:v>3.9454462561329387E-3</c:v>
                </c:pt>
                <c:pt idx="95">
                  <c:v>3.9478204620346201E-3</c:v>
                </c:pt>
                <c:pt idx="96">
                  <c:v>3.950144690937212E-3</c:v>
                </c:pt>
                <c:pt idx="97">
                  <c:v>3.9524032523984096E-3</c:v>
                </c:pt>
                <c:pt idx="98">
                  <c:v>3.9586280277105965E-3</c:v>
                </c:pt>
                <c:pt idx="99">
                  <c:v>3.9604670149831758E-3</c:v>
                </c:pt>
                <c:pt idx="100">
                  <c:v>3.9621618826028394E-3</c:v>
                </c:pt>
                <c:pt idx="101">
                  <c:v>3.9636969401272842E-3</c:v>
                </c:pt>
                <c:pt idx="102">
                  <c:v>3.9650564971142064E-3</c:v>
                </c:pt>
                <c:pt idx="103">
                  <c:v>3.9684259108405716E-3</c:v>
                </c:pt>
                <c:pt idx="104">
                  <c:v>3.9687133926107742E-3</c:v>
                </c:pt>
                <c:pt idx="105">
                  <c:v>3.9688273027285803E-3</c:v>
                </c:pt>
                <c:pt idx="106">
                  <c:v>3.9687737057437292E-3</c:v>
                </c:pt>
                <c:pt idx="107">
                  <c:v>3.9676685176706127E-3</c:v>
                </c:pt>
                <c:pt idx="108">
                  <c:v>3.967005537772514E-3</c:v>
                </c:pt>
                <c:pt idx="109">
                  <c:v>3.9662053735204494E-3</c:v>
                </c:pt>
                <c:pt idx="110">
                  <c:v>3.9652740894641578E-3</c:v>
                </c:pt>
                <c:pt idx="111">
                  <c:v>3.9642177501533768E-3</c:v>
                </c:pt>
                <c:pt idx="112">
                  <c:v>3.9603590461914839E-3</c:v>
                </c:pt>
                <c:pt idx="113">
                  <c:v>3.9588631313601302E-3</c:v>
                </c:pt>
                <c:pt idx="114">
                  <c:v>3.9572724840229801E-3</c:v>
                </c:pt>
                <c:pt idx="115">
                  <c:v>3.9555931687297709E-3</c:v>
                </c:pt>
                <c:pt idx="116">
                  <c:v>3.953831250030241E-3</c:v>
                </c:pt>
                <c:pt idx="117">
                  <c:v>3.9481105189911134E-3</c:v>
                </c:pt>
                <c:pt idx="118">
                  <c:v>3.9460788321636865E-3</c:v>
                </c:pt>
                <c:pt idx="119">
                  <c:v>3.9439948646786301E-3</c:v>
                </c:pt>
                <c:pt idx="120">
                  <c:v>3.9418646810856842E-3</c:v>
                </c:pt>
                <c:pt idx="121">
                  <c:v>3.9396943459345862E-3</c:v>
                </c:pt>
                <c:pt idx="122">
                  <c:v>3.9330030766297659E-3</c:v>
                </c:pt>
                <c:pt idx="123">
                  <c:v>3.9307327807434449E-3</c:v>
                </c:pt>
                <c:pt idx="124">
                  <c:v>3.9284526560476648E-3</c:v>
                </c:pt>
                <c:pt idx="125">
                  <c:v>3.9261687670921622E-3</c:v>
                </c:pt>
                <c:pt idx="126">
                  <c:v>3.9238997826275572E-3</c:v>
                </c:pt>
                <c:pt idx="127">
                  <c:v>3.9172978051813506E-3</c:v>
                </c:pt>
                <c:pt idx="128">
                  <c:v>3.9151770524724324E-3</c:v>
                </c:pt>
                <c:pt idx="129">
                  <c:v>3.9131020435453964E-3</c:v>
                </c:pt>
                <c:pt idx="130">
                  <c:v>3.911076252737425E-3</c:v>
                </c:pt>
                <c:pt idx="131">
                  <c:v>3.9091031543857053E-3</c:v>
                </c:pt>
                <c:pt idx="132">
                  <c:v>3.903534757439884E-3</c:v>
                </c:pt>
                <c:pt idx="133">
                  <c:v>3.9018071722850042E-3</c:v>
                </c:pt>
                <c:pt idx="134">
                  <c:v>3.9001496512722947E-3</c:v>
                </c:pt>
                <c:pt idx="135">
                  <c:v>3.8985656687389398E-3</c:v>
                </c:pt>
                <c:pt idx="136">
                  <c:v>3.8970586990221229E-3</c:v>
                </c:pt>
                <c:pt idx="137">
                  <c:v>3.8930346101427441E-3</c:v>
                </c:pt>
                <c:pt idx="138">
                  <c:v>3.8918704350639215E-3</c:v>
                </c:pt>
                <c:pt idx="139">
                  <c:v>3.8908006444875578E-3</c:v>
                </c:pt>
                <c:pt idx="140">
                  <c:v>3.8898287127508372E-3</c:v>
                </c:pt>
                <c:pt idx="141">
                  <c:v>3.8889581141909432E-3</c:v>
                </c:pt>
                <c:pt idx="142">
                  <c:v>3.8869890609440627E-3</c:v>
                </c:pt>
                <c:pt idx="143">
                  <c:v>3.8865585384633169E-3</c:v>
                </c:pt>
                <c:pt idx="144">
                  <c:v>3.8862467208453182E-3</c:v>
                </c:pt>
                <c:pt idx="145">
                  <c:v>3.8860570824272504E-3</c:v>
                </c:pt>
                <c:pt idx="146">
                  <c:v>3.8859930975462982E-3</c:v>
                </c:pt>
                <c:pt idx="147">
                  <c:v>3.886749693631745E-3</c:v>
                </c:pt>
                <c:pt idx="148">
                  <c:v>3.8873168123872101E-3</c:v>
                </c:pt>
                <c:pt idx="149">
                  <c:v>3.8880280506312405E-3</c:v>
                </c:pt>
                <c:pt idx="150">
                  <c:v>3.88887540403888E-3</c:v>
                </c:pt>
                <c:pt idx="151">
                  <c:v>3.8898508682851732E-3</c:v>
                </c:pt>
                <c:pt idx="152">
                  <c:v>3.8934658828064135E-3</c:v>
                </c:pt>
                <c:pt idx="153">
                  <c:v>3.8948737471577615E-3</c:v>
                </c:pt>
                <c:pt idx="154">
                  <c:v>3.8963697007229838E-3</c:v>
                </c:pt>
                <c:pt idx="155">
                  <c:v>3.8979457391771239E-3</c:v>
                </c:pt>
                <c:pt idx="156">
                  <c:v>3.8995938581952269E-3</c:v>
                </c:pt>
                <c:pt idx="157">
                  <c:v>3.904890655383751E-3</c:v>
                </c:pt>
                <c:pt idx="158">
                  <c:v>3.9067470534081454E-3</c:v>
                </c:pt>
                <c:pt idx="159">
                  <c:v>3.9086355103717229E-3</c:v>
                </c:pt>
                <c:pt idx="160">
                  <c:v>3.9105480219495271E-3</c:v>
                </c:pt>
                <c:pt idx="161">
                  <c:v>3.9124765838166034E-3</c:v>
                </c:pt>
                <c:pt idx="162">
                  <c:v>3.9182785279039019E-3</c:v>
                </c:pt>
                <c:pt idx="163">
                  <c:v>3.9201912476785053E-3</c:v>
                </c:pt>
                <c:pt idx="164">
                  <c:v>3.9220799961176009E-3</c:v>
                </c:pt>
                <c:pt idx="165">
                  <c:v>3.9239367688962334E-3</c:v>
                </c:pt>
                <c:pt idx="166">
                  <c:v>3.9257535616894455E-3</c:v>
                </c:pt>
                <c:pt idx="167">
                  <c:v>3.9324608465089849E-3</c:v>
                </c:pt>
                <c:pt idx="168">
                  <c:v>3.9339576745007626E-3</c:v>
                </c:pt>
                <c:pt idx="169">
                  <c:v>3.9353746219785903E-3</c:v>
                </c:pt>
                <c:pt idx="170">
                  <c:v>3.9367223236830744E-3</c:v>
                </c:pt>
                <c:pt idx="171">
                  <c:v>3.9404276155722735E-3</c:v>
                </c:pt>
                <c:pt idx="172">
                  <c:v>3.94157599559919E-3</c:v>
                </c:pt>
                <c:pt idx="173">
                  <c:v>3.9426939605606654E-3</c:v>
                </c:pt>
                <c:pt idx="174">
                  <c:v>3.9437892765982821E-3</c:v>
                </c:pt>
                <c:pt idx="175">
                  <c:v>3.9448697098536187E-3</c:v>
                </c:pt>
                <c:pt idx="176">
                  <c:v>3.948099374341759E-3</c:v>
                </c:pt>
                <c:pt idx="177">
                  <c:v>3.9491979378837843E-3</c:v>
                </c:pt>
                <c:pt idx="178">
                  <c:v>3.950320449351433E-3</c:v>
                </c:pt>
                <c:pt idx="179">
                  <c:v>3.9514746748862866E-3</c:v>
                </c:pt>
                <c:pt idx="180">
                  <c:v>3.9526683806299246E-3</c:v>
                </c:pt>
                <c:pt idx="181">
                  <c:v>3.9565640405293534E-3</c:v>
                </c:pt>
                <c:pt idx="182">
                  <c:v>3.9579933285239371E-3</c:v>
                </c:pt>
                <c:pt idx="183">
                  <c:v>3.959500927435208E-3</c:v>
                </c:pt>
                <c:pt idx="184">
                  <c:v>3.9610946034047472E-3</c:v>
                </c:pt>
                <c:pt idx="185">
                  <c:v>3.9627821225741355E-3</c:v>
                </c:pt>
                <c:pt idx="186">
                  <c:v>3.9684854006971993E-3</c:v>
                </c:pt>
                <c:pt idx="187">
                  <c:v>3.9706259540817895E-3</c:v>
                </c:pt>
                <c:pt idx="188">
                  <c:v>3.9728991813741312E-3</c:v>
                </c:pt>
                <c:pt idx="189">
                  <c:v>3.975312848715805E-3</c:v>
                </c:pt>
                <c:pt idx="190">
                  <c:v>3.9778747222483923E-3</c:v>
                </c:pt>
                <c:pt idx="191">
                  <c:v>3.9864423424236187E-3</c:v>
                </c:pt>
                <c:pt idx="192">
                  <c:v>3.9895583590837625E-3</c:v>
                </c:pt>
                <c:pt idx="193">
                  <c:v>3.9927859468793271E-3</c:v>
                </c:pt>
                <c:pt idx="194">
                  <c:v>3.996114005511045E-3</c:v>
                </c:pt>
                <c:pt idx="195">
                  <c:v>3.9995314346796462E-3</c:v>
                </c:pt>
                <c:pt idx="196">
                  <c:v>4.0102089424140733E-3</c:v>
                </c:pt>
                <c:pt idx="197">
                  <c:v>4.013872850737529E-3</c:v>
                </c:pt>
                <c:pt idx="198">
                  <c:v>4.0175706281015272E-3</c:v>
                </c:pt>
                <c:pt idx="199">
                  <c:v>4.0212911742068006E-3</c:v>
                </c:pt>
                <c:pt idx="200">
                  <c:v>4.0250233887540801E-3</c:v>
                </c:pt>
                <c:pt idx="201">
                  <c:v>4.0361790400552759E-3</c:v>
                </c:pt>
                <c:pt idx="202">
                  <c:v>4.039846925377899E-3</c:v>
                </c:pt>
                <c:pt idx="203">
                  <c:v>4.0434709776461875E-3</c:v>
                </c:pt>
                <c:pt idx="204">
                  <c:v>4.047040096560873E-3</c:v>
                </c:pt>
                <c:pt idx="205">
                  <c:v>4.0505431818226864E-3</c:v>
                </c:pt>
                <c:pt idx="206">
                  <c:v>4.0605452326982188E-3</c:v>
                </c:pt>
                <c:pt idx="207">
                  <c:v>4.0636731803558659E-3</c:v>
                </c:pt>
                <c:pt idx="208">
                  <c:v>4.0666795928642994E-3</c:v>
                </c:pt>
                <c:pt idx="209">
                  <c:v>4.0695533699242527E-3</c:v>
                </c:pt>
                <c:pt idx="210">
                  <c:v>4.0722834112364575E-3</c:v>
                </c:pt>
                <c:pt idx="211">
                  <c:v>4.0795001176938944E-3</c:v>
                </c:pt>
                <c:pt idx="212">
                  <c:v>4.0815467623712886E-3</c:v>
                </c:pt>
                <c:pt idx="213">
                  <c:v>4.0834094658977992E-3</c:v>
                </c:pt>
                <c:pt idx="214">
                  <c:v>4.0850924240673657E-3</c:v>
                </c:pt>
                <c:pt idx="215">
                  <c:v>4.0865998326739261E-3</c:v>
                </c:pt>
                <c:pt idx="216">
                  <c:v>4.0901107190549632E-3</c:v>
                </c:pt>
                <c:pt idx="217">
                  <c:v>4.0909578873488898E-3</c:v>
                </c:pt>
                <c:pt idx="218">
                  <c:v>4.0916504850495054E-3</c:v>
                </c:pt>
                <c:pt idx="219">
                  <c:v>4.0921927079507472E-3</c:v>
                </c:pt>
                <c:pt idx="220">
                  <c:v>4.0925887518465558E-3</c:v>
                </c:pt>
                <c:pt idx="221">
                  <c:v>4.0929417674407664E-3</c:v>
                </c:pt>
                <c:pt idx="222">
                  <c:v>4.0927950532542272E-3</c:v>
                </c:pt>
                <c:pt idx="223">
                  <c:v>4.0925231390319481E-3</c:v>
                </c:pt>
                <c:pt idx="224">
                  <c:v>4.092130220567868E-3</c:v>
                </c:pt>
                <c:pt idx="225">
                  <c:v>4.091620493655925E-3</c:v>
                </c:pt>
                <c:pt idx="226">
                  <c:v>4.0894324201723115E-3</c:v>
                </c:pt>
                <c:pt idx="227">
                  <c:v>4.0884974174083084E-3</c:v>
                </c:pt>
                <c:pt idx="228">
                  <c:v>4.0874665851661366E-3</c:v>
                </c:pt>
                <c:pt idx="229">
                  <c:v>4.0863441192397348E-3</c:v>
                </c:pt>
                <c:pt idx="230">
                  <c:v>4.0851342154230429E-3</c:v>
                </c:pt>
                <c:pt idx="231">
                  <c:v>4.0810218345706103E-3</c:v>
                </c:pt>
                <c:pt idx="232">
                  <c:v>4.0795041371321436E-3</c:v>
                </c:pt>
                <c:pt idx="233">
                  <c:v>4.0779199807730801E-3</c:v>
                </c:pt>
                <c:pt idx="234">
                  <c:v>4.0762735612873587E-3</c:v>
                </c:pt>
                <c:pt idx="235">
                  <c:v>4.0745690744689181E-3</c:v>
                </c:pt>
                <c:pt idx="236">
                  <c:v>4.0691491679566713E-3</c:v>
                </c:pt>
                <c:pt idx="237">
                  <c:v>4.067254369746743E-3</c:v>
                </c:pt>
                <c:pt idx="238">
                  <c:v>4.0653224831737889E-3</c:v>
                </c:pt>
                <c:pt idx="239">
                  <c:v>4.0633577040317496E-3</c:v>
                </c:pt>
                <c:pt idx="240">
                  <c:v>4.0613642281145616E-3</c:v>
                </c:pt>
                <c:pt idx="241">
                  <c:v>4.0552535776515039E-3</c:v>
                </c:pt>
                <c:pt idx="242">
                  <c:v>4.0531872725731149E-3</c:v>
                </c:pt>
                <c:pt idx="243">
                  <c:v>4.0511132496892721E-3</c:v>
                </c:pt>
                <c:pt idx="244">
                  <c:v>4.0490357047939154E-3</c:v>
                </c:pt>
                <c:pt idx="245">
                  <c:v>4.0469588336809826E-3</c:v>
                </c:pt>
                <c:pt idx="246">
                  <c:v>4.0407742209761172E-3</c:v>
                </c:pt>
                <c:pt idx="247">
                  <c:v>4.0387420029322696E-3</c:v>
                </c:pt>
                <c:pt idx="248">
                  <c:v>4.0367314376405393E-3</c:v>
                </c:pt>
                <c:pt idx="249">
                  <c:v>4.0347467208948669E-3</c:v>
                </c:pt>
                <c:pt idx="250">
                  <c:v>4.0327920484891895E-3</c:v>
                </c:pt>
                <c:pt idx="251">
                  <c:v>4.0236162043486004E-3</c:v>
                </c:pt>
                <c:pt idx="252">
                  <c:v>4.0219299096556135E-3</c:v>
                </c:pt>
                <c:pt idx="253">
                  <c:v>4.0203030298601936E-3</c:v>
                </c:pt>
                <c:pt idx="254">
                  <c:v>4.0144164389029928E-3</c:v>
                </c:pt>
                <c:pt idx="255">
                  <c:v>4.0130951121540503E-3</c:v>
                </c:pt>
                <c:pt idx="256">
                  <c:v>4.0118315922710078E-3</c:v>
                </c:pt>
                <c:pt idx="257">
                  <c:v>4.0106247184887459E-3</c:v>
                </c:pt>
                <c:pt idx="258">
                  <c:v>4.0073323660954263E-3</c:v>
                </c:pt>
                <c:pt idx="259">
                  <c:v>4.0063404690650721E-3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813632"/>
        <c:axId val="609815168"/>
      </c:scatterChart>
      <c:valAx>
        <c:axId val="6098136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9815168"/>
        <c:crosses val="autoZero"/>
        <c:crossBetween val="midCat"/>
      </c:valAx>
      <c:valAx>
        <c:axId val="6098151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98136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42369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5.6255522114063376E-3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42398</c:v>
                </c:pt>
                <c:pt idx="1">
                  <c:v>42429</c:v>
                </c:pt>
                <c:pt idx="2">
                  <c:v>42460</c:v>
                </c:pt>
                <c:pt idx="3">
                  <c:v>42489</c:v>
                </c:pt>
                <c:pt idx="4">
                  <c:v>42521</c:v>
                </c:pt>
                <c:pt idx="5">
                  <c:v>42551</c:v>
                </c:pt>
                <c:pt idx="6">
                  <c:v>42580</c:v>
                </c:pt>
                <c:pt idx="7">
                  <c:v>42613</c:v>
                </c:pt>
                <c:pt idx="8">
                  <c:v>42643</c:v>
                </c:pt>
                <c:pt idx="9">
                  <c:v>42674</c:v>
                </c:pt>
                <c:pt idx="10">
                  <c:v>42704</c:v>
                </c:pt>
                <c:pt idx="11">
                  <c:v>42734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5.5086298011157832E-3</c:v>
                </c:pt>
                <c:pt idx="1">
                  <c:v>5.3886393146302357E-3</c:v>
                </c:pt>
                <c:pt idx="2">
                  <c:v>5.2745607868623801E-3</c:v>
                </c:pt>
                <c:pt idx="3">
                  <c:v>5.2943839632928671E-3</c:v>
                </c:pt>
                <c:pt idx="4">
                  <c:v>5.2335436230898577E-3</c:v>
                </c:pt>
                <c:pt idx="5">
                  <c:v>5.178922874382489E-3</c:v>
                </c:pt>
                <c:pt idx="6">
                  <c:v>0</c:v>
                </c:pt>
                <c:pt idx="7">
                  <c:v>0</c:v>
                </c:pt>
                <c:pt idx="8">
                  <c:v>5.177786726624679E-3</c:v>
                </c:pt>
                <c:pt idx="9">
                  <c:v>0</c:v>
                </c:pt>
                <c:pt idx="10">
                  <c:v>0</c:v>
                </c:pt>
                <c:pt idx="11">
                  <c:v>5.3238172342214389E-3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42369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42387</c:v>
                </c:pt>
                <c:pt idx="12">
                  <c:v>42388</c:v>
                </c:pt>
                <c:pt idx="13">
                  <c:v>42389</c:v>
                </c:pt>
                <c:pt idx="14">
                  <c:v>42390</c:v>
                </c:pt>
                <c:pt idx="15">
                  <c:v>42391</c:v>
                </c:pt>
                <c:pt idx="16">
                  <c:v>42394</c:v>
                </c:pt>
                <c:pt idx="17">
                  <c:v>42395</c:v>
                </c:pt>
                <c:pt idx="18">
                  <c:v>42396</c:v>
                </c:pt>
                <c:pt idx="19">
                  <c:v>42397</c:v>
                </c:pt>
                <c:pt idx="20">
                  <c:v>42398</c:v>
                </c:pt>
                <c:pt idx="21">
                  <c:v>42401</c:v>
                </c:pt>
                <c:pt idx="22">
                  <c:v>42402</c:v>
                </c:pt>
                <c:pt idx="23">
                  <c:v>42403</c:v>
                </c:pt>
                <c:pt idx="24">
                  <c:v>42404</c:v>
                </c:pt>
                <c:pt idx="25">
                  <c:v>42405</c:v>
                </c:pt>
                <c:pt idx="26">
                  <c:v>42408</c:v>
                </c:pt>
                <c:pt idx="27">
                  <c:v>42409</c:v>
                </c:pt>
                <c:pt idx="28">
                  <c:v>42410</c:v>
                </c:pt>
                <c:pt idx="29">
                  <c:v>42411</c:v>
                </c:pt>
                <c:pt idx="30">
                  <c:v>42412</c:v>
                </c:pt>
                <c:pt idx="31">
                  <c:v>42415</c:v>
                </c:pt>
                <c:pt idx="32">
                  <c:v>42416</c:v>
                </c:pt>
                <c:pt idx="33">
                  <c:v>42417</c:v>
                </c:pt>
                <c:pt idx="34">
                  <c:v>42418</c:v>
                </c:pt>
                <c:pt idx="35">
                  <c:v>42419</c:v>
                </c:pt>
                <c:pt idx="36">
                  <c:v>42422</c:v>
                </c:pt>
                <c:pt idx="37">
                  <c:v>42423</c:v>
                </c:pt>
                <c:pt idx="38">
                  <c:v>42424</c:v>
                </c:pt>
                <c:pt idx="39">
                  <c:v>42425</c:v>
                </c:pt>
                <c:pt idx="40">
                  <c:v>42426</c:v>
                </c:pt>
                <c:pt idx="41">
                  <c:v>42429</c:v>
                </c:pt>
                <c:pt idx="42">
                  <c:v>42430</c:v>
                </c:pt>
                <c:pt idx="43">
                  <c:v>42431</c:v>
                </c:pt>
                <c:pt idx="44">
                  <c:v>42432</c:v>
                </c:pt>
                <c:pt idx="45">
                  <c:v>42433</c:v>
                </c:pt>
                <c:pt idx="46">
                  <c:v>42436</c:v>
                </c:pt>
                <c:pt idx="47">
                  <c:v>42437</c:v>
                </c:pt>
                <c:pt idx="48">
                  <c:v>42438</c:v>
                </c:pt>
                <c:pt idx="49">
                  <c:v>42439</c:v>
                </c:pt>
                <c:pt idx="50">
                  <c:v>42440</c:v>
                </c:pt>
                <c:pt idx="51">
                  <c:v>42443</c:v>
                </c:pt>
                <c:pt idx="52">
                  <c:v>42444</c:v>
                </c:pt>
                <c:pt idx="53">
                  <c:v>42445</c:v>
                </c:pt>
                <c:pt idx="54">
                  <c:v>42446</c:v>
                </c:pt>
                <c:pt idx="55">
                  <c:v>42447</c:v>
                </c:pt>
                <c:pt idx="56">
                  <c:v>42450</c:v>
                </c:pt>
                <c:pt idx="57">
                  <c:v>42451</c:v>
                </c:pt>
                <c:pt idx="58">
                  <c:v>42452</c:v>
                </c:pt>
                <c:pt idx="59">
                  <c:v>42453</c:v>
                </c:pt>
                <c:pt idx="60">
                  <c:v>42458</c:v>
                </c:pt>
                <c:pt idx="61">
                  <c:v>42459</c:v>
                </c:pt>
                <c:pt idx="62">
                  <c:v>42460</c:v>
                </c:pt>
                <c:pt idx="63">
                  <c:v>42461</c:v>
                </c:pt>
                <c:pt idx="64">
                  <c:v>42464</c:v>
                </c:pt>
                <c:pt idx="65">
                  <c:v>42465</c:v>
                </c:pt>
                <c:pt idx="66">
                  <c:v>42466</c:v>
                </c:pt>
                <c:pt idx="67">
                  <c:v>42467</c:v>
                </c:pt>
                <c:pt idx="68">
                  <c:v>42468</c:v>
                </c:pt>
                <c:pt idx="69">
                  <c:v>42471</c:v>
                </c:pt>
                <c:pt idx="70">
                  <c:v>42472</c:v>
                </c:pt>
                <c:pt idx="71">
                  <c:v>42473</c:v>
                </c:pt>
                <c:pt idx="72">
                  <c:v>42474</c:v>
                </c:pt>
                <c:pt idx="73">
                  <c:v>42475</c:v>
                </c:pt>
                <c:pt idx="74">
                  <c:v>42478</c:v>
                </c:pt>
                <c:pt idx="75">
                  <c:v>42479</c:v>
                </c:pt>
                <c:pt idx="76">
                  <c:v>42480</c:v>
                </c:pt>
                <c:pt idx="77">
                  <c:v>42481</c:v>
                </c:pt>
                <c:pt idx="78">
                  <c:v>42482</c:v>
                </c:pt>
                <c:pt idx="79">
                  <c:v>42485</c:v>
                </c:pt>
                <c:pt idx="80">
                  <c:v>42486</c:v>
                </c:pt>
                <c:pt idx="81">
                  <c:v>42487</c:v>
                </c:pt>
                <c:pt idx="82">
                  <c:v>42488</c:v>
                </c:pt>
                <c:pt idx="83">
                  <c:v>42489</c:v>
                </c:pt>
                <c:pt idx="84">
                  <c:v>42493</c:v>
                </c:pt>
                <c:pt idx="85">
                  <c:v>42494</c:v>
                </c:pt>
                <c:pt idx="86">
                  <c:v>42495</c:v>
                </c:pt>
                <c:pt idx="87">
                  <c:v>42496</c:v>
                </c:pt>
                <c:pt idx="88">
                  <c:v>42499</c:v>
                </c:pt>
                <c:pt idx="89">
                  <c:v>42500</c:v>
                </c:pt>
                <c:pt idx="90">
                  <c:v>42501</c:v>
                </c:pt>
                <c:pt idx="91">
                  <c:v>42502</c:v>
                </c:pt>
                <c:pt idx="92">
                  <c:v>42503</c:v>
                </c:pt>
                <c:pt idx="93">
                  <c:v>42506</c:v>
                </c:pt>
                <c:pt idx="94">
                  <c:v>42507</c:v>
                </c:pt>
                <c:pt idx="95">
                  <c:v>42508</c:v>
                </c:pt>
                <c:pt idx="96">
                  <c:v>42509</c:v>
                </c:pt>
                <c:pt idx="97">
                  <c:v>42510</c:v>
                </c:pt>
                <c:pt idx="98">
                  <c:v>42513</c:v>
                </c:pt>
                <c:pt idx="99">
                  <c:v>42514</c:v>
                </c:pt>
                <c:pt idx="100">
                  <c:v>42515</c:v>
                </c:pt>
                <c:pt idx="101">
                  <c:v>42516</c:v>
                </c:pt>
                <c:pt idx="102">
                  <c:v>42517</c:v>
                </c:pt>
                <c:pt idx="103">
                  <c:v>42521</c:v>
                </c:pt>
                <c:pt idx="104">
                  <c:v>42522</c:v>
                </c:pt>
                <c:pt idx="105">
                  <c:v>42523</c:v>
                </c:pt>
                <c:pt idx="106">
                  <c:v>42524</c:v>
                </c:pt>
                <c:pt idx="107">
                  <c:v>42527</c:v>
                </c:pt>
                <c:pt idx="108">
                  <c:v>42528</c:v>
                </c:pt>
                <c:pt idx="109">
                  <c:v>42529</c:v>
                </c:pt>
                <c:pt idx="110">
                  <c:v>42530</c:v>
                </c:pt>
                <c:pt idx="111">
                  <c:v>42531</c:v>
                </c:pt>
                <c:pt idx="112">
                  <c:v>42534</c:v>
                </c:pt>
                <c:pt idx="113">
                  <c:v>42535</c:v>
                </c:pt>
                <c:pt idx="114">
                  <c:v>42536</c:v>
                </c:pt>
                <c:pt idx="115">
                  <c:v>42537</c:v>
                </c:pt>
                <c:pt idx="116">
                  <c:v>42538</c:v>
                </c:pt>
                <c:pt idx="117">
                  <c:v>42541</c:v>
                </c:pt>
                <c:pt idx="118">
                  <c:v>42542</c:v>
                </c:pt>
                <c:pt idx="119">
                  <c:v>42543</c:v>
                </c:pt>
                <c:pt idx="120">
                  <c:v>42544</c:v>
                </c:pt>
                <c:pt idx="121">
                  <c:v>42545</c:v>
                </c:pt>
                <c:pt idx="122">
                  <c:v>42548</c:v>
                </c:pt>
                <c:pt idx="123">
                  <c:v>42549</c:v>
                </c:pt>
                <c:pt idx="124">
                  <c:v>42550</c:v>
                </c:pt>
                <c:pt idx="125">
                  <c:v>42551</c:v>
                </c:pt>
                <c:pt idx="126">
                  <c:v>42552</c:v>
                </c:pt>
                <c:pt idx="127">
                  <c:v>42555</c:v>
                </c:pt>
                <c:pt idx="128">
                  <c:v>42556</c:v>
                </c:pt>
                <c:pt idx="129">
                  <c:v>42557</c:v>
                </c:pt>
                <c:pt idx="130">
                  <c:v>42558</c:v>
                </c:pt>
                <c:pt idx="131">
                  <c:v>42559</c:v>
                </c:pt>
                <c:pt idx="132">
                  <c:v>42562</c:v>
                </c:pt>
                <c:pt idx="133">
                  <c:v>42563</c:v>
                </c:pt>
                <c:pt idx="134">
                  <c:v>42564</c:v>
                </c:pt>
                <c:pt idx="135">
                  <c:v>42565</c:v>
                </c:pt>
                <c:pt idx="136">
                  <c:v>42566</c:v>
                </c:pt>
                <c:pt idx="137">
                  <c:v>42569</c:v>
                </c:pt>
                <c:pt idx="138">
                  <c:v>42570</c:v>
                </c:pt>
                <c:pt idx="139">
                  <c:v>42571</c:v>
                </c:pt>
                <c:pt idx="140">
                  <c:v>42572</c:v>
                </c:pt>
                <c:pt idx="141">
                  <c:v>42573</c:v>
                </c:pt>
                <c:pt idx="142">
                  <c:v>42576</c:v>
                </c:pt>
                <c:pt idx="143">
                  <c:v>42577</c:v>
                </c:pt>
                <c:pt idx="144">
                  <c:v>42578</c:v>
                </c:pt>
                <c:pt idx="145">
                  <c:v>42579</c:v>
                </c:pt>
                <c:pt idx="146">
                  <c:v>42580</c:v>
                </c:pt>
                <c:pt idx="147">
                  <c:v>42583</c:v>
                </c:pt>
                <c:pt idx="148">
                  <c:v>42584</c:v>
                </c:pt>
                <c:pt idx="149">
                  <c:v>42585</c:v>
                </c:pt>
                <c:pt idx="150">
                  <c:v>42586</c:v>
                </c:pt>
                <c:pt idx="151">
                  <c:v>42587</c:v>
                </c:pt>
                <c:pt idx="152">
                  <c:v>42590</c:v>
                </c:pt>
                <c:pt idx="153">
                  <c:v>42591</c:v>
                </c:pt>
                <c:pt idx="154">
                  <c:v>42592</c:v>
                </c:pt>
                <c:pt idx="155">
                  <c:v>42593</c:v>
                </c:pt>
                <c:pt idx="156">
                  <c:v>42594</c:v>
                </c:pt>
                <c:pt idx="157">
                  <c:v>42597</c:v>
                </c:pt>
                <c:pt idx="158">
                  <c:v>42598</c:v>
                </c:pt>
                <c:pt idx="159">
                  <c:v>42599</c:v>
                </c:pt>
                <c:pt idx="160">
                  <c:v>42600</c:v>
                </c:pt>
                <c:pt idx="161">
                  <c:v>42601</c:v>
                </c:pt>
                <c:pt idx="162">
                  <c:v>42604</c:v>
                </c:pt>
                <c:pt idx="163">
                  <c:v>42605</c:v>
                </c:pt>
                <c:pt idx="164">
                  <c:v>42606</c:v>
                </c:pt>
                <c:pt idx="165">
                  <c:v>42607</c:v>
                </c:pt>
                <c:pt idx="166">
                  <c:v>42608</c:v>
                </c:pt>
                <c:pt idx="167">
                  <c:v>42612</c:v>
                </c:pt>
                <c:pt idx="168">
                  <c:v>42613</c:v>
                </c:pt>
                <c:pt idx="169">
                  <c:v>42614</c:v>
                </c:pt>
                <c:pt idx="170">
                  <c:v>42615</c:v>
                </c:pt>
                <c:pt idx="171">
                  <c:v>42618</c:v>
                </c:pt>
                <c:pt idx="172">
                  <c:v>42619</c:v>
                </c:pt>
                <c:pt idx="173">
                  <c:v>42620</c:v>
                </c:pt>
                <c:pt idx="174">
                  <c:v>42621</c:v>
                </c:pt>
                <c:pt idx="175">
                  <c:v>42622</c:v>
                </c:pt>
                <c:pt idx="176">
                  <c:v>42625</c:v>
                </c:pt>
                <c:pt idx="177">
                  <c:v>42626</c:v>
                </c:pt>
                <c:pt idx="178">
                  <c:v>42627</c:v>
                </c:pt>
                <c:pt idx="179">
                  <c:v>42628</c:v>
                </c:pt>
                <c:pt idx="180">
                  <c:v>42629</c:v>
                </c:pt>
                <c:pt idx="181">
                  <c:v>42632</c:v>
                </c:pt>
                <c:pt idx="182">
                  <c:v>42633</c:v>
                </c:pt>
                <c:pt idx="183">
                  <c:v>42634</c:v>
                </c:pt>
                <c:pt idx="184">
                  <c:v>42635</c:v>
                </c:pt>
                <c:pt idx="185">
                  <c:v>42636</c:v>
                </c:pt>
                <c:pt idx="186">
                  <c:v>42639</c:v>
                </c:pt>
                <c:pt idx="187">
                  <c:v>42640</c:v>
                </c:pt>
                <c:pt idx="188">
                  <c:v>42641</c:v>
                </c:pt>
                <c:pt idx="189">
                  <c:v>42642</c:v>
                </c:pt>
                <c:pt idx="190">
                  <c:v>42643</c:v>
                </c:pt>
                <c:pt idx="191">
                  <c:v>42646</c:v>
                </c:pt>
                <c:pt idx="192">
                  <c:v>42647</c:v>
                </c:pt>
                <c:pt idx="193">
                  <c:v>42648</c:v>
                </c:pt>
                <c:pt idx="194">
                  <c:v>42649</c:v>
                </c:pt>
                <c:pt idx="195">
                  <c:v>42650</c:v>
                </c:pt>
                <c:pt idx="196">
                  <c:v>42653</c:v>
                </c:pt>
                <c:pt idx="197">
                  <c:v>42654</c:v>
                </c:pt>
                <c:pt idx="198">
                  <c:v>42655</c:v>
                </c:pt>
                <c:pt idx="199">
                  <c:v>42656</c:v>
                </c:pt>
                <c:pt idx="200">
                  <c:v>42657</c:v>
                </c:pt>
                <c:pt idx="201">
                  <c:v>42660</c:v>
                </c:pt>
                <c:pt idx="202">
                  <c:v>42661</c:v>
                </c:pt>
                <c:pt idx="203">
                  <c:v>42662</c:v>
                </c:pt>
                <c:pt idx="204">
                  <c:v>42663</c:v>
                </c:pt>
                <c:pt idx="205">
                  <c:v>42664</c:v>
                </c:pt>
                <c:pt idx="206">
                  <c:v>42667</c:v>
                </c:pt>
                <c:pt idx="207">
                  <c:v>42668</c:v>
                </c:pt>
                <c:pt idx="208">
                  <c:v>42669</c:v>
                </c:pt>
                <c:pt idx="209">
                  <c:v>42670</c:v>
                </c:pt>
                <c:pt idx="210">
                  <c:v>42671</c:v>
                </c:pt>
                <c:pt idx="211">
                  <c:v>42674</c:v>
                </c:pt>
                <c:pt idx="212">
                  <c:v>42675</c:v>
                </c:pt>
                <c:pt idx="213">
                  <c:v>42676</c:v>
                </c:pt>
                <c:pt idx="214">
                  <c:v>42677</c:v>
                </c:pt>
                <c:pt idx="215">
                  <c:v>42678</c:v>
                </c:pt>
                <c:pt idx="216">
                  <c:v>42681</c:v>
                </c:pt>
                <c:pt idx="217">
                  <c:v>42682</c:v>
                </c:pt>
                <c:pt idx="218">
                  <c:v>42683</c:v>
                </c:pt>
                <c:pt idx="219">
                  <c:v>42684</c:v>
                </c:pt>
                <c:pt idx="220">
                  <c:v>42685</c:v>
                </c:pt>
                <c:pt idx="221">
                  <c:v>42688</c:v>
                </c:pt>
                <c:pt idx="222">
                  <c:v>42689</c:v>
                </c:pt>
                <c:pt idx="223">
                  <c:v>42690</c:v>
                </c:pt>
                <c:pt idx="224">
                  <c:v>42691</c:v>
                </c:pt>
                <c:pt idx="225">
                  <c:v>42692</c:v>
                </c:pt>
                <c:pt idx="226">
                  <c:v>42695</c:v>
                </c:pt>
                <c:pt idx="227">
                  <c:v>42696</c:v>
                </c:pt>
                <c:pt idx="228">
                  <c:v>42697</c:v>
                </c:pt>
                <c:pt idx="229">
                  <c:v>42698</c:v>
                </c:pt>
                <c:pt idx="230">
                  <c:v>42699</c:v>
                </c:pt>
                <c:pt idx="231">
                  <c:v>42702</c:v>
                </c:pt>
                <c:pt idx="232">
                  <c:v>42703</c:v>
                </c:pt>
                <c:pt idx="233">
                  <c:v>42704</c:v>
                </c:pt>
                <c:pt idx="234">
                  <c:v>42705</c:v>
                </c:pt>
                <c:pt idx="235">
                  <c:v>42706</c:v>
                </c:pt>
                <c:pt idx="236">
                  <c:v>42709</c:v>
                </c:pt>
                <c:pt idx="237">
                  <c:v>42710</c:v>
                </c:pt>
                <c:pt idx="238">
                  <c:v>42711</c:v>
                </c:pt>
                <c:pt idx="239">
                  <c:v>42712</c:v>
                </c:pt>
                <c:pt idx="240">
                  <c:v>42713</c:v>
                </c:pt>
                <c:pt idx="241">
                  <c:v>42716</c:v>
                </c:pt>
                <c:pt idx="242">
                  <c:v>42717</c:v>
                </c:pt>
                <c:pt idx="243">
                  <c:v>42718</c:v>
                </c:pt>
                <c:pt idx="244">
                  <c:v>42719</c:v>
                </c:pt>
                <c:pt idx="245">
                  <c:v>42720</c:v>
                </c:pt>
                <c:pt idx="246">
                  <c:v>42723</c:v>
                </c:pt>
                <c:pt idx="247">
                  <c:v>42724</c:v>
                </c:pt>
                <c:pt idx="248">
                  <c:v>42725</c:v>
                </c:pt>
                <c:pt idx="249">
                  <c:v>42726</c:v>
                </c:pt>
                <c:pt idx="250">
                  <c:v>42727</c:v>
                </c:pt>
                <c:pt idx="251">
                  <c:v>42732</c:v>
                </c:pt>
                <c:pt idx="252">
                  <c:v>42733</c:v>
                </c:pt>
                <c:pt idx="253">
                  <c:v>42734</c:v>
                </c:pt>
                <c:pt idx="254">
                  <c:v>42738</c:v>
                </c:pt>
                <c:pt idx="255">
                  <c:v>42739</c:v>
                </c:pt>
                <c:pt idx="256">
                  <c:v>42740</c:v>
                </c:pt>
                <c:pt idx="257">
                  <c:v>42741</c:v>
                </c:pt>
                <c:pt idx="258">
                  <c:v>42744</c:v>
                </c:pt>
                <c:pt idx="259">
                  <c:v>42745</c:v>
                </c:pt>
              </c:numCache>
            </c:numRef>
          </c:xVal>
          <c:yVal>
            <c:numRef>
              <c:f>'Delta 1Y'!$S$3:$S$262</c:f>
              <c:numCache>
                <c:formatCode>General</c:formatCode>
                <c:ptCount val="260"/>
                <c:pt idx="0">
                  <c:v>5.6255522114063376E-3</c:v>
                </c:pt>
                <c:pt idx="1">
                  <c:v>5.6089350396482463E-3</c:v>
                </c:pt>
                <c:pt idx="2">
                  <c:v>5.6047874277462568E-3</c:v>
                </c:pt>
                <c:pt idx="3">
                  <c:v>5.6006442698692911E-3</c:v>
                </c:pt>
                <c:pt idx="4">
                  <c:v>5.5965064568223519E-3</c:v>
                </c:pt>
                <c:pt idx="5">
                  <c:v>5.5923748794104453E-3</c:v>
                </c:pt>
                <c:pt idx="6">
                  <c:v>5.5800264690349603E-3</c:v>
                </c:pt>
                <c:pt idx="7">
                  <c:v>5.5759287422132257E-3</c:v>
                </c:pt>
                <c:pt idx="8">
                  <c:v>5.571841705051545E-3</c:v>
                </c:pt>
                <c:pt idx="9">
                  <c:v>5.5677662483549243E-3</c:v>
                </c:pt>
                <c:pt idx="10">
                  <c:v>5.5637032629283672E-3</c:v>
                </c:pt>
                <c:pt idx="11">
                  <c:v>5.5515980423191218E-3</c:v>
                </c:pt>
                <c:pt idx="12">
                  <c:v>5.5475938500228646E-3</c:v>
                </c:pt>
                <c:pt idx="13">
                  <c:v>5.543606583021693E-3</c:v>
                </c:pt>
                <c:pt idx="14">
                  <c:v>5.5396371321206122E-3</c:v>
                </c:pt>
                <c:pt idx="15">
                  <c:v>5.5356863881246268E-3</c:v>
                </c:pt>
                <c:pt idx="16">
                  <c:v>5.5239553056172898E-3</c:v>
                </c:pt>
                <c:pt idx="17">
                  <c:v>5.5200882972917314E-3</c:v>
                </c:pt>
                <c:pt idx="18">
                  <c:v>5.5162444498962912E-3</c:v>
                </c:pt>
                <c:pt idx="19">
                  <c:v>5.5124246542359737E-3</c:v>
                </c:pt>
                <c:pt idx="20">
                  <c:v>5.5086298011157832E-3</c:v>
                </c:pt>
                <c:pt idx="21">
                  <c:v>5.4973860578123685E-3</c:v>
                </c:pt>
                <c:pt idx="22">
                  <c:v>5.4936755626195802E-3</c:v>
                </c:pt>
                <c:pt idx="23">
                  <c:v>5.4899786886731397E-3</c:v>
                </c:pt>
                <c:pt idx="24">
                  <c:v>5.4862923829483512E-3</c:v>
                </c:pt>
                <c:pt idx="25">
                  <c:v>5.4826135924205197E-3</c:v>
                </c:pt>
                <c:pt idx="26">
                  <c:v>5.471591781771804E-3</c:v>
                </c:pt>
                <c:pt idx="27">
                  <c:v>5.4679125217848394E-3</c:v>
                </c:pt>
                <c:pt idx="28">
                  <c:v>5.4642255118713522E-3</c:v>
                </c:pt>
                <c:pt idx="29">
                  <c:v>5.4605276990066457E-3</c:v>
                </c:pt>
                <c:pt idx="30">
                  <c:v>5.4568160301660257E-3</c:v>
                </c:pt>
                <c:pt idx="31">
                  <c:v>5.4455673575417168E-3</c:v>
                </c:pt>
                <c:pt idx="32">
                  <c:v>5.4417697345504785E-3</c:v>
                </c:pt>
                <c:pt idx="33">
                  <c:v>5.4379429904598464E-3</c:v>
                </c:pt>
                <c:pt idx="34">
                  <c:v>5.4340840722451244E-3</c:v>
                </c:pt>
                <c:pt idx="35">
                  <c:v>5.4301899268816168E-3</c:v>
                </c:pt>
                <c:pt idx="36">
                  <c:v>5.4182655976514216E-3</c:v>
                </c:pt>
                <c:pt idx="37">
                  <c:v>5.4142000134458123E-3</c:v>
                </c:pt>
                <c:pt idx="38">
                  <c:v>5.4100839369679386E-3</c:v>
                </c:pt>
                <c:pt idx="39">
                  <c:v>5.4059143151931029E-3</c:v>
                </c:pt>
                <c:pt idx="40">
                  <c:v>5.4016880950966111E-3</c:v>
                </c:pt>
                <c:pt idx="41">
                  <c:v>5.3886393146302357E-3</c:v>
                </c:pt>
                <c:pt idx="42">
                  <c:v>5.3841585891389503E-3</c:v>
                </c:pt>
                <c:pt idx="43">
                  <c:v>5.3796205090352817E-3</c:v>
                </c:pt>
                <c:pt idx="44">
                  <c:v>5.375036530127289E-3</c:v>
                </c:pt>
                <c:pt idx="45">
                  <c:v>5.3704181082230296E-3</c:v>
                </c:pt>
                <c:pt idx="46">
                  <c:v>5.3564707426132273E-3</c:v>
                </c:pt>
                <c:pt idx="47">
                  <c:v>5.3518291068044782E-3</c:v>
                </c:pt>
                <c:pt idx="48">
                  <c:v>5.3472103070397511E-3</c:v>
                </c:pt>
                <c:pt idx="49">
                  <c:v>5.3426257991271041E-3</c:v>
                </c:pt>
                <c:pt idx="50">
                  <c:v>5.3380870388745954E-3</c:v>
                </c:pt>
                <c:pt idx="51">
                  <c:v>5.3248598021584728E-3</c:v>
                </c:pt>
                <c:pt idx="52">
                  <c:v>5.3206185906270924E-3</c:v>
                </c:pt>
                <c:pt idx="53">
                  <c:v>5.3164804057961399E-3</c:v>
                </c:pt>
                <c:pt idx="54">
                  <c:v>5.3124567034736718E-3</c:v>
                </c:pt>
                <c:pt idx="55">
                  <c:v>5.3085589394677455E-3</c:v>
                </c:pt>
                <c:pt idx="56">
                  <c:v>5.2977358354298013E-3</c:v>
                </c:pt>
                <c:pt idx="57">
                  <c:v>5.2944563827706237E-3</c:v>
                </c:pt>
                <c:pt idx="58">
                  <c:v>5.2913601474682773E-3</c:v>
                </c:pt>
                <c:pt idx="59">
                  <c:v>5.2884585853308205E-3</c:v>
                </c:pt>
                <c:pt idx="60">
                  <c:v>5.2772718253988994E-3</c:v>
                </c:pt>
                <c:pt idx="61">
                  <c:v>5.2757788742199925E-3</c:v>
                </c:pt>
                <c:pt idx="62">
                  <c:v>5.2745607868623801E-3</c:v>
                </c:pt>
                <c:pt idx="63">
                  <c:v>5.2736260214970533E-3</c:v>
                </c:pt>
                <c:pt idx="64">
                  <c:v>5.2723870947797959E-3</c:v>
                </c:pt>
                <c:pt idx="65">
                  <c:v>5.2724377888466534E-3</c:v>
                </c:pt>
                <c:pt idx="66">
                  <c:v>5.2726912576563341E-3</c:v>
                </c:pt>
                <c:pt idx="67">
                  <c:v>5.2731300651627476E-3</c:v>
                </c:pt>
                <c:pt idx="68">
                  <c:v>5.2737367753198068E-3</c:v>
                </c:pt>
                <c:pt idx="69">
                  <c:v>5.2763899612339573E-3</c:v>
                </c:pt>
                <c:pt idx="70">
                  <c:v>5.2774939215327011E-3</c:v>
                </c:pt>
                <c:pt idx="71">
                  <c:v>5.2786786042516437E-3</c:v>
                </c:pt>
                <c:pt idx="72">
                  <c:v>5.2799265733446954E-3</c:v>
                </c:pt>
                <c:pt idx="73">
                  <c:v>5.2812203927657666E-3</c:v>
                </c:pt>
                <c:pt idx="74">
                  <c:v>5.2852025925362069E-3</c:v>
                </c:pt>
                <c:pt idx="75">
                  <c:v>5.2865054528084647E-3</c:v>
                </c:pt>
                <c:pt idx="76">
                  <c:v>5.2877669831782968E-3</c:v>
                </c:pt>
                <c:pt idx="77">
                  <c:v>5.2889697475996126E-3</c:v>
                </c:pt>
                <c:pt idx="78">
                  <c:v>5.2900963100263234E-3</c:v>
                </c:pt>
                <c:pt idx="79">
                  <c:v>5.2928444248779346E-3</c:v>
                </c:pt>
                <c:pt idx="80">
                  <c:v>5.293491818865334E-3</c:v>
                </c:pt>
                <c:pt idx="81">
                  <c:v>5.2939758306276815E-3</c:v>
                </c:pt>
                <c:pt idx="82">
                  <c:v>5.294279024118889E-3</c:v>
                </c:pt>
                <c:pt idx="83">
                  <c:v>5.2943839632928671E-3</c:v>
                </c:pt>
                <c:pt idx="84">
                  <c:v>5.2928523202009706E-3</c:v>
                </c:pt>
                <c:pt idx="85">
                  <c:v>5.2920231935497377E-3</c:v>
                </c:pt>
                <c:pt idx="86">
                  <c:v>5.2910311433894217E-3</c:v>
                </c:pt>
                <c:pt idx="87">
                  <c:v>5.2898839511411324E-3</c:v>
                </c:pt>
                <c:pt idx="88">
                  <c:v>5.2855893360795282E-3</c:v>
                </c:pt>
                <c:pt idx="89">
                  <c:v>5.2838993896904482E-3</c:v>
                </c:pt>
                <c:pt idx="90">
                  <c:v>5.2820932083189462E-3</c:v>
                </c:pt>
                <c:pt idx="91">
                  <c:v>5.2801785733861319E-3</c:v>
                </c:pt>
                <c:pt idx="92">
                  <c:v>5.2781632663131163E-3</c:v>
                </c:pt>
                <c:pt idx="93">
                  <c:v>5.2715911264639573E-3</c:v>
                </c:pt>
                <c:pt idx="94">
                  <c:v>5.2692509450412341E-3</c:v>
                </c:pt>
                <c:pt idx="95">
                  <c:v>5.2668489985838608E-3</c:v>
                </c:pt>
                <c:pt idx="96">
                  <c:v>5.2643930685129462E-3</c:v>
                </c:pt>
                <c:pt idx="97">
                  <c:v>5.2618909362496004E-3</c:v>
                </c:pt>
                <c:pt idx="98">
                  <c:v>5.2541851405160786E-3</c:v>
                </c:pt>
                <c:pt idx="99">
                  <c:v>5.2515760136941101E-3</c:v>
                </c:pt>
                <c:pt idx="100">
                  <c:v>5.2489595917852624E-3</c:v>
                </c:pt>
                <c:pt idx="101">
                  <c:v>5.2463436562106436E-3</c:v>
                </c:pt>
                <c:pt idx="102">
                  <c:v>5.2437359883913655E-3</c:v>
                </c:pt>
                <c:pt idx="103">
                  <c:v>5.2335436230898577E-3</c:v>
                </c:pt>
                <c:pt idx="104">
                  <c:v>5.231093214428992E-3</c:v>
                </c:pt>
                <c:pt idx="105">
                  <c:v>5.2286906566970494E-3</c:v>
                </c:pt>
                <c:pt idx="106">
                  <c:v>5.2263354760903446E-3</c:v>
                </c:pt>
                <c:pt idx="107">
                  <c:v>5.219549458984802E-3</c:v>
                </c:pt>
                <c:pt idx="108">
                  <c:v>5.2173790488421936E-3</c:v>
                </c:pt>
                <c:pt idx="109">
                  <c:v>5.2152536468063953E-3</c:v>
                </c:pt>
                <c:pt idx="110">
                  <c:v>5.2131727790737225E-3</c:v>
                </c:pt>
                <c:pt idx="111">
                  <c:v>5.2111359718404887E-3</c:v>
                </c:pt>
                <c:pt idx="112">
                  <c:v>5.2052851751005691E-3</c:v>
                </c:pt>
                <c:pt idx="113">
                  <c:v>5.2034198718282389E-3</c:v>
                </c:pt>
                <c:pt idx="114">
                  <c:v>5.2015962600369201E-3</c:v>
                </c:pt>
                <c:pt idx="115">
                  <c:v>5.1998138659229282E-3</c:v>
                </c:pt>
                <c:pt idx="116">
                  <c:v>5.1980722156825783E-3</c:v>
                </c:pt>
                <c:pt idx="117">
                  <c:v>5.1930869901665195E-3</c:v>
                </c:pt>
                <c:pt idx="118">
                  <c:v>5.1915035773838795E-3</c:v>
                </c:pt>
                <c:pt idx="119">
                  <c:v>5.1899585394564532E-3</c:v>
                </c:pt>
                <c:pt idx="120">
                  <c:v>5.188451402580555E-3</c:v>
                </c:pt>
                <c:pt idx="121">
                  <c:v>5.1869816929525003E-3</c:v>
                </c:pt>
                <c:pt idx="122">
                  <c:v>5.1827923895185393E-3</c:v>
                </c:pt>
                <c:pt idx="123">
                  <c:v>5.1814676508450024E-3</c:v>
                </c:pt>
                <c:pt idx="124">
                  <c:v>5.1801779704008805E-3</c:v>
                </c:pt>
                <c:pt idx="125">
                  <c:v>5.178922874382489E-3</c:v>
                </c:pt>
                <c:pt idx="126">
                  <c:v>5.1776991142817221E-3</c:v>
                </c:pt>
                <c:pt idx="127">
                  <c:v>5.1741977895986713E-3</c:v>
                </c:pt>
                <c:pt idx="128">
                  <c:v>5.1730871398888148E-3</c:v>
                </c:pt>
                <c:pt idx="129">
                  <c:v>5.1720046227602453E-3</c:v>
                </c:pt>
                <c:pt idx="130">
                  <c:v>5.170950180206386E-3</c:v>
                </c:pt>
                <c:pt idx="131">
                  <c:v>5.1699237542206606E-3</c:v>
                </c:pt>
                <c:pt idx="132">
                  <c:v>5.1670119956065208E-3</c:v>
                </c:pt>
                <c:pt idx="133">
                  <c:v>5.1660970558275662E-3</c:v>
                </c:pt>
                <c:pt idx="134">
                  <c:v>5.1652098425838625E-3</c:v>
                </c:pt>
                <c:pt idx="135">
                  <c:v>5.1643502978688336E-3</c:v>
                </c:pt>
                <c:pt idx="136">
                  <c:v>5.1635183636759034E-3</c:v>
                </c:pt>
                <c:pt idx="137">
                  <c:v>5.1611876441639403E-3</c:v>
                </c:pt>
                <c:pt idx="138">
                  <c:v>5.1604655719936412E-3</c:v>
                </c:pt>
                <c:pt idx="139">
                  <c:v>5.1597708203125576E-3</c:v>
                </c:pt>
                <c:pt idx="140">
                  <c:v>5.1591033311141144E-3</c:v>
                </c:pt>
                <c:pt idx="141">
                  <c:v>5.1584630463917345E-3</c:v>
                </c:pt>
                <c:pt idx="142">
                  <c:v>5.1567048390152121E-3</c:v>
                </c:pt>
                <c:pt idx="143">
                  <c:v>5.1561727921313229E-3</c:v>
                </c:pt>
                <c:pt idx="144">
                  <c:v>5.1556676596906147E-3</c:v>
                </c:pt>
                <c:pt idx="145">
                  <c:v>5.1551893836865115E-3</c:v>
                </c:pt>
                <c:pt idx="146">
                  <c:v>5.1547379061124363E-3</c:v>
                </c:pt>
                <c:pt idx="147">
                  <c:v>5.1535436839046196E-3</c:v>
                </c:pt>
                <c:pt idx="148">
                  <c:v>5.1531988199848945E-3</c:v>
                </c:pt>
                <c:pt idx="149">
                  <c:v>5.1528804644623161E-3</c:v>
                </c:pt>
                <c:pt idx="150">
                  <c:v>5.1525885593303074E-3</c:v>
                </c:pt>
                <c:pt idx="151">
                  <c:v>5.152323046582293E-3</c:v>
                </c:pt>
                <c:pt idx="152">
                  <c:v>5.151684282576445E-3</c:v>
                </c:pt>
                <c:pt idx="153">
                  <c:v>5.1515237592986395E-3</c:v>
                </c:pt>
                <c:pt idx="154">
                  <c:v>5.1513893383719461E-3</c:v>
                </c:pt>
                <c:pt idx="155">
                  <c:v>5.151280961789787E-3</c:v>
                </c:pt>
                <c:pt idx="156">
                  <c:v>5.151198571545587E-3</c:v>
                </c:pt>
                <c:pt idx="157">
                  <c:v>5.1511067387749725E-3</c:v>
                </c:pt>
                <c:pt idx="158">
                  <c:v>5.1511277138168417E-3</c:v>
                </c:pt>
                <c:pt idx="159">
                  <c:v>5.1511743851637868E-3</c:v>
                </c:pt>
                <c:pt idx="160">
                  <c:v>5.1512466948092327E-3</c:v>
                </c:pt>
                <c:pt idx="161">
                  <c:v>5.1513445847466014E-3</c:v>
                </c:pt>
                <c:pt idx="162">
                  <c:v>5.1517911562444845E-3</c:v>
                </c:pt>
                <c:pt idx="163">
                  <c:v>5.1519907872837828E-3</c:v>
                </c:pt>
                <c:pt idx="164">
                  <c:v>5.1522157085821226E-3</c:v>
                </c:pt>
                <c:pt idx="165">
                  <c:v>5.1524658621329269E-3</c:v>
                </c:pt>
                <c:pt idx="166">
                  <c:v>5.1527411899296195E-3</c:v>
                </c:pt>
                <c:pt idx="167">
                  <c:v>5.1540930834437469E-3</c:v>
                </c:pt>
                <c:pt idx="168">
                  <c:v>5.1544934123712357E-3</c:v>
                </c:pt>
                <c:pt idx="169">
                  <c:v>5.1549185675051536E-3</c:v>
                </c:pt>
                <c:pt idx="170">
                  <c:v>5.1553684908389255E-3</c:v>
                </c:pt>
                <c:pt idx="171">
                  <c:v>5.1568662899735959E-3</c:v>
                </c:pt>
                <c:pt idx="172">
                  <c:v>5.1574147060410164E-3</c:v>
                </c:pt>
                <c:pt idx="173">
                  <c:v>5.1579876002754085E-3</c:v>
                </c:pt>
                <c:pt idx="174">
                  <c:v>5.1585849146701954E-3</c:v>
                </c:pt>
                <c:pt idx="175">
                  <c:v>5.1592065912188009E-3</c:v>
                </c:pt>
                <c:pt idx="176">
                  <c:v>5.1612172137217617E-3</c:v>
                </c:pt>
                <c:pt idx="177">
                  <c:v>5.1619357588198762E-3</c:v>
                </c:pt>
                <c:pt idx="178">
                  <c:v>5.1626783760389261E-3</c:v>
                </c:pt>
                <c:pt idx="179">
                  <c:v>5.1634450073723363E-3</c:v>
                </c:pt>
                <c:pt idx="180">
                  <c:v>5.1642355948135297E-3</c:v>
                </c:pt>
                <c:pt idx="181">
                  <c:v>5.166750513718045E-3</c:v>
                </c:pt>
                <c:pt idx="182">
                  <c:v>5.1676363455246069E-3</c:v>
                </c:pt>
                <c:pt idx="183">
                  <c:v>5.1685458434060699E-3</c:v>
                </c:pt>
                <c:pt idx="184">
                  <c:v>5.1694789493558577E-3</c:v>
                </c:pt>
                <c:pt idx="185">
                  <c:v>5.1704356053673944E-3</c:v>
                </c:pt>
                <c:pt idx="186">
                  <c:v>5.1734462937067282E-3</c:v>
                </c:pt>
                <c:pt idx="187">
                  <c:v>5.1744965698994937E-3</c:v>
                </c:pt>
                <c:pt idx="188">
                  <c:v>5.175570106121124E-3</c:v>
                </c:pt>
                <c:pt idx="189">
                  <c:v>5.1766668443650448E-3</c:v>
                </c:pt>
                <c:pt idx="190">
                  <c:v>5.177786726624679E-3</c:v>
                </c:pt>
                <c:pt idx="191">
                  <c:v>5.1812799934795499E-3</c:v>
                </c:pt>
                <c:pt idx="192">
                  <c:v>5.1824873453145109E-3</c:v>
                </c:pt>
                <c:pt idx="193">
                  <c:v>5.1837155034323984E-3</c:v>
                </c:pt>
                <c:pt idx="194">
                  <c:v>5.1849640727379678E-3</c:v>
                </c:pt>
                <c:pt idx="195">
                  <c:v>5.1862326581359752E-3</c:v>
                </c:pt>
                <c:pt idx="196">
                  <c:v>5.1901545599321751E-3</c:v>
                </c:pt>
                <c:pt idx="197">
                  <c:v>5.1914992587474848E-3</c:v>
                </c:pt>
                <c:pt idx="198">
                  <c:v>5.1928619981790091E-3</c:v>
                </c:pt>
                <c:pt idx="199">
                  <c:v>5.1942423831315013E-3</c:v>
                </c:pt>
                <c:pt idx="200">
                  <c:v>5.1956400185097177E-3</c:v>
                </c:pt>
                <c:pt idx="201">
                  <c:v>5.1999324762462655E-3</c:v>
                </c:pt>
                <c:pt idx="202">
                  <c:v>5.2013951623749314E-3</c:v>
                </c:pt>
                <c:pt idx="203">
                  <c:v>5.2028731234530978E-3</c:v>
                </c:pt>
                <c:pt idx="204">
                  <c:v>5.2043659643855201E-3</c:v>
                </c:pt>
                <c:pt idx="205">
                  <c:v>5.2058732900769527E-3</c:v>
                </c:pt>
                <c:pt idx="206">
                  <c:v>5.2104782247528684E-3</c:v>
                </c:pt>
                <c:pt idx="207">
                  <c:v>5.2120395385278967E-3</c:v>
                </c:pt>
                <c:pt idx="208">
                  <c:v>5.2136133615857116E-3</c:v>
                </c:pt>
                <c:pt idx="209">
                  <c:v>5.2151992988310695E-3</c:v>
                </c:pt>
                <c:pt idx="210">
                  <c:v>5.2167969551687246E-3</c:v>
                </c:pt>
                <c:pt idx="211">
                  <c:v>5.2216562877830273E-3</c:v>
                </c:pt>
                <c:pt idx="212">
                  <c:v>5.2232968695374252E-3</c:v>
                </c:pt>
                <c:pt idx="213">
                  <c:v>5.224947194907896E-3</c:v>
                </c:pt>
                <c:pt idx="214">
                  <c:v>5.2266068687991966E-3</c:v>
                </c:pt>
                <c:pt idx="215">
                  <c:v>5.2282754961160806E-3</c:v>
                </c:pt>
                <c:pt idx="216">
                  <c:v>5.2333311476677902E-3</c:v>
                </c:pt>
                <c:pt idx="217">
                  <c:v>5.2350316377345633E-3</c:v>
                </c:pt>
                <c:pt idx="218">
                  <c:v>5.2367391057506971E-3</c:v>
                </c:pt>
                <c:pt idx="219">
                  <c:v>5.2384531566209459E-3</c:v>
                </c:pt>
                <c:pt idx="220">
                  <c:v>5.2401733952500661E-3</c:v>
                </c:pt>
                <c:pt idx="221">
                  <c:v>5.2453672867382025E-3</c:v>
                </c:pt>
                <c:pt idx="222">
                  <c:v>5.247108325450358E-3</c:v>
                </c:pt>
                <c:pt idx="223">
                  <c:v>5.2488535764451602E-3</c:v>
                </c:pt>
                <c:pt idx="224">
                  <c:v>5.2506026446273646E-3</c:v>
                </c:pt>
                <c:pt idx="225">
                  <c:v>5.2523551349017263E-3</c:v>
                </c:pt>
                <c:pt idx="226">
                  <c:v>5.2576291873253096E-3</c:v>
                </c:pt>
                <c:pt idx="227">
                  <c:v>5.2593914150158537E-3</c:v>
                </c:pt>
                <c:pt idx="228">
                  <c:v>5.2611550893223308E-3</c:v>
                </c:pt>
                <c:pt idx="229">
                  <c:v>5.2629198151494978E-3</c:v>
                </c:pt>
                <c:pt idx="230">
                  <c:v>5.2646851974021084E-3</c:v>
                </c:pt>
                <c:pt idx="231">
                  <c:v>5.2699813317601566E-3</c:v>
                </c:pt>
                <c:pt idx="232">
                  <c:v>5.2717453887620967E-3</c:v>
                </c:pt>
                <c:pt idx="233">
                  <c:v>5.2735081267132559E-3</c:v>
                </c:pt>
                <c:pt idx="234">
                  <c:v>5.2752691505183911E-3</c:v>
                </c:pt>
                <c:pt idx="235">
                  <c:v>5.2770280650822569E-3</c:v>
                </c:pt>
                <c:pt idx="236">
                  <c:v>5.2822882023737909E-3</c:v>
                </c:pt>
                <c:pt idx="237">
                  <c:v>5.2840347290201324E-3</c:v>
                </c:pt>
                <c:pt idx="238">
                  <c:v>5.2857771709489808E-3</c:v>
                </c:pt>
                <c:pt idx="239">
                  <c:v>5.2875151330650906E-3</c:v>
                </c:pt>
                <c:pt idx="240">
                  <c:v>5.2892482202732188E-3</c:v>
                </c:pt>
                <c:pt idx="241">
                  <c:v>5.2944142814972586E-3</c:v>
                </c:pt>
                <c:pt idx="242">
                  <c:v>5.2961239181210078E-3</c:v>
                </c:pt>
                <c:pt idx="243">
                  <c:v>5.2978267043605511E-3</c:v>
                </c:pt>
                <c:pt idx="244">
                  <c:v>5.2995222451206426E-3</c:v>
                </c:pt>
                <c:pt idx="245">
                  <c:v>5.3012101453060387E-3</c:v>
                </c:pt>
                <c:pt idx="246">
                  <c:v>5.3062240514616032E-3</c:v>
                </c:pt>
                <c:pt idx="247">
                  <c:v>5.3078774383957675E-3</c:v>
                </c:pt>
                <c:pt idx="248">
                  <c:v>5.3095212092790127E-3</c:v>
                </c:pt>
                <c:pt idx="249">
                  <c:v>5.3111549690160924E-3</c:v>
                </c:pt>
                <c:pt idx="250">
                  <c:v>5.3127783225117636E-3</c:v>
                </c:pt>
                <c:pt idx="251">
                  <c:v>5.3207251680354112E-3</c:v>
                </c:pt>
                <c:pt idx="252">
                  <c:v>5.3222777870824863E-3</c:v>
                </c:pt>
                <c:pt idx="253">
                  <c:v>5.3238172342214389E-3</c:v>
                </c:pt>
                <c:pt idx="254">
                  <c:v>5.3298398251997031E-3</c:v>
                </c:pt>
                <c:pt idx="255">
                  <c:v>5.3313117024306701E-3</c:v>
                </c:pt>
                <c:pt idx="256">
                  <c:v>5.3327701106548157E-3</c:v>
                </c:pt>
                <c:pt idx="257">
                  <c:v>5.3342150694714501E-3</c:v>
                </c:pt>
                <c:pt idx="258">
                  <c:v>5.3384694454693751E-3</c:v>
                </c:pt>
                <c:pt idx="259">
                  <c:v>5.3398608026490558E-3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222848"/>
        <c:axId val="610224384"/>
      </c:scatterChart>
      <c:valAx>
        <c:axId val="6102228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10224384"/>
        <c:crosses val="autoZero"/>
        <c:crossBetween val="midCat"/>
      </c:valAx>
      <c:valAx>
        <c:axId val="6102243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1022284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27</xdr:row>
      <xdr:rowOff>66675</xdr:rowOff>
    </xdr:from>
    <xdr:to>
      <xdr:col>16</xdr:col>
      <xdr:colOff>571500</xdr:colOff>
      <xdr:row>57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5</v>
          </cell>
        </row>
        <row r="8">
          <cell r="D8">
            <v>1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x9F</v>
          </cell>
        </row>
        <row r="8">
          <cell r="D8" t="str">
            <v>x10F</v>
          </cell>
        </row>
      </sheetData>
      <sheetData sheetId="5">
        <row r="7">
          <cell r="D7" t="str">
            <v>x15F</v>
          </cell>
        </row>
        <row r="8">
          <cell r="D8" t="str">
            <v>x16F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H6</v>
          </cell>
        </row>
        <row r="8">
          <cell r="D8" t="str">
            <v>J6</v>
          </cell>
        </row>
      </sheetData>
      <sheetData sheetId="8">
        <row r="7">
          <cell r="D7" t="str">
            <v>X1S</v>
          </cell>
        </row>
        <row r="8">
          <cell r="D8" t="str">
            <v>X1S</v>
          </cell>
        </row>
      </sheetData>
      <sheetData sheetId="9">
        <row r="7">
          <cell r="D7" t="str">
            <v>3L</v>
          </cell>
        </row>
        <row r="8">
          <cell r="D8" t="str">
            <v>3L</v>
          </cell>
        </row>
      </sheetData>
      <sheetData sheetId="10">
        <row r="7">
          <cell r="D7">
            <v>12</v>
          </cell>
        </row>
        <row r="8">
          <cell r="D8">
            <v>12</v>
          </cell>
        </row>
      </sheetData>
      <sheetData sheetId="11">
        <row r="7">
          <cell r="D7" t="str">
            <v>1L</v>
          </cell>
        </row>
        <row r="8">
          <cell r="D8" t="str">
            <v>1L</v>
          </cell>
        </row>
      </sheetData>
      <sheetData sheetId="12">
        <row r="7">
          <cell r="D7" t="str">
            <v>3L</v>
          </cell>
        </row>
        <row r="8">
          <cell r="D8" t="str">
            <v>3L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7">
          <cell r="D7" t="str">
            <v>Quote ID</v>
          </cell>
        </row>
        <row r="8">
          <cell r="D8" t="str">
            <v>UsdLiborSwapForBasisCalc1Y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tabSelected="1" workbookViewId="0">
      <selection activeCell="I4" sqref="I4"/>
    </sheetView>
  </sheetViews>
  <sheetFormatPr defaultColWidth="10.6640625" defaultRowHeight="11.25" x14ac:dyDescent="0.2"/>
  <cols>
    <col min="1" max="2" width="2.83203125" style="82" customWidth="1"/>
    <col min="3" max="3" width="24.33203125" style="82" customWidth="1"/>
    <col min="4" max="4" width="35.83203125" style="82" customWidth="1"/>
    <col min="5" max="7" width="2.83203125" style="82" customWidth="1"/>
    <col min="8" max="8" width="27.5" style="82" bestFit="1" customWidth="1"/>
    <col min="9" max="9" width="39.33203125" style="82" bestFit="1" customWidth="1"/>
    <col min="10" max="10" width="2.83203125" style="82" customWidth="1"/>
    <col min="11" max="16384" width="10.6640625" style="82"/>
  </cols>
  <sheetData>
    <row r="1" spans="1:34" x14ac:dyDescent="0.2">
      <c r="B1" s="82" t="str">
        <f>_xll.qlxlVersion(TRUE,EvaluationDate)</f>
        <v>QuantLibXL 1.7.0 - MS VC++ (version unknown) - Multithreaded Dynamic Runtime library - Release Configuration - Dec 17 2015 10:00:27</v>
      </c>
    </row>
    <row r="2" spans="1:34" ht="18.75" x14ac:dyDescent="0.2">
      <c r="B2" s="313" t="s">
        <v>0</v>
      </c>
      <c r="C2" s="314"/>
      <c r="D2" s="314"/>
      <c r="E2" s="315"/>
      <c r="G2" s="313" t="s">
        <v>84</v>
      </c>
      <c r="H2" s="314"/>
      <c r="I2" s="314"/>
      <c r="J2" s="315"/>
    </row>
    <row r="3" spans="1:34" x14ac:dyDescent="0.2">
      <c r="B3" s="306"/>
      <c r="C3" s="1"/>
      <c r="D3" s="1"/>
      <c r="E3" s="307"/>
      <c r="G3" s="327"/>
      <c r="H3" s="2"/>
      <c r="I3" s="2"/>
      <c r="J3" s="246"/>
    </row>
    <row r="4" spans="1:34" x14ac:dyDescent="0.2">
      <c r="B4" s="306"/>
      <c r="C4" s="320" t="s">
        <v>1</v>
      </c>
      <c r="D4" s="316" t="s">
        <v>168</v>
      </c>
      <c r="E4" s="307"/>
      <c r="G4" s="327"/>
      <c r="H4" s="349" t="s">
        <v>14</v>
      </c>
      <c r="I4" s="350">
        <v>42362.443124999998</v>
      </c>
      <c r="J4" s="246"/>
    </row>
    <row r="5" spans="1:34" s="83" customFormat="1" x14ac:dyDescent="0.2">
      <c r="A5" s="82"/>
      <c r="B5" s="306"/>
      <c r="C5" s="321" t="s">
        <v>3</v>
      </c>
      <c r="D5" s="317" t="str">
        <f>IF(UPPER(Currency)&lt;&gt;"EUR","L","")&amp;"ibor"</f>
        <v>Libor</v>
      </c>
      <c r="E5" s="307"/>
      <c r="F5" s="82"/>
      <c r="G5" s="327"/>
      <c r="H5" s="321" t="s">
        <v>15</v>
      </c>
      <c r="I5" s="332">
        <f>_xll.qlCalendarAdjust(Calendar,_xll.qlSettingsEvaluationDate(Trigger))</f>
        <v>42367</v>
      </c>
      <c r="J5" s="246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</row>
    <row r="6" spans="1:34" s="83" customFormat="1" x14ac:dyDescent="0.2">
      <c r="A6" s="82"/>
      <c r="B6" s="306"/>
      <c r="C6" s="321" t="s">
        <v>4</v>
      </c>
      <c r="D6" s="318" t="s">
        <v>169</v>
      </c>
      <c r="E6" s="307"/>
      <c r="F6" s="82"/>
      <c r="G6" s="327"/>
      <c r="H6" s="321" t="s">
        <v>16</v>
      </c>
      <c r="I6" s="333">
        <f>[1]!TriggerCounter</f>
        <v>5</v>
      </c>
      <c r="J6" s="246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</row>
    <row r="7" spans="1:34" x14ac:dyDescent="0.2">
      <c r="B7" s="306"/>
      <c r="C7" s="321" t="s">
        <v>100</v>
      </c>
      <c r="D7" s="318" t="str">
        <f>Currency&amp;"ON"</f>
        <v>USDON</v>
      </c>
      <c r="E7" s="307"/>
      <c r="G7" s="327"/>
      <c r="H7" s="321" t="s">
        <v>17</v>
      </c>
      <c r="I7" s="333">
        <f>[1]!LastFixingsTrigger</f>
        <v>1</v>
      </c>
      <c r="J7" s="246"/>
    </row>
    <row r="8" spans="1:34" x14ac:dyDescent="0.2">
      <c r="B8" s="306"/>
      <c r="C8" s="321" t="s">
        <v>125</v>
      </c>
      <c r="D8" s="318" t="s">
        <v>174</v>
      </c>
      <c r="E8" s="307"/>
      <c r="G8" s="327"/>
      <c r="H8" s="325" t="s">
        <v>20</v>
      </c>
      <c r="I8" s="334">
        <f>_xll.ohTrigger(Contribution!U16,Contribution!U22,Contribution!U29,Contribution!U39,Contribution!U55)</f>
        <v>10</v>
      </c>
      <c r="J8" s="246"/>
    </row>
    <row r="9" spans="1:34" x14ac:dyDescent="0.2">
      <c r="B9" s="306"/>
      <c r="C9" s="321" t="s">
        <v>7</v>
      </c>
      <c r="D9" s="318">
        <f>_xll.qlCalendarAdvance(Calendar,EvaluationDate,_xll.qlInterestRateIndexFixingDays(Currency&amp;IborType&amp;"3M",Trigger)&amp;"D","f")</f>
        <v>42369</v>
      </c>
      <c r="E9" s="307"/>
      <c r="G9" s="331"/>
      <c r="H9" s="250"/>
      <c r="I9" s="250"/>
      <c r="J9" s="251"/>
    </row>
    <row r="10" spans="1:34" x14ac:dyDescent="0.2">
      <c r="B10" s="306"/>
      <c r="C10" s="321" t="s">
        <v>5</v>
      </c>
      <c r="D10" s="318" t="b">
        <v>1</v>
      </c>
      <c r="E10" s="307"/>
    </row>
    <row r="11" spans="1:34" ht="18.75" x14ac:dyDescent="0.2">
      <c r="B11" s="306"/>
      <c r="C11" s="321" t="s">
        <v>6</v>
      </c>
      <c r="D11" s="318" t="b">
        <v>1</v>
      </c>
      <c r="E11" s="307"/>
      <c r="G11" s="313" t="s">
        <v>177</v>
      </c>
      <c r="H11" s="314"/>
      <c r="I11" s="314"/>
      <c r="J11" s="315"/>
    </row>
    <row r="12" spans="1:34" x14ac:dyDescent="0.2">
      <c r="B12" s="306"/>
      <c r="C12" s="321" t="s">
        <v>8</v>
      </c>
      <c r="D12" s="318" t="s">
        <v>9</v>
      </c>
      <c r="E12" s="307"/>
      <c r="G12" s="327"/>
      <c r="H12" s="2"/>
      <c r="I12" s="2"/>
      <c r="J12" s="246"/>
    </row>
    <row r="13" spans="1:34" x14ac:dyDescent="0.2">
      <c r="B13" s="306"/>
      <c r="C13" s="321" t="s">
        <v>10</v>
      </c>
      <c r="D13" s="324">
        <v>1E-4</v>
      </c>
      <c r="E13" s="307"/>
      <c r="G13" s="306"/>
      <c r="H13" s="320" t="s">
        <v>170</v>
      </c>
      <c r="I13" s="316" t="s">
        <v>137</v>
      </c>
      <c r="J13" s="307"/>
    </row>
    <row r="14" spans="1:34" x14ac:dyDescent="0.2">
      <c r="B14" s="306"/>
      <c r="C14" s="325" t="s">
        <v>11</v>
      </c>
      <c r="D14" s="326">
        <v>-0.01</v>
      </c>
      <c r="E14" s="307"/>
      <c r="G14" s="306"/>
      <c r="H14" s="321" t="s">
        <v>171</v>
      </c>
      <c r="I14" s="317" t="s">
        <v>173</v>
      </c>
      <c r="J14" s="307"/>
    </row>
    <row r="15" spans="1:34" x14ac:dyDescent="0.2">
      <c r="B15" s="306"/>
      <c r="C15" s="309"/>
      <c r="D15" s="337"/>
      <c r="E15" s="307"/>
      <c r="G15" s="306"/>
      <c r="H15" s="321" t="s">
        <v>172</v>
      </c>
      <c r="I15" s="317" t="b">
        <f>_xll.qlCalendarIsHoliday(LocalCalendar,_xll.qlCalendarAdvance(LiborCalendar,_xll.qlSettingsEvaluationDate(Trigger),2&amp;"D","f",FALSE,Trigger))</f>
        <v>0</v>
      </c>
      <c r="J15" s="307"/>
    </row>
    <row r="16" spans="1:34" x14ac:dyDescent="0.2">
      <c r="B16" s="308"/>
      <c r="C16" s="309"/>
      <c r="D16" s="309"/>
      <c r="E16" s="307"/>
      <c r="G16" s="306"/>
      <c r="H16" s="321" t="s">
        <v>178</v>
      </c>
      <c r="I16" s="317" t="s">
        <v>180</v>
      </c>
      <c r="J16" s="307"/>
    </row>
    <row r="17" spans="2:10" x14ac:dyDescent="0.2">
      <c r="B17" s="306"/>
      <c r="C17" s="12" t="s">
        <v>12</v>
      </c>
      <c r="D17" s="13">
        <v>42283.674953703703</v>
      </c>
      <c r="E17" s="307"/>
      <c r="G17" s="306"/>
      <c r="H17" s="321" t="s">
        <v>179</v>
      </c>
      <c r="I17" s="335" t="str">
        <f>I16&amp;"("&amp;LiborCalendar&amp;","&amp;LocalCalendar&amp;")"</f>
        <v>JoinHolidays(UnitedKingdom::Exchange,UnitedStates::Settlement)</v>
      </c>
      <c r="J17" s="307" t="s">
        <v>181</v>
      </c>
    </row>
    <row r="18" spans="2:10" x14ac:dyDescent="0.2">
      <c r="B18" s="306"/>
      <c r="C18" s="12" t="s">
        <v>13</v>
      </c>
      <c r="D18" s="14" t="b">
        <v>1</v>
      </c>
      <c r="E18" s="307"/>
      <c r="G18" s="306"/>
      <c r="H18" s="325" t="s">
        <v>2</v>
      </c>
      <c r="I18" s="336" t="str">
        <f>IF(HolidayCheck,JoinCalendar,LiborCalendar)</f>
        <v>UnitedKingdom::Exchange</v>
      </c>
      <c r="J18" s="307"/>
    </row>
    <row r="19" spans="2:10" x14ac:dyDescent="0.2">
      <c r="B19" s="310"/>
      <c r="C19" s="311"/>
      <c r="D19" s="311"/>
      <c r="E19" s="312"/>
      <c r="G19" s="328"/>
      <c r="H19" s="329"/>
      <c r="I19" s="329"/>
      <c r="J19" s="330"/>
    </row>
    <row r="21" spans="2:10" ht="18.75" x14ac:dyDescent="0.2">
      <c r="B21" s="313" t="str">
        <f>D23&amp;" Curve Settings"</f>
        <v>1M Curve Settings</v>
      </c>
      <c r="C21" s="314"/>
      <c r="D21" s="314"/>
      <c r="E21" s="315"/>
    </row>
    <row r="22" spans="2:10" x14ac:dyDescent="0.2">
      <c r="B22" s="306"/>
      <c r="C22" s="1"/>
      <c r="D22" s="1"/>
      <c r="E22" s="307"/>
    </row>
    <row r="23" spans="2:10" x14ac:dyDescent="0.2">
      <c r="B23" s="306"/>
      <c r="C23" s="344" t="s">
        <v>18</v>
      </c>
      <c r="D23" s="341" t="s">
        <v>31</v>
      </c>
      <c r="E23" s="307"/>
    </row>
    <row r="24" spans="2:10" x14ac:dyDescent="0.2">
      <c r="B24" s="306"/>
      <c r="C24" s="322" t="s">
        <v>21</v>
      </c>
      <c r="D24" s="342">
        <f>_xll.qlInterestRateIndexFixingDays(Currency&amp;IborType&amp;IborTenor1M,Trigger)</f>
        <v>2</v>
      </c>
      <c r="E24" s="307"/>
    </row>
    <row r="25" spans="2:10" x14ac:dyDescent="0.2">
      <c r="B25" s="306"/>
      <c r="C25" s="325" t="s">
        <v>80</v>
      </c>
      <c r="D25" s="343" t="str">
        <f>_xll.qlLibor(,Currency,IborTenor1M,D31,,Trigger)</f>
        <v>obj_0023a#0005</v>
      </c>
      <c r="E25" s="307"/>
    </row>
    <row r="26" spans="2:10" x14ac:dyDescent="0.2">
      <c r="B26" s="308"/>
      <c r="C26" s="309"/>
      <c r="D26" s="309"/>
      <c r="E26" s="338"/>
    </row>
    <row r="27" spans="2:10" x14ac:dyDescent="0.2">
      <c r="B27" s="306"/>
      <c r="C27" s="344" t="s">
        <v>22</v>
      </c>
      <c r="D27" s="316" t="e">
        <v>#N/A</v>
      </c>
      <c r="E27" s="307"/>
    </row>
    <row r="28" spans="2:10" x14ac:dyDescent="0.2">
      <c r="B28" s="306"/>
      <c r="C28" s="322" t="s">
        <v>23</v>
      </c>
      <c r="D28" s="318" t="s">
        <v>24</v>
      </c>
      <c r="E28" s="307"/>
    </row>
    <row r="29" spans="2:10" x14ac:dyDescent="0.2">
      <c r="B29" s="306"/>
      <c r="C29" s="323" t="s">
        <v>25</v>
      </c>
      <c r="D29" s="319" t="s">
        <v>116</v>
      </c>
      <c r="E29" s="307"/>
    </row>
    <row r="30" spans="2:10" x14ac:dyDescent="0.2">
      <c r="B30" s="308"/>
      <c r="C30" s="64"/>
      <c r="D30" s="65"/>
      <c r="E30" s="307"/>
    </row>
    <row r="31" spans="2:10" x14ac:dyDescent="0.2">
      <c r="B31" s="306"/>
      <c r="C31" s="345" t="s">
        <v>82</v>
      </c>
      <c r="D31" s="347" t="str">
        <f>_xll.qlPiecewiseYieldCurve(,D24,Calendar,_xll.ohPack('Delta 1M'!M13:M21),"actual/365",,,,D28,D29,,Trigger)</f>
        <v>obj_00239#0005</v>
      </c>
      <c r="E31" s="307"/>
    </row>
    <row r="32" spans="2:10" x14ac:dyDescent="0.2">
      <c r="B32" s="306"/>
      <c r="C32" s="346" t="s">
        <v>83</v>
      </c>
      <c r="D32" s="348" t="str">
        <f>_xll.ohRangeRetrieveError(D31)</f>
        <v/>
      </c>
      <c r="E32" s="339"/>
    </row>
    <row r="33" spans="2:5" x14ac:dyDescent="0.2">
      <c r="B33" s="308"/>
      <c r="C33" s="309"/>
      <c r="D33" s="309"/>
      <c r="E33" s="339"/>
    </row>
    <row r="34" spans="2:5" x14ac:dyDescent="0.2">
      <c r="B34" s="306"/>
      <c r="C34" s="10">
        <f>_xll.qlTermStructureReferenceDate(D31)</f>
        <v>42368</v>
      </c>
      <c r="D34" s="41">
        <f>_xll.qlYieldTSDiscount(D31,C34,,Trigger)</f>
        <v>1</v>
      </c>
      <c r="E34" s="339"/>
    </row>
    <row r="35" spans="2:5" x14ac:dyDescent="0.2">
      <c r="B35" s="306"/>
      <c r="C35" s="11">
        <f>_xll.qlTermStructureMaxDate(D31)</f>
        <v>42580</v>
      </c>
      <c r="D35" s="42">
        <f>_xll.qlYieldTSDiscount(D31,C35,,Trigger)</f>
        <v>0.99684436708163859</v>
      </c>
      <c r="E35" s="339"/>
    </row>
    <row r="36" spans="2:5" x14ac:dyDescent="0.2">
      <c r="B36" s="328"/>
      <c r="C36" s="340"/>
      <c r="D36" s="340"/>
      <c r="E36" s="330"/>
    </row>
  </sheetData>
  <conditionalFormatting sqref="D18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I13:I14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6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84" customWidth="1"/>
    <col min="3" max="5" width="22.83203125" style="84" customWidth="1"/>
    <col min="6" max="6" width="10.5" style="84" bestFit="1" customWidth="1"/>
    <col min="7" max="8" width="14.1640625" style="84" bestFit="1" customWidth="1"/>
    <col min="9" max="9" width="10.5" style="84" bestFit="1" customWidth="1"/>
    <col min="10" max="11" width="9.33203125" style="84" bestFit="1" customWidth="1"/>
    <col min="12" max="12" width="10.5" style="84" bestFit="1" customWidth="1"/>
    <col min="13" max="13" width="10.83203125" style="84" customWidth="1"/>
    <col min="14" max="14" width="13.1640625" style="84" customWidth="1"/>
    <col min="15" max="17" width="6.83203125" style="84" customWidth="1"/>
    <col min="18" max="18" width="2.33203125" style="84" bestFit="1" customWidth="1"/>
    <col min="19" max="19" width="10.83203125" style="84" customWidth="1"/>
    <col min="20" max="20" width="2.33203125" style="84" bestFit="1" customWidth="1"/>
    <col min="21" max="21" width="10.83203125" style="84" customWidth="1"/>
    <col min="22" max="22" width="12.5" style="84" bestFit="1" customWidth="1"/>
    <col min="23" max="25" width="9.33203125" style="84" bestFit="1" customWidth="1"/>
    <col min="26" max="27" width="9.5" style="84"/>
    <col min="28" max="28" width="20.33203125" style="84" bestFit="1" customWidth="1"/>
    <col min="29" max="29" width="8.1640625" style="84" bestFit="1" customWidth="1"/>
    <col min="30" max="31" width="9.5" style="84" bestFit="1" customWidth="1"/>
    <col min="32" max="32" width="12.1640625" style="84" customWidth="1"/>
    <col min="33" max="16384" width="9.5" style="84"/>
  </cols>
  <sheetData>
    <row r="2" spans="1:32" ht="19.5" customHeight="1" x14ac:dyDescent="0.2">
      <c r="C2" s="171" t="s">
        <v>87</v>
      </c>
      <c r="D2" s="171" t="s">
        <v>78</v>
      </c>
      <c r="E2" s="171" t="s">
        <v>79</v>
      </c>
      <c r="F2" s="171" t="s">
        <v>124</v>
      </c>
      <c r="G2" s="171" t="s">
        <v>128</v>
      </c>
      <c r="H2" s="171" t="s">
        <v>129</v>
      </c>
      <c r="I2" s="171" t="s">
        <v>94</v>
      </c>
      <c r="J2" s="172" t="s">
        <v>95</v>
      </c>
      <c r="K2" s="171" t="s">
        <v>96</v>
      </c>
      <c r="L2" s="171" t="s">
        <v>102</v>
      </c>
      <c r="S2" s="95" t="s">
        <v>92</v>
      </c>
      <c r="W2" s="376" t="s">
        <v>91</v>
      </c>
      <c r="X2" s="376"/>
      <c r="Y2" s="376"/>
      <c r="AB2" s="171" t="s">
        <v>78</v>
      </c>
      <c r="AC2" s="171" t="s">
        <v>120</v>
      </c>
      <c r="AD2" s="171" t="s">
        <v>30</v>
      </c>
      <c r="AE2" s="171" t="s">
        <v>85</v>
      </c>
      <c r="AF2" s="171" t="s">
        <v>86</v>
      </c>
    </row>
    <row r="3" spans="1:32" ht="12" customHeight="1" x14ac:dyDescent="0.2">
      <c r="C3" s="173" t="str">
        <f>$D$10&amp;"LastFixing"&amp;QuoteSuffix</f>
        <v>UsdLibor1MLastFixing_Quote</v>
      </c>
      <c r="D3" s="47">
        <f>_xll.qlCalendarAdvance(Calendar,_xll.qlLastFixingQuoteReferenceDate($C$3),_xll.qlInterestRateIndexFixingDays($D$10)&amp;"D","f",,LastFixingsTrigger)</f>
        <v>42367</v>
      </c>
      <c r="E3" s="47">
        <f>_xll.qlInterestRateIndexMaturity($D$10,D3)</f>
        <v>42398</v>
      </c>
      <c r="F3" s="69">
        <f>'Delta 1M'!X25</f>
        <v>6.61662717052205E-5</v>
      </c>
      <c r="G3" s="53">
        <f>_xll.qlDayCounterYearFraction(DayCounter,SettlementDate,D3,,,Trigger)</f>
        <v>-5.5555555555555558E-3</v>
      </c>
      <c r="H3" s="53">
        <f>_xll.qlDayCounterYearFraction(DayCounter,SettlementDate,E3,,,Trigger)</f>
        <v>8.0555555555555561E-2</v>
      </c>
      <c r="I3" s="53">
        <f>H3-G3</f>
        <v>8.611111111111111E-2</v>
      </c>
      <c r="J3" s="53">
        <f>(H3^2-G3^2)/2</f>
        <v>3.2291666666666671E-3</v>
      </c>
      <c r="K3" s="53">
        <f>(H3^3-G3^3)/3</f>
        <v>1.7430412665752173E-4</v>
      </c>
      <c r="L3" s="174" t="b">
        <f>IF(D12="fixing",TRUE,FALSE)</f>
        <v>0</v>
      </c>
      <c r="N3" s="377" t="s">
        <v>88</v>
      </c>
      <c r="O3" s="96">
        <f t="array" ref="O3:O5">_xll.ohFilter(K3:K7,L3:L7)</f>
        <v>1.7424697073616829E-4</v>
      </c>
      <c r="P3" s="97">
        <f t="array" ref="P3:P5">_xll.ohFilter(J3:J7,L3:L7)</f>
        <v>3.2445987654320992E-3</v>
      </c>
      <c r="Q3" s="98">
        <f t="array" ref="Q3:Q5">_xll.ohFilter(I3:I7,L3:L7)</f>
        <v>8.0555555555555561E-2</v>
      </c>
      <c r="R3" s="99"/>
      <c r="S3" s="100">
        <f t="array" ref="S3:S5">MMULT(W3:Y5,U3:U5)</f>
        <v>2.0388573017970646E-3</v>
      </c>
      <c r="T3" s="101"/>
      <c r="U3" s="102">
        <f t="array" ref="U3:U5">_xll.ohFilter(F3:F7,L3:L7)</f>
        <v>6.61662717052205E-5</v>
      </c>
      <c r="W3" s="96">
        <f t="array" ref="W3:Y5">MINVERSE(O3:Q5)</f>
        <v>819.56155143338924</v>
      </c>
      <c r="X3" s="97">
        <v>-1723.9053323254057</v>
      </c>
      <c r="Y3" s="98">
        <v>845.99902083446693</v>
      </c>
      <c r="AB3" s="23">
        <f>SettlementDate</f>
        <v>42369</v>
      </c>
      <c r="AC3" s="25">
        <f>_xll.qlDayCounterYearFraction(DayCounter,SettlementDate,AB3,,,Trigger)</f>
        <v>0</v>
      </c>
      <c r="AD3" s="20">
        <f t="shared" ref="AD3:AD26" si="0">$S$13</f>
        <v>8.2137440737515101E-4</v>
      </c>
      <c r="AE3" s="20">
        <f t="shared" ref="AE3:AE23" si="1">$S$10+$S$9*AC3</f>
        <v>8.5336860158568141E-4</v>
      </c>
      <c r="AF3" s="20">
        <f t="shared" ref="AF3:AF23" si="2">($S$5+$S$4*AC3+$S$3*AC3^2)</f>
        <v>8.628733054424386E-4</v>
      </c>
    </row>
    <row r="4" spans="1:32" ht="12" customHeight="1" x14ac:dyDescent="0.2">
      <c r="A4" s="84">
        <v>0</v>
      </c>
      <c r="B4" s="85">
        <f>A4+SUBSTITUTE($D$9,"M","")</f>
        <v>1</v>
      </c>
      <c r="C4" s="175" t="str">
        <f>"Delta("&amp;A4&amp;"M,"&amp;B4&amp;"M)"</f>
        <v>Delta(0M,1M)</v>
      </c>
      <c r="D4" s="16">
        <f>SettlementDate</f>
        <v>42369</v>
      </c>
      <c r="E4" s="16">
        <f>_xll.qlInterestRateIndexMaturity($D$10,D4)</f>
        <v>42398</v>
      </c>
      <c r="F4" s="70">
        <f t="array" ref="F4:F7">Delta1M</f>
        <v>6.61662717052205E-5</v>
      </c>
      <c r="G4" s="25">
        <f>_xll.qlDayCounterYearFraction(DayCounter,SettlementDate,D4,,,Trigger)</f>
        <v>0</v>
      </c>
      <c r="H4" s="25">
        <f>_xll.qlDayCounterYearFraction(DayCounter,SettlementDate,E4,,,Trigger)</f>
        <v>8.0555555555555561E-2</v>
      </c>
      <c r="I4" s="25">
        <f>H4-G4</f>
        <v>8.0555555555555561E-2</v>
      </c>
      <c r="J4" s="25">
        <f>(H4^2-G4^2)/2</f>
        <v>3.2445987654320992E-3</v>
      </c>
      <c r="K4" s="25">
        <f>(H4^3-G4^3)/3</f>
        <v>1.7424697073616829E-4</v>
      </c>
      <c r="L4" s="176" t="b">
        <f>IF(D12="fixing",FALSE,TRUE)</f>
        <v>1</v>
      </c>
      <c r="N4" s="377"/>
      <c r="O4" s="96">
        <v>1.387552869227252E-3</v>
      </c>
      <c r="P4" s="97">
        <v>1.0405092592592594E-2</v>
      </c>
      <c r="Q4" s="98">
        <v>8.0555555555555561E-2</v>
      </c>
      <c r="R4" s="103" t="s">
        <v>28</v>
      </c>
      <c r="S4" s="100">
        <v>-1.1398116576866353E-3</v>
      </c>
      <c r="T4" s="103" t="s">
        <v>29</v>
      </c>
      <c r="U4" s="102">
        <v>6.0478414956681767E-5</v>
      </c>
      <c r="W4" s="96">
        <v>-278.52532418445071</v>
      </c>
      <c r="X4" s="97">
        <v>431.76135372448681</v>
      </c>
      <c r="Y4" s="98">
        <v>-143.34983408584023</v>
      </c>
      <c r="AB4" s="24">
        <f>_xll.qlCalendarAdvance(Calendar,AB3,"1d","mf",,Trigger)</f>
        <v>42373</v>
      </c>
      <c r="AC4" s="25">
        <f>_xll.qlDayCounterYearFraction(DayCounter,SettlementDate,AB4,,,Trigger)</f>
        <v>1.1111111111111112E-2</v>
      </c>
      <c r="AD4" s="21">
        <f t="shared" si="0"/>
        <v>8.2137440737515101E-4</v>
      </c>
      <c r="AE4" s="21">
        <f t="shared" si="1"/>
        <v>8.4454261697587988E-4</v>
      </c>
      <c r="AF4" s="21">
        <f t="shared" si="2"/>
        <v>8.5046044224614231E-4</v>
      </c>
    </row>
    <row r="5" spans="1:32" ht="12" customHeight="1" x14ac:dyDescent="0.2">
      <c r="A5" s="86">
        <v>1</v>
      </c>
      <c r="B5" s="85">
        <f t="shared" ref="B5:B7" si="3">A5+SUBSTITUTE($D$9,"M","")</f>
        <v>2</v>
      </c>
      <c r="C5" s="175" t="str">
        <f>"Delta("&amp;A5&amp;"M,"&amp;B5&amp;"M)"</f>
        <v>Delta(1M,2M)</v>
      </c>
      <c r="D5" s="16">
        <f>_xll.qlCalendarAdvance(Calendar,SettlementDate,A5&amp;"M","f")</f>
        <v>42401</v>
      </c>
      <c r="E5" s="16">
        <f>_xll.qlInterestRateIndexMaturity($D$10,D5)</f>
        <v>42430</v>
      </c>
      <c r="F5" s="70">
        <v>6.0478414956681767E-5</v>
      </c>
      <c r="G5" s="25">
        <f>_xll.qlDayCounterYearFraction(DayCounter,SettlementDate,D5,,,Trigger)</f>
        <v>8.8888888888888892E-2</v>
      </c>
      <c r="H5" s="25">
        <f>_xll.qlDayCounterYearFraction(DayCounter,SettlementDate,E5,,,Trigger)</f>
        <v>0.16944444444444445</v>
      </c>
      <c r="I5" s="25">
        <f>H5-G5</f>
        <v>8.0555555555555561E-2</v>
      </c>
      <c r="J5" s="25">
        <f>(H5^2-G5^2)/2</f>
        <v>1.0405092592592594E-2</v>
      </c>
      <c r="K5" s="25">
        <f>(H5^3-G5^3)/3</f>
        <v>1.387552869227252E-3</v>
      </c>
      <c r="L5" s="176" t="b">
        <v>1</v>
      </c>
      <c r="N5" s="377"/>
      <c r="O5" s="96">
        <v>3.8406707247370816E-3</v>
      </c>
      <c r="P5" s="97">
        <v>1.8059413580246909E-2</v>
      </c>
      <c r="Q5" s="98">
        <v>8.611111111111111E-2</v>
      </c>
      <c r="R5" s="86"/>
      <c r="S5" s="100">
        <v>8.628733054424386E-4</v>
      </c>
      <c r="T5" s="103"/>
      <c r="U5" s="102">
        <v>6.1549228500944189E-5</v>
      </c>
      <c r="W5" s="96">
        <v>21.859408617782169</v>
      </c>
      <c r="X5" s="97">
        <v>-13.661467116357505</v>
      </c>
      <c r="Y5" s="98">
        <v>3.943861176086604</v>
      </c>
      <c r="AB5" s="24">
        <f>_xll.qlCalendarAdvance(Calendar,AB4,"1d","mf",,Trigger)</f>
        <v>42374</v>
      </c>
      <c r="AC5" s="25">
        <f>_xll.qlDayCounterYearFraction(DayCounter,SettlementDate,AB5,,,Trigger)</f>
        <v>1.3888888888888888E-2</v>
      </c>
      <c r="AD5" s="21">
        <f t="shared" si="0"/>
        <v>8.2137440737515101E-4</v>
      </c>
      <c r="AE5" s="21">
        <f t="shared" si="1"/>
        <v>8.4233612082342956E-4</v>
      </c>
      <c r="AF5" s="21">
        <f t="shared" si="2"/>
        <v>8.4743588606519312E-4</v>
      </c>
    </row>
    <row r="6" spans="1:32" ht="12" customHeight="1" x14ac:dyDescent="0.2">
      <c r="A6" s="86">
        <v>2</v>
      </c>
      <c r="B6" s="87">
        <f t="shared" si="3"/>
        <v>3</v>
      </c>
      <c r="C6" s="175" t="str">
        <f>"Delta("&amp;A6&amp;"M,"&amp;B6&amp;"M)"</f>
        <v>Delta(2M,3M)</v>
      </c>
      <c r="D6" s="16">
        <f>_xll.qlCalendarAdvance(Calendar,SettlementDate,A6&amp;"M","f")</f>
        <v>42429</v>
      </c>
      <c r="E6" s="16">
        <f>_xll.qlInterestRateIndexMaturity($D$10,D6)</f>
        <v>42460</v>
      </c>
      <c r="F6" s="70">
        <v>6.1549228500944189E-5</v>
      </c>
      <c r="G6" s="25">
        <f>_xll.qlDayCounterYearFraction(DayCounter,SettlementDate,D6,,,Trigger)</f>
        <v>0.16666666666666666</v>
      </c>
      <c r="H6" s="25">
        <f>_xll.qlDayCounterYearFraction(DayCounter,SettlementDate,E6,,,Trigger)</f>
        <v>0.25277777777777777</v>
      </c>
      <c r="I6" s="25">
        <f>H6-G6</f>
        <v>8.611111111111111E-2</v>
      </c>
      <c r="J6" s="25">
        <f>(H6^2-G6^2)/2</f>
        <v>1.8059413580246909E-2</v>
      </c>
      <c r="K6" s="25">
        <f>(H6^3-G6^3)/3</f>
        <v>3.8406707247370816E-3</v>
      </c>
      <c r="L6" s="176" t="b">
        <v>1</v>
      </c>
      <c r="S6" s="104"/>
      <c r="T6" s="93"/>
      <c r="U6" s="94"/>
      <c r="AB6" s="24">
        <f>_xll.qlCalendarAdvance(Calendar,AB5,"1d","mf",,Trigger)</f>
        <v>42375</v>
      </c>
      <c r="AC6" s="25">
        <f>_xll.qlDayCounterYearFraction(DayCounter,SettlementDate,AB6,,,Trigger)</f>
        <v>1.6666666666666666E-2</v>
      </c>
      <c r="AD6" s="21">
        <f t="shared" si="0"/>
        <v>8.2137440737515101E-4</v>
      </c>
      <c r="AE6" s="21">
        <f t="shared" si="1"/>
        <v>8.4012962467097923E-4</v>
      </c>
      <c r="AF6" s="21">
        <f t="shared" si="2"/>
        <v>8.4444279373149388E-4</v>
      </c>
    </row>
    <row r="7" spans="1:32" ht="12" customHeight="1" x14ac:dyDescent="0.2">
      <c r="A7" s="86">
        <v>3</v>
      </c>
      <c r="B7" s="87">
        <f t="shared" si="3"/>
        <v>4</v>
      </c>
      <c r="C7" s="177" t="str">
        <f>"Delta("&amp;A7&amp;"M,"&amp;B7&amp;"M)"</f>
        <v>Delta(3M,4M)</v>
      </c>
      <c r="D7" s="178">
        <f>_xll.qlCalendarAdvance(Calendar,SettlementDate,A7&amp;"M","f")</f>
        <v>42460</v>
      </c>
      <c r="E7" s="178">
        <f>_xll.qlInterestRateIndexMaturity($D$10,D7)</f>
        <v>42489</v>
      </c>
      <c r="F7" s="179">
        <v>4.1936421518198905E-5</v>
      </c>
      <c r="G7" s="180">
        <f>_xll.qlDayCounterYearFraction(DayCounter,SettlementDate,D7,,,Trigger)</f>
        <v>0.25277777777777777</v>
      </c>
      <c r="H7" s="180">
        <f>_xll.qlDayCounterYearFraction(DayCounter,SettlementDate,E7,,,Trigger)</f>
        <v>0.33333333333333331</v>
      </c>
      <c r="I7" s="180">
        <f>H7-G7</f>
        <v>8.0555555555555547E-2</v>
      </c>
      <c r="J7" s="180">
        <f>(H7^2-G7^2)/2</f>
        <v>2.3607253086419755E-2</v>
      </c>
      <c r="K7" s="180">
        <f>(H7^3-G7^3)/3</f>
        <v>6.9617984110653874E-3</v>
      </c>
      <c r="L7" s="181" t="b">
        <v>0</v>
      </c>
      <c r="S7" s="104"/>
      <c r="T7" s="93"/>
      <c r="U7" s="94"/>
      <c r="AB7" s="24">
        <f>_xll.qlCalendarAdvance(Calendar,AB6,"1d","mf",,Trigger)</f>
        <v>42376</v>
      </c>
      <c r="AC7" s="25">
        <f>_xll.qlDayCounterYearFraction(DayCounter,SettlementDate,AB7,,,Trigger)</f>
        <v>1.9444444444444445E-2</v>
      </c>
      <c r="AD7" s="21">
        <f t="shared" si="0"/>
        <v>8.2137440737515101E-4</v>
      </c>
      <c r="AE7" s="21">
        <f t="shared" si="1"/>
        <v>8.3792312851852879E-4</v>
      </c>
      <c r="AF7" s="21">
        <f t="shared" si="2"/>
        <v>8.4148116524504458E-4</v>
      </c>
    </row>
    <row r="8" spans="1:32" ht="12" customHeight="1" x14ac:dyDescent="0.2">
      <c r="A8" s="86"/>
      <c r="B8" s="87"/>
      <c r="C8" s="87"/>
      <c r="D8" s="88"/>
      <c r="E8" s="88"/>
      <c r="F8" s="89"/>
      <c r="G8" s="90"/>
      <c r="H8" s="90"/>
      <c r="I8" s="90"/>
      <c r="J8" s="90"/>
      <c r="K8" s="90"/>
      <c r="L8" s="91"/>
      <c r="S8" s="92" t="s">
        <v>93</v>
      </c>
      <c r="T8" s="93"/>
      <c r="U8" s="94"/>
      <c r="AB8" s="24">
        <f>_xll.qlCalendarAdvance(Calendar,AB7,"1d","mf",,Trigger)</f>
        <v>42377</v>
      </c>
      <c r="AC8" s="25">
        <f>_xll.qlDayCounterYearFraction(DayCounter,SettlementDate,AB8,,,Trigger)</f>
        <v>2.2222222222222223E-2</v>
      </c>
      <c r="AD8" s="21">
        <f t="shared" si="0"/>
        <v>8.2137440737515101E-4</v>
      </c>
      <c r="AE8" s="21">
        <f t="shared" si="1"/>
        <v>8.3571663236607847E-4</v>
      </c>
      <c r="AF8" s="21">
        <f t="shared" si="2"/>
        <v>8.3855100060584522E-4</v>
      </c>
    </row>
    <row r="9" spans="1:32" ht="12" customHeight="1" x14ac:dyDescent="0.2">
      <c r="C9" s="171" t="s">
        <v>135</v>
      </c>
      <c r="D9" s="190" t="s">
        <v>31</v>
      </c>
      <c r="N9" s="376" t="s">
        <v>89</v>
      </c>
      <c r="O9" s="105"/>
      <c r="P9" s="96">
        <f t="array" ref="P9:P10">_xll.ohFilter(J3:J7,L3:L7)</f>
        <v>3.2445987654320992E-3</v>
      </c>
      <c r="Q9" s="98">
        <f t="array" ref="Q9:Q10">_xll.ohFilter(I3:I7,L3:L7)</f>
        <v>8.0555555555555561E-2</v>
      </c>
      <c r="R9" s="378" t="s">
        <v>28</v>
      </c>
      <c r="S9" s="100">
        <f t="array" ref="S9:S10">MMULT(W9:X10,U9:U10)</f>
        <v>-7.9433861488213339E-4</v>
      </c>
      <c r="T9" s="378" t="s">
        <v>29</v>
      </c>
      <c r="U9" s="102">
        <f t="array" ref="U9:U10">_xll.ohFilter(F3:F7,L3:L7)</f>
        <v>6.61662717052205E-5</v>
      </c>
      <c r="W9" s="96">
        <f t="array" ref="W9:X10">MINVERSE(P9:Q10)</f>
        <v>-139.65517241379308</v>
      </c>
      <c r="X9" s="98">
        <v>139.65517241379308</v>
      </c>
      <c r="AB9" s="24">
        <f>_xll.qlCalendarAdvance(Calendar,AB8,"1d","mf",,Trigger)</f>
        <v>42380</v>
      </c>
      <c r="AC9" s="25">
        <f>_xll.qlDayCounterYearFraction(DayCounter,SettlementDate,AB9,,,Trigger)</f>
        <v>3.0555555555555555E-2</v>
      </c>
      <c r="AD9" s="21">
        <f t="shared" si="0"/>
        <v>8.2137440737515101E-4</v>
      </c>
      <c r="AE9" s="21">
        <f t="shared" si="1"/>
        <v>8.2909714390872738E-4</v>
      </c>
      <c r="AF9" s="21">
        <f t="shared" si="2"/>
        <v>8.2994928977174703E-4</v>
      </c>
    </row>
    <row r="10" spans="1:32" ht="12" customHeight="1" x14ac:dyDescent="0.2">
      <c r="C10" s="171" t="s">
        <v>101</v>
      </c>
      <c r="D10" s="190" t="str">
        <f>PROPER(Currency)&amp;IborType&amp;D9</f>
        <v>UsdLibor1M</v>
      </c>
      <c r="N10" s="376"/>
      <c r="O10" s="105"/>
      <c r="P10" s="96">
        <v>1.0405092592592594E-2</v>
      </c>
      <c r="Q10" s="98">
        <v>8.0555555555555561E-2</v>
      </c>
      <c r="R10" s="378"/>
      <c r="S10" s="100">
        <v>8.5336860158568141E-4</v>
      </c>
      <c r="T10" s="378"/>
      <c r="U10" s="102">
        <v>6.0478414956681767E-5</v>
      </c>
      <c r="W10" s="96">
        <v>18.038793103448274</v>
      </c>
      <c r="X10" s="98">
        <v>-5.6249999999999991</v>
      </c>
      <c r="AB10" s="24">
        <f>_xll.qlCalendarAdvance(Calendar,AB9,"1d","mf",,Trigger)</f>
        <v>42381</v>
      </c>
      <c r="AC10" s="25">
        <f>_xll.qlDayCounterYearFraction(DayCounter,SettlementDate,AB10,,,Trigger)</f>
        <v>3.3333333333333333E-2</v>
      </c>
      <c r="AD10" s="21">
        <f t="shared" si="0"/>
        <v>8.2137440737515101E-4</v>
      </c>
      <c r="AE10" s="21">
        <f t="shared" si="1"/>
        <v>8.2689064775627694E-4</v>
      </c>
      <c r="AF10" s="21">
        <f t="shared" si="2"/>
        <v>8.2714498052154745E-4</v>
      </c>
    </row>
    <row r="11" spans="1:32" ht="12" customHeight="1" x14ac:dyDescent="0.2">
      <c r="C11" s="171" t="s">
        <v>127</v>
      </c>
      <c r="D11" s="191" t="s">
        <v>81</v>
      </c>
      <c r="S11" s="104"/>
      <c r="T11" s="93"/>
      <c r="U11" s="94"/>
      <c r="AB11" s="24">
        <f>_xll.qlCalendarAdvance(Calendar,AB10,"1d","mf",,Trigger)</f>
        <v>42382</v>
      </c>
      <c r="AC11" s="25">
        <f>_xll.qlDayCounterYearFraction(DayCounter,SettlementDate,AB11,,,Trigger)</f>
        <v>3.6111111111111108E-2</v>
      </c>
      <c r="AD11" s="21">
        <f t="shared" si="0"/>
        <v>8.2137440737515101E-4</v>
      </c>
      <c r="AE11" s="21">
        <f t="shared" si="1"/>
        <v>8.2468415160382661E-4</v>
      </c>
      <c r="AF11" s="21">
        <f t="shared" si="2"/>
        <v>8.2437213511859792E-4</v>
      </c>
    </row>
    <row r="12" spans="1:32" ht="12" customHeight="1" x14ac:dyDescent="0.2">
      <c r="C12" s="171" t="s">
        <v>126</v>
      </c>
      <c r="D12" s="190" t="s">
        <v>132</v>
      </c>
      <c r="S12" s="95" t="s">
        <v>26</v>
      </c>
      <c r="T12" s="93"/>
      <c r="U12" s="94"/>
      <c r="AB12" s="24">
        <f>_xll.qlCalendarAdvance(Calendar,AB11,"1d","mf",,Trigger)</f>
        <v>42383</v>
      </c>
      <c r="AC12" s="25">
        <f>_xll.qlDayCounterYearFraction(DayCounter,SettlementDate,AB12,,,Trigger)</f>
        <v>3.888888888888889E-2</v>
      </c>
      <c r="AD12" s="21">
        <f t="shared" si="0"/>
        <v>8.2137440737515101E-4</v>
      </c>
      <c r="AE12" s="21">
        <f t="shared" si="1"/>
        <v>8.2247765545137618E-4</v>
      </c>
      <c r="AF12" s="21">
        <f t="shared" si="2"/>
        <v>8.2163075356289834E-4</v>
      </c>
    </row>
    <row r="13" spans="1:32" ht="12" customHeight="1" x14ac:dyDescent="0.2">
      <c r="A13" s="86"/>
      <c r="B13" s="86"/>
      <c r="C13" s="86"/>
      <c r="D13" s="86"/>
      <c r="E13" s="86"/>
      <c r="F13" s="86"/>
      <c r="G13" s="86"/>
      <c r="H13" s="86"/>
      <c r="I13" s="86"/>
      <c r="J13" s="188" t="str">
        <f>"Synthetic Deposits "&amp;D9</f>
        <v>Synthetic Deposits 1M</v>
      </c>
      <c r="K13" s="188"/>
      <c r="L13" s="188"/>
      <c r="N13" s="106" t="s">
        <v>90</v>
      </c>
      <c r="Q13" s="107">
        <f t="array" ref="Q13">_xll.ohFilter(I3:I7,L3:L7)</f>
        <v>8.0555555555555561E-2</v>
      </c>
      <c r="R13" s="106" t="s">
        <v>28</v>
      </c>
      <c r="S13" s="100">
        <f>MMULT(W13,U13)</f>
        <v>8.2137440737515101E-4</v>
      </c>
      <c r="T13" s="106" t="s">
        <v>29</v>
      </c>
      <c r="U13" s="102">
        <f t="array" ref="U13">_xll.ohFilter(F3:F7,L3:L7)</f>
        <v>6.61662717052205E-5</v>
      </c>
      <c r="W13" s="107">
        <f>MINVERSE(Q13)</f>
        <v>12.413793103448276</v>
      </c>
      <c r="AB13" s="24">
        <f>_xll.qlCalendarAdvance(Calendar,AB12,"1d","mf",,Trigger)</f>
        <v>42384</v>
      </c>
      <c r="AC13" s="25">
        <f>_xll.qlDayCounterYearFraction(DayCounter,SettlementDate,AB13,,,Trigger)</f>
        <v>4.1666666666666664E-2</v>
      </c>
      <c r="AD13" s="21">
        <f t="shared" si="0"/>
        <v>8.2137440737515101E-4</v>
      </c>
      <c r="AE13" s="21">
        <f t="shared" si="1"/>
        <v>8.2027115929892585E-4</v>
      </c>
      <c r="AF13" s="21">
        <f t="shared" si="2"/>
        <v>8.189208358544487E-4</v>
      </c>
    </row>
    <row r="14" spans="1:32" ht="12" customHeight="1" x14ac:dyDescent="0.2">
      <c r="A14" s="86"/>
      <c r="B14" s="86"/>
      <c r="C14" s="171" t="s">
        <v>97</v>
      </c>
      <c r="D14" s="171" t="s">
        <v>78</v>
      </c>
      <c r="E14" s="171" t="s">
        <v>79</v>
      </c>
      <c r="F14" s="172" t="s">
        <v>120</v>
      </c>
      <c r="G14" s="172" t="s">
        <v>121</v>
      </c>
      <c r="H14" s="171" t="s">
        <v>122</v>
      </c>
      <c r="I14" s="172" t="s">
        <v>123</v>
      </c>
      <c r="J14" s="189" t="s">
        <v>90</v>
      </c>
      <c r="K14" s="189" t="s">
        <v>89</v>
      </c>
      <c r="L14" s="189" t="s">
        <v>115</v>
      </c>
      <c r="AB14" s="24">
        <f>_xll.qlCalendarAdvance(Calendar,AB13,"1d","mf",,Trigger)</f>
        <v>42387</v>
      </c>
      <c r="AC14" s="25">
        <f>_xll.qlDayCounterYearFraction(DayCounter,SettlementDate,AB14,,,Trigger)</f>
        <v>0.05</v>
      </c>
      <c r="AD14" s="21">
        <f t="shared" si="0"/>
        <v>8.2137440737515101E-4</v>
      </c>
      <c r="AE14" s="21">
        <f t="shared" si="1"/>
        <v>8.1365167084157476E-4</v>
      </c>
      <c r="AF14" s="21">
        <f t="shared" si="2"/>
        <v>8.1097986581259954E-4</v>
      </c>
    </row>
    <row r="15" spans="1:32" ht="12" customHeight="1" x14ac:dyDescent="0.2">
      <c r="C15" s="182" t="s">
        <v>34</v>
      </c>
      <c r="D15" s="22">
        <f t="shared" ref="D15:D19" si="4">SettlementDate</f>
        <v>42369</v>
      </c>
      <c r="E15" s="23">
        <f>_xll.qlCalendarAdvance(Calendar,SettlementDate,C15,"Following",,Trigger)</f>
        <v>42373</v>
      </c>
      <c r="F15" s="55">
        <f>_xll.qlDayCounterYearFraction(DayCounter,D15,E15,,,Trigger)</f>
        <v>1.1111111111111112E-2</v>
      </c>
      <c r="G15" s="51">
        <f>_xll.qlYieldTSDiscount(Discounting,D15,,AllTriggers)</f>
        <v>0.99996012451818017</v>
      </c>
      <c r="H15" s="51">
        <f>_xll.qlYieldTSDiscount(Discounting,E15,,AllTriggers)</f>
        <v>0.99992474050624691</v>
      </c>
      <c r="I15" s="57">
        <f>(G15/H15-1)/F15</f>
        <v>3.1848007604939887E-3</v>
      </c>
      <c r="J15" s="20">
        <f>((1+I15*F15)*EXP($S$13*F15)-1)/F15</f>
        <v>4.0062079818148355E-3</v>
      </c>
      <c r="K15" s="20">
        <f>((1+F15*I15)*EXP($S$10*F15+0.5*$S$9*F15^2)-1)/F15</f>
        <v>4.0337904156717563E-3</v>
      </c>
      <c r="L15" s="20">
        <f>((1+F15*I15)*EXP($S$5*F15+0.5*$S$4*F15^2+1/3*$S$3*F15^3)-1)/F15</f>
        <v>4.0414600725013905E-3</v>
      </c>
      <c r="AB15" s="24">
        <f>_xll.qlCalendarAdvance(Calendar,AB14,"1d","mf",,Trigger)</f>
        <v>42388</v>
      </c>
      <c r="AC15" s="25">
        <f>_xll.qlDayCounterYearFraction(DayCounter,SettlementDate,AB15,,,Trigger)</f>
        <v>5.2777777777777778E-2</v>
      </c>
      <c r="AD15" s="21">
        <f t="shared" si="0"/>
        <v>8.2137440737515101E-4</v>
      </c>
      <c r="AE15" s="21">
        <f t="shared" si="1"/>
        <v>8.1144517468912433E-4</v>
      </c>
      <c r="AF15" s="21">
        <f t="shared" si="2"/>
        <v>8.0839580349314967E-4</v>
      </c>
    </row>
    <row r="16" spans="1:32" ht="12" customHeight="1" x14ac:dyDescent="0.2">
      <c r="C16" s="81" t="s">
        <v>35</v>
      </c>
      <c r="D16" s="16">
        <f>SettlementDate</f>
        <v>42369</v>
      </c>
      <c r="E16" s="24">
        <f>_xll.qlCalendarAdvance(Calendar,SettlementDate,C16,"Following",,Trigger)</f>
        <v>42376</v>
      </c>
      <c r="F16" s="25">
        <f>_xll.qlDayCounterYearFraction(DayCounter,D16,E16,,,Trigger)</f>
        <v>1.9444444444444445E-2</v>
      </c>
      <c r="G16" s="52">
        <f>_xll.qlYieldTSDiscount(Discounting,D16,,AllTriggers)</f>
        <v>0.99996012451818017</v>
      </c>
      <c r="H16" s="54">
        <f>_xll.qlYieldTSDiscount(Discounting,E16,,AllTriggers)</f>
        <v>0.99990032205579082</v>
      </c>
      <c r="I16" s="57">
        <f t="shared" ref="I16:I19" si="5">(G16/H16-1)/F16</f>
        <v>3.0758618041724717E-3</v>
      </c>
      <c r="J16" s="21">
        <f t="shared" ref="J16:J19" si="6">((1+I16*F16)*EXP($S$13*F16)-1)/F16</f>
        <v>3.8972918962443259E-3</v>
      </c>
      <c r="K16" s="21">
        <f t="shared" ref="K16:K19" si="7">((1+F16*I16)*EXP($S$10*F16+0.5*$S$9*F16^2)-1)/F16</f>
        <v>3.9215651989492929E-3</v>
      </c>
      <c r="L16" s="21">
        <f t="shared" ref="L16:L19" si="8">((1+F16*I16)*EXP($S$5*F16+0.5*$S$4*F16^2+1/3*$S$3*F16^3)-1)/F16</f>
        <v>3.9279685805000087E-3</v>
      </c>
      <c r="AB16" s="24">
        <f>_xll.qlCalendarAdvance(Calendar,AB15,"1d","mf",,Trigger)</f>
        <v>42389</v>
      </c>
      <c r="AC16" s="25">
        <f>_xll.qlDayCounterYearFraction(DayCounter,SettlementDate,AB16,,,Trigger)</f>
        <v>5.5555555555555552E-2</v>
      </c>
      <c r="AD16" s="21">
        <f t="shared" si="0"/>
        <v>8.2137440737515101E-4</v>
      </c>
      <c r="AE16" s="21">
        <f t="shared" si="1"/>
        <v>8.09238678536674E-4</v>
      </c>
      <c r="AF16" s="21">
        <f t="shared" si="2"/>
        <v>8.0584320502094975E-4</v>
      </c>
    </row>
    <row r="17" spans="3:32" ht="12" customHeight="1" x14ac:dyDescent="0.2">
      <c r="C17" s="81" t="s">
        <v>36</v>
      </c>
      <c r="D17" s="16">
        <f t="shared" si="4"/>
        <v>42369</v>
      </c>
      <c r="E17" s="24">
        <f>_xll.qlCalendarAdvance(Calendar,SettlementDate,C17,"Following",,Trigger)</f>
        <v>42383</v>
      </c>
      <c r="F17" s="25">
        <f>_xll.qlDayCounterYearFraction(DayCounter,D17,E17,,,Trigger)</f>
        <v>3.888888888888889E-2</v>
      </c>
      <c r="G17" s="52">
        <f>_xll.qlYieldTSDiscount(Discounting,D17,,AllTriggers)</f>
        <v>0.99996012451818017</v>
      </c>
      <c r="H17" s="54">
        <f>_xll.qlYieldTSDiscount(Discounting,E17,,AllTriggers)</f>
        <v>0.99983345935946277</v>
      </c>
      <c r="I17" s="57">
        <f t="shared" si="5"/>
        <v>3.2576466118592962E-3</v>
      </c>
      <c r="J17" s="21">
        <f t="shared" si="6"/>
        <v>4.079138196193861E-3</v>
      </c>
      <c r="K17" s="21">
        <f t="shared" si="7"/>
        <v>4.0956895478373922E-3</v>
      </c>
      <c r="L17" s="21">
        <f t="shared" si="8"/>
        <v>4.0995051472395416E-3</v>
      </c>
      <c r="AB17" s="24">
        <f>_xll.qlCalendarAdvance(Calendar,AB16,"1d","mf",,Trigger)</f>
        <v>42390</v>
      </c>
      <c r="AC17" s="25">
        <f>_xll.qlDayCounterYearFraction(DayCounter,SettlementDate,AB17,,,Trigger)</f>
        <v>5.8333333333333334E-2</v>
      </c>
      <c r="AD17" s="21">
        <f t="shared" si="0"/>
        <v>8.2137440737515101E-4</v>
      </c>
      <c r="AE17" s="21">
        <f t="shared" si="1"/>
        <v>8.0703218238422367E-4</v>
      </c>
      <c r="AF17" s="21">
        <f t="shared" si="2"/>
        <v>8.0332207039599988E-4</v>
      </c>
    </row>
    <row r="18" spans="3:32" ht="12" customHeight="1" x14ac:dyDescent="0.2">
      <c r="C18" s="81" t="s">
        <v>37</v>
      </c>
      <c r="D18" s="16">
        <f t="shared" si="4"/>
        <v>42369</v>
      </c>
      <c r="E18" s="24">
        <f>_xll.qlCalendarAdvance(Calendar,SettlementDate,C18,"Following",,Trigger)</f>
        <v>42390</v>
      </c>
      <c r="F18" s="25">
        <f>_xll.qlDayCounterYearFraction(DayCounter,D18,E18,,,Trigger)</f>
        <v>5.8333333333333334E-2</v>
      </c>
      <c r="G18" s="52">
        <f>_xll.qlYieldTSDiscount(Discounting,D18,,AllTriggers)</f>
        <v>0.99996012451818017</v>
      </c>
      <c r="H18" s="54">
        <f>_xll.qlYieldTSDiscount(Discounting,E18,,AllTriggers)</f>
        <v>0.99976782970082889</v>
      </c>
      <c r="I18" s="57">
        <f t="shared" si="5"/>
        <v>3.2972481062440041E-3</v>
      </c>
      <c r="J18" s="21">
        <f t="shared" si="6"/>
        <v>4.1188001779003868E-3</v>
      </c>
      <c r="K18" s="21">
        <f t="shared" si="7"/>
        <v>4.127628285345456E-3</v>
      </c>
      <c r="L18" s="21">
        <f t="shared" si="8"/>
        <v>4.129369704179351E-3</v>
      </c>
      <c r="AB18" s="24">
        <f>_xll.qlCalendarAdvance(Calendar,AB17,"1d","mf",,Trigger)</f>
        <v>42391</v>
      </c>
      <c r="AC18" s="25">
        <f>_xll.qlDayCounterYearFraction(DayCounter,SettlementDate,AB18,,,Trigger)</f>
        <v>6.1111111111111109E-2</v>
      </c>
      <c r="AD18" s="21">
        <f t="shared" si="0"/>
        <v>8.2137440737515101E-4</v>
      </c>
      <c r="AE18" s="21">
        <f t="shared" si="1"/>
        <v>8.0482568623177324E-4</v>
      </c>
      <c r="AF18" s="21">
        <f t="shared" si="2"/>
        <v>8.0083239961829995E-4</v>
      </c>
    </row>
    <row r="19" spans="3:32" ht="12" customHeight="1" x14ac:dyDescent="0.2">
      <c r="C19" s="183" t="s">
        <v>31</v>
      </c>
      <c r="D19" s="178">
        <f t="shared" si="4"/>
        <v>42369</v>
      </c>
      <c r="E19" s="184">
        <f>_xll.qlCalendarAdvance(Calendar,SettlementDate,C19,"mf",TRUE,Trigger)</f>
        <v>42398</v>
      </c>
      <c r="F19" s="180">
        <f>_xll.qlDayCounterYearFraction(DayCounter,D19,E19,,,Trigger)</f>
        <v>8.0555555555555561E-2</v>
      </c>
      <c r="G19" s="185">
        <f>_xll.qlYieldTSDiscount(Discounting,D19,,AllTriggers)</f>
        <v>0.99996012451818017</v>
      </c>
      <c r="H19" s="186">
        <f>_xll.qlYieldTSDiscount(Discounting,E19,,AllTriggers)</f>
        <v>0.99968677449654142</v>
      </c>
      <c r="I19" s="187">
        <f t="shared" si="5"/>
        <v>3.3943738178951943E-3</v>
      </c>
      <c r="J19" s="26">
        <f t="shared" si="6"/>
        <v>4.2160000000007166E-3</v>
      </c>
      <c r="K19" s="26">
        <f t="shared" si="7"/>
        <v>4.2160000000007166E-3</v>
      </c>
      <c r="L19" s="26">
        <f t="shared" si="8"/>
        <v>4.2160000000007166E-3</v>
      </c>
      <c r="AB19" s="24">
        <f>_xll.qlCalendarAdvance(Calendar,AB18,"1d","mf",,Trigger)</f>
        <v>42394</v>
      </c>
      <c r="AC19" s="25">
        <f>_xll.qlDayCounterYearFraction(DayCounter,SettlementDate,AB19,,,Trigger)</f>
        <v>6.9444444444444448E-2</v>
      </c>
      <c r="AD19" s="21">
        <f t="shared" si="0"/>
        <v>8.2137440737515101E-4</v>
      </c>
      <c r="AE19" s="21">
        <f t="shared" si="1"/>
        <v>7.9820619777442215E-4</v>
      </c>
      <c r="AF19" s="21">
        <f t="shared" si="2"/>
        <v>7.9355217036869972E-4</v>
      </c>
    </row>
    <row r="20" spans="3:32" ht="12" customHeight="1" x14ac:dyDescent="0.2">
      <c r="AB20" s="24">
        <f>_xll.qlCalendarAdvance(Calendar,AB19,"1d","mf",,Trigger)</f>
        <v>42395</v>
      </c>
      <c r="AC20" s="25">
        <f>_xll.qlDayCounterYearFraction(DayCounter,SettlementDate,AB20,,,Trigger)</f>
        <v>7.2222222222222215E-2</v>
      </c>
      <c r="AD20" s="21">
        <f t="shared" si="0"/>
        <v>8.2137440737515101E-4</v>
      </c>
      <c r="AE20" s="21">
        <f t="shared" si="1"/>
        <v>7.9599970162197182E-4</v>
      </c>
      <c r="AF20" s="21">
        <f t="shared" si="2"/>
        <v>7.9118835497999967E-4</v>
      </c>
    </row>
    <row r="21" spans="3:32" ht="12" customHeight="1" x14ac:dyDescent="0.2">
      <c r="C21" s="171" t="s">
        <v>103</v>
      </c>
      <c r="AB21" s="24">
        <f>_xll.qlCalendarAdvance(Calendar,AB20,"1d","mf",,Trigger)</f>
        <v>42396</v>
      </c>
      <c r="AC21" s="25">
        <f>_xll.qlDayCounterYearFraction(DayCounter,SettlementDate,AB21,,,Trigger)</f>
        <v>7.4999999999999997E-2</v>
      </c>
      <c r="AD21" s="21">
        <f t="shared" si="0"/>
        <v>8.2137440737515101E-4</v>
      </c>
      <c r="AE21" s="21">
        <f t="shared" si="1"/>
        <v>7.9379320546952138E-4</v>
      </c>
      <c r="AF21" s="21">
        <f t="shared" si="2"/>
        <v>7.8885600343854946E-4</v>
      </c>
    </row>
    <row r="22" spans="3:32" ht="12" customHeight="1" x14ac:dyDescent="0.2">
      <c r="C22" s="113" t="s">
        <v>88</v>
      </c>
      <c r="AB22" s="24">
        <f>_xll.qlCalendarAdvance(Calendar,AB21,"1d","mf",,Trigger)</f>
        <v>42397</v>
      </c>
      <c r="AC22" s="25">
        <f>_xll.qlDayCounterYearFraction(DayCounter,SettlementDate,AB22,,,Trigger)</f>
        <v>7.7777777777777779E-2</v>
      </c>
      <c r="AD22" s="21">
        <f t="shared" si="0"/>
        <v>8.2137440737515101E-4</v>
      </c>
      <c r="AE22" s="21">
        <f t="shared" si="1"/>
        <v>7.9158670931707106E-4</v>
      </c>
      <c r="AF22" s="21">
        <f t="shared" si="2"/>
        <v>7.865551157443492E-4</v>
      </c>
    </row>
    <row r="23" spans="3:32" ht="12" customHeight="1" x14ac:dyDescent="0.2">
      <c r="C23" s="21">
        <f>IF($C$22="FLAT",J15,IF($C$22="linear",K15,L15))</f>
        <v>4.0414600725013905E-3</v>
      </c>
      <c r="AB23" s="24">
        <f>_xll.qlCalendarAdvance(Calendar,AB22,"1d","mf",,Trigger)</f>
        <v>42398</v>
      </c>
      <c r="AC23" s="25">
        <f>_xll.qlDayCounterYearFraction(DayCounter,SettlementDate,AB23,,,Trigger)</f>
        <v>8.0555555555555561E-2</v>
      </c>
      <c r="AD23" s="21">
        <f t="shared" si="0"/>
        <v>8.2137440737515101E-4</v>
      </c>
      <c r="AE23" s="21">
        <f t="shared" si="1"/>
        <v>7.8938021316462062E-4</v>
      </c>
      <c r="AF23" s="21">
        <f t="shared" si="2"/>
        <v>7.8428569189739898E-4</v>
      </c>
    </row>
    <row r="24" spans="3:32" ht="12" customHeight="1" x14ac:dyDescent="0.2">
      <c r="C24" s="21">
        <f>IF($C$22="FLAT",J16,IF($C$22="linear",K16,L16))</f>
        <v>3.9279685805000087E-3</v>
      </c>
      <c r="AB24" s="24">
        <f>_xll.qlCalendarAdvance(Calendar,AB23,"1d","mf",,Trigger)</f>
        <v>42401</v>
      </c>
      <c r="AC24" s="25">
        <f>_xll.qlDayCounterYearFraction(DayCounter,SettlementDate,AB24,,,Trigger)</f>
        <v>8.8888888888888892E-2</v>
      </c>
      <c r="AD24" s="21">
        <f t="shared" si="0"/>
        <v>8.2137440737515101E-4</v>
      </c>
      <c r="AE24" s="21">
        <f t="shared" ref="AE24:AE26" si="9">$S$10+$S$9*AC24</f>
        <v>7.8276072470726953E-4</v>
      </c>
      <c r="AF24" s="21">
        <f t="shared" ref="AF24:AF26" si="10">($S$5+$S$4*AC24+$S$3*AC24^2)</f>
        <v>7.7766620344004778E-4</v>
      </c>
    </row>
    <row r="25" spans="3:32" ht="12" customHeight="1" x14ac:dyDescent="0.2">
      <c r="C25" s="21">
        <f>IF($C$22="FLAT",J17,IF($C$22="linear",K17,L17))</f>
        <v>4.0995051472395416E-3</v>
      </c>
      <c r="AB25" s="24">
        <f>_xll.qlCalendarAdvance(Calendar,AB24,"1d","mf",,Trigger)</f>
        <v>42402</v>
      </c>
      <c r="AC25" s="25">
        <f>_xll.qlDayCounterYearFraction(DayCounter,SettlementDate,AB25,,,Trigger)</f>
        <v>9.166666666666666E-2</v>
      </c>
      <c r="AD25" s="21">
        <f t="shared" si="0"/>
        <v>8.2137440737515101E-4</v>
      </c>
      <c r="AE25" s="21">
        <f t="shared" si="9"/>
        <v>7.805542285548192E-4</v>
      </c>
      <c r="AF25" s="21">
        <f t="shared" si="10"/>
        <v>7.7552263498209735E-4</v>
      </c>
    </row>
    <row r="26" spans="3:32" ht="12" customHeight="1" x14ac:dyDescent="0.2">
      <c r="C26" s="21">
        <f>IF($C$22="FLAT",J18,IF($C$22="linear",K18,L18))</f>
        <v>4.129369704179351E-3</v>
      </c>
      <c r="AB26" s="184">
        <f>_xll.qlCalendarAdvance(Calendar,AB25,"1d","mf",,Trigger)</f>
        <v>42403</v>
      </c>
      <c r="AC26" s="180">
        <f>_xll.qlDayCounterYearFraction(DayCounter,SettlementDate,AB26,,,Trigger)</f>
        <v>9.4444444444444442E-2</v>
      </c>
      <c r="AD26" s="26">
        <f t="shared" si="0"/>
        <v>8.2137440737515101E-4</v>
      </c>
      <c r="AE26" s="26">
        <f t="shared" si="9"/>
        <v>7.7834773240236877E-4</v>
      </c>
      <c r="AF26" s="26">
        <f t="shared" si="10"/>
        <v>7.7341053037139685E-4</v>
      </c>
    </row>
    <row r="27" spans="3:32" ht="12" customHeight="1" x14ac:dyDescent="0.2">
      <c r="C27" s="26">
        <f>IF($C$22="FLAT",J19,IF($C$22="linear",K19,L19))</f>
        <v>4.2160000000007166E-3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11"/>
      <c r="J39" s="111"/>
    </row>
    <row r="43" spans="9:13" ht="11.25" customHeight="1" x14ac:dyDescent="0.2"/>
    <row r="44" spans="9:13" x14ac:dyDescent="0.2">
      <c r="M44" s="108"/>
    </row>
    <row r="45" spans="9:13" x14ac:dyDescent="0.2">
      <c r="M45" s="108"/>
    </row>
    <row r="46" spans="9:13" x14ac:dyDescent="0.2">
      <c r="M46" s="108"/>
    </row>
    <row r="47" spans="9:13" x14ac:dyDescent="0.2">
      <c r="M47" s="108"/>
    </row>
    <row r="48" spans="9:13" x14ac:dyDescent="0.2">
      <c r="M48" s="108"/>
    </row>
    <row r="58" spans="9:10" x14ac:dyDescent="0.2">
      <c r="I58" s="111"/>
    </row>
    <row r="59" spans="9:10" x14ac:dyDescent="0.2">
      <c r="I59" s="111"/>
    </row>
    <row r="60" spans="9:10" x14ac:dyDescent="0.2">
      <c r="I60" s="111"/>
    </row>
    <row r="61" spans="9:10" x14ac:dyDescent="0.2">
      <c r="I61" s="111"/>
    </row>
    <row r="62" spans="9:10" x14ac:dyDescent="0.2">
      <c r="I62" s="111"/>
    </row>
    <row r="63" spans="9:10" x14ac:dyDescent="0.2">
      <c r="I63" s="111"/>
    </row>
    <row r="64" spans="9:10" x14ac:dyDescent="0.2">
      <c r="I64" s="111"/>
      <c r="J64" s="111"/>
    </row>
    <row r="65" spans="9:10" x14ac:dyDescent="0.2">
      <c r="I65" s="111"/>
      <c r="J65" s="111"/>
    </row>
    <row r="66" spans="9:10" x14ac:dyDescent="0.2">
      <c r="I66" s="111"/>
      <c r="J66" s="111"/>
    </row>
    <row r="67" spans="9:10" x14ac:dyDescent="0.2">
      <c r="I67" s="111"/>
      <c r="J67" s="111"/>
    </row>
    <row r="68" spans="9:10" x14ac:dyDescent="0.2">
      <c r="I68" s="111"/>
      <c r="J68" s="111"/>
    </row>
    <row r="69" spans="9:10" x14ac:dyDescent="0.2">
      <c r="I69" s="111"/>
      <c r="J69" s="111"/>
    </row>
    <row r="70" spans="9:10" x14ac:dyDescent="0.2">
      <c r="I70" s="111"/>
      <c r="J70" s="111"/>
    </row>
    <row r="71" spans="9:10" x14ac:dyDescent="0.2">
      <c r="I71" s="111"/>
      <c r="J71" s="111"/>
    </row>
    <row r="72" spans="9:10" x14ac:dyDescent="0.2">
      <c r="I72" s="111"/>
      <c r="J72" s="111"/>
    </row>
    <row r="73" spans="9:10" x14ac:dyDescent="0.2">
      <c r="I73" s="111"/>
      <c r="J73" s="111"/>
    </row>
    <row r="74" spans="9:10" x14ac:dyDescent="0.2">
      <c r="I74" s="111"/>
      <c r="J74" s="111"/>
    </row>
    <row r="75" spans="9:10" x14ac:dyDescent="0.2">
      <c r="I75" s="111"/>
      <c r="J75" s="111"/>
    </row>
    <row r="76" spans="9:10" x14ac:dyDescent="0.2">
      <c r="I76" s="111"/>
      <c r="J76" s="111"/>
    </row>
    <row r="77" spans="9:10" x14ac:dyDescent="0.2">
      <c r="I77" s="111"/>
      <c r="J77" s="111"/>
    </row>
    <row r="78" spans="9:10" x14ac:dyDescent="0.2">
      <c r="I78" s="111"/>
      <c r="J78" s="111"/>
    </row>
    <row r="79" spans="9:10" x14ac:dyDescent="0.2">
      <c r="I79" s="111"/>
      <c r="J79" s="111"/>
    </row>
    <row r="80" spans="9:10" x14ac:dyDescent="0.2">
      <c r="I80" s="111"/>
      <c r="J80" s="111"/>
    </row>
    <row r="81" spans="9:10" x14ac:dyDescent="0.2">
      <c r="I81" s="111"/>
      <c r="J81" s="111"/>
    </row>
    <row r="82" spans="9:10" x14ac:dyDescent="0.2">
      <c r="I82" s="111"/>
      <c r="J82" s="111"/>
    </row>
    <row r="83" spans="9:10" x14ac:dyDescent="0.2">
      <c r="I83" s="111"/>
      <c r="J83" s="111"/>
    </row>
    <row r="84" spans="9:10" x14ac:dyDescent="0.2">
      <c r="I84" s="111"/>
      <c r="J84" s="111"/>
    </row>
    <row r="85" spans="9:10" x14ac:dyDescent="0.2">
      <c r="I85" s="111"/>
      <c r="J85" s="111"/>
    </row>
    <row r="86" spans="9:10" x14ac:dyDescent="0.2">
      <c r="I86" s="111"/>
      <c r="J86" s="111"/>
    </row>
    <row r="87" spans="9:10" x14ac:dyDescent="0.2">
      <c r="I87" s="111"/>
      <c r="J87" s="111"/>
    </row>
    <row r="88" spans="9:10" x14ac:dyDescent="0.2">
      <c r="I88" s="111"/>
      <c r="J88" s="111"/>
    </row>
    <row r="89" spans="9:10" x14ac:dyDescent="0.2">
      <c r="I89" s="111"/>
      <c r="J89" s="111"/>
    </row>
    <row r="90" spans="9:10" x14ac:dyDescent="0.2">
      <c r="I90" s="111"/>
      <c r="J90" s="111"/>
    </row>
    <row r="91" spans="9:10" x14ac:dyDescent="0.2">
      <c r="I91" s="111"/>
      <c r="J91" s="111"/>
    </row>
    <row r="92" spans="9:10" x14ac:dyDescent="0.2">
      <c r="I92" s="111"/>
      <c r="J92" s="111"/>
    </row>
    <row r="93" spans="9:10" x14ac:dyDescent="0.2">
      <c r="I93" s="111"/>
      <c r="J93" s="111"/>
    </row>
    <row r="94" spans="9:10" x14ac:dyDescent="0.2">
      <c r="I94" s="111"/>
      <c r="J94" s="111"/>
    </row>
    <row r="95" spans="9:10" x14ac:dyDescent="0.2">
      <c r="I95" s="111"/>
      <c r="J95" s="111"/>
    </row>
    <row r="96" spans="9:10" x14ac:dyDescent="0.2">
      <c r="I96" s="111"/>
      <c r="J96" s="111"/>
    </row>
    <row r="97" spans="9:10" x14ac:dyDescent="0.2">
      <c r="I97" s="111"/>
      <c r="J97" s="111"/>
    </row>
    <row r="98" spans="9:10" x14ac:dyDescent="0.2">
      <c r="I98" s="111"/>
      <c r="J98" s="111"/>
    </row>
    <row r="99" spans="9:10" x14ac:dyDescent="0.2">
      <c r="I99" s="111"/>
      <c r="J99" s="111"/>
    </row>
    <row r="100" spans="9:10" x14ac:dyDescent="0.2">
      <c r="I100" s="111"/>
      <c r="J100" s="111"/>
    </row>
    <row r="101" spans="9:10" x14ac:dyDescent="0.2">
      <c r="I101" s="111"/>
      <c r="J101" s="111"/>
    </row>
    <row r="102" spans="9:10" x14ac:dyDescent="0.2">
      <c r="I102" s="111"/>
      <c r="J102" s="111"/>
    </row>
    <row r="103" spans="9:10" x14ac:dyDescent="0.2">
      <c r="I103" s="111"/>
      <c r="J103" s="111"/>
    </row>
    <row r="104" spans="9:10" x14ac:dyDescent="0.2">
      <c r="I104" s="111"/>
      <c r="J104" s="111"/>
    </row>
    <row r="105" spans="9:10" x14ac:dyDescent="0.2">
      <c r="I105" s="111"/>
      <c r="J105" s="111"/>
    </row>
    <row r="106" spans="9:10" x14ac:dyDescent="0.2">
      <c r="I106" s="111"/>
      <c r="J106" s="111"/>
    </row>
    <row r="107" spans="9:10" x14ac:dyDescent="0.2">
      <c r="I107" s="111"/>
      <c r="J107" s="111"/>
    </row>
    <row r="108" spans="9:10" x14ac:dyDescent="0.2">
      <c r="I108" s="111"/>
      <c r="J108" s="111"/>
    </row>
    <row r="109" spans="9:10" x14ac:dyDescent="0.2">
      <c r="I109" s="111"/>
      <c r="J109" s="111"/>
    </row>
    <row r="110" spans="9:10" x14ac:dyDescent="0.2">
      <c r="I110" s="111"/>
      <c r="J110" s="111"/>
    </row>
    <row r="111" spans="9:10" x14ac:dyDescent="0.2">
      <c r="I111" s="112"/>
      <c r="J111" s="111"/>
    </row>
    <row r="112" spans="9:10" x14ac:dyDescent="0.2">
      <c r="I112" s="112"/>
      <c r="J112" s="111"/>
    </row>
    <row r="113" spans="9:10" x14ac:dyDescent="0.2">
      <c r="I113" s="112"/>
      <c r="J113" s="111"/>
    </row>
    <row r="114" spans="9:10" x14ac:dyDescent="0.2">
      <c r="I114" s="112"/>
      <c r="J114" s="111"/>
    </row>
    <row r="115" spans="9:10" x14ac:dyDescent="0.2">
      <c r="I115" s="112"/>
      <c r="J115" s="111"/>
    </row>
    <row r="116" spans="9:10" x14ac:dyDescent="0.2">
      <c r="I116" s="112"/>
      <c r="J116" s="111"/>
    </row>
    <row r="117" spans="9:10" x14ac:dyDescent="0.2">
      <c r="I117" s="112"/>
      <c r="J117" s="112"/>
    </row>
    <row r="118" spans="9:10" x14ac:dyDescent="0.2">
      <c r="I118" s="112"/>
      <c r="J118" s="112"/>
    </row>
    <row r="119" spans="9:10" x14ac:dyDescent="0.2">
      <c r="I119" s="112"/>
      <c r="J119" s="112"/>
    </row>
    <row r="120" spans="9:10" x14ac:dyDescent="0.2">
      <c r="I120" s="112"/>
      <c r="J120" s="112"/>
    </row>
    <row r="121" spans="9:10" x14ac:dyDescent="0.2">
      <c r="I121" s="112"/>
      <c r="J121" s="112"/>
    </row>
    <row r="122" spans="9:10" x14ac:dyDescent="0.2">
      <c r="I122" s="112"/>
      <c r="J122" s="112"/>
    </row>
    <row r="123" spans="9:10" x14ac:dyDescent="0.2">
      <c r="I123" s="112"/>
      <c r="J123" s="112"/>
    </row>
    <row r="124" spans="9:10" x14ac:dyDescent="0.2">
      <c r="I124" s="112"/>
      <c r="J124" s="112"/>
    </row>
    <row r="125" spans="9:10" x14ac:dyDescent="0.2">
      <c r="I125" s="112"/>
      <c r="J125" s="112"/>
    </row>
    <row r="126" spans="9:10" x14ac:dyDescent="0.2">
      <c r="I126" s="112"/>
      <c r="J126" s="112"/>
    </row>
    <row r="127" spans="9:10" x14ac:dyDescent="0.2">
      <c r="J127" s="112"/>
    </row>
    <row r="128" spans="9:10" x14ac:dyDescent="0.2">
      <c r="J128" s="112"/>
    </row>
    <row r="129" spans="10:10" x14ac:dyDescent="0.2">
      <c r="J129" s="112"/>
    </row>
    <row r="130" spans="10:10" x14ac:dyDescent="0.2">
      <c r="J130" s="112"/>
    </row>
    <row r="131" spans="10:10" x14ac:dyDescent="0.2">
      <c r="J131" s="112"/>
    </row>
    <row r="132" spans="10:10" x14ac:dyDescent="0.2">
      <c r="J132" s="112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bestFit="1" customWidth="1"/>
    <col min="30" max="31" width="9.5" style="84"/>
    <col min="32" max="32" width="20.33203125" style="84" bestFit="1" customWidth="1"/>
    <col min="33" max="33" width="8.1640625" style="84" bestFit="1" customWidth="1"/>
    <col min="34" max="35" width="9.5" style="84" bestFit="1" customWidth="1"/>
    <col min="36" max="36" width="12.1640625" style="84" customWidth="1"/>
    <col min="37" max="16384" width="9.5" style="84"/>
  </cols>
  <sheetData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121</v>
      </c>
      <c r="G2" s="171" t="s">
        <v>122</v>
      </c>
      <c r="H2" s="171" t="s">
        <v>120</v>
      </c>
      <c r="I2" s="171" t="s">
        <v>123</v>
      </c>
      <c r="J2" s="171" t="s">
        <v>124</v>
      </c>
      <c r="K2" s="171" t="s">
        <v>128</v>
      </c>
      <c r="L2" s="171" t="s">
        <v>129</v>
      </c>
      <c r="M2" s="171" t="s">
        <v>94</v>
      </c>
      <c r="N2" s="172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120</v>
      </c>
      <c r="AH2" s="171" t="s">
        <v>30</v>
      </c>
      <c r="AI2" s="171" t="s">
        <v>85</v>
      </c>
      <c r="AJ2" s="171" t="s">
        <v>86</v>
      </c>
    </row>
    <row r="3" spans="1:36" ht="12" customHeight="1" x14ac:dyDescent="0.2">
      <c r="C3" s="173" t="str">
        <f>$D$10&amp;"LastFixing"&amp;QuoteSuffix</f>
        <v>UsdLibor3MLastFixing_Quote</v>
      </c>
      <c r="D3" s="47">
        <f>_xll.qlCalendarAdvance(Calendar,_xll.qlLastFixingQuoteReferenceDate($C$3),_xll.qlInterestRateIndexFixingDays($D$10)&amp;"D","f",,LastFixingsTrigger)</f>
        <v>42367</v>
      </c>
      <c r="E3" s="47">
        <f>_xll.qlInterestRateIndexMaturity($D$10,D3)</f>
        <v>42458</v>
      </c>
      <c r="F3" s="75">
        <f>_xll.qlYieldTSDiscount(Discounting,D3,,AllTriggers)</f>
        <v>0.99998500022511916</v>
      </c>
      <c r="G3" s="75">
        <f>_xll.qlYieldTSDiscount(Discounting,E3,,AllTriggers)</f>
        <v>0.99903740071123903</v>
      </c>
      <c r="H3" s="77">
        <f>_xll.qlDayCounterYearFraction(DayCounter,D3,E3,,,Trigger)</f>
        <v>0.25277777777777777</v>
      </c>
      <c r="I3" s="79">
        <f>(F3/G3-1)/H3</f>
        <v>3.7523573461483665E-3</v>
      </c>
      <c r="J3" s="69">
        <f>'Delta 3M'!P3</f>
        <v>5.7461767165107723E-4</v>
      </c>
      <c r="K3" s="53">
        <f>_xll.qlDayCounterYearFraction(DayCounter,SettlementDate,D3,,,Trigger)</f>
        <v>-5.5555555555555558E-3</v>
      </c>
      <c r="L3" s="53">
        <f>_xll.qlDayCounterYearFraction(DayCounter,SettlementDate,E3,,,Trigger)</f>
        <v>0.24722222222222223</v>
      </c>
      <c r="M3" s="53">
        <f>L3-K3</f>
        <v>0.25277777777777777</v>
      </c>
      <c r="N3" s="53">
        <f>(L3^2-K3^2)/2</f>
        <v>3.0543981481481484E-2</v>
      </c>
      <c r="O3" s="53">
        <f>(L3^3-K3^3)/3</f>
        <v>5.0367012459990859E-3</v>
      </c>
      <c r="P3" s="174" t="b">
        <f>IF(D12="fixing",TRUE,FALSE)</f>
        <v>0</v>
      </c>
      <c r="R3" s="377" t="s">
        <v>88</v>
      </c>
      <c r="S3" s="96">
        <f t="array" ref="S3:S5">_xll.ohFilter(O3:O7,P3:P7)</f>
        <v>5.3838806012802909E-3</v>
      </c>
      <c r="T3" s="97">
        <f t="array" ref="T3:T5">_xll.ohFilter(N3:N7,P3:P7)</f>
        <v>3.1948302469135798E-2</v>
      </c>
      <c r="U3" s="98">
        <f t="array" ref="U3:U5">_xll.ohFilter(M3:M7,P3:P7)</f>
        <v>0.25277777777777777</v>
      </c>
      <c r="V3" s="99"/>
      <c r="W3" s="100">
        <f t="array" ref="W3:W5">MMULT(AA3:AC5,Y3:Y5)</f>
        <v>2.0209515964491054E-3</v>
      </c>
      <c r="X3" s="101"/>
      <c r="Y3" s="102">
        <f t="array" ref="Y3:Y5">_xll.ohFilter(J3:J7,P3:P7)</f>
        <v>5.7461767165107723E-4</v>
      </c>
      <c r="AA3" s="96">
        <f t="array" ref="AA3:AC5">MINVERSE(S3:U5)</f>
        <v>262.79000343582629</v>
      </c>
      <c r="AB3" s="97">
        <v>-561.64222201705809</v>
      </c>
      <c r="AC3" s="98">
        <v>301.70863166205606</v>
      </c>
      <c r="AF3" s="23">
        <f>SettlementDate</f>
        <v>42369</v>
      </c>
      <c r="AG3" s="25">
        <f>_xll.qlDayCounterYearFraction(DayCounter,SettlementDate,AF3,,,Trigger)</f>
        <v>0</v>
      </c>
      <c r="AH3" s="20">
        <f t="shared" ref="AH3:AH65" si="0">$W$13</f>
        <v>2.2732127669712948E-3</v>
      </c>
      <c r="AI3" s="20">
        <f t="shared" ref="AI3:AI65" si="1">$W$10+$W$9*AG3</f>
        <v>2.3394957243946619E-3</v>
      </c>
      <c r="AJ3" s="20">
        <f t="shared" ref="AJ3:AJ34" si="2">($W$5+$W$4*AG3+$W$3*AG3^2)</f>
        <v>2.3844099182079256E-3</v>
      </c>
    </row>
    <row r="4" spans="1:36" ht="12" customHeight="1" x14ac:dyDescent="0.2">
      <c r="A4" s="84">
        <v>0</v>
      </c>
      <c r="B4" s="85">
        <f>A4+SUBSTITUTE($D$9,"M","")</f>
        <v>3</v>
      </c>
      <c r="C4" s="175" t="str">
        <f>"Delta("&amp;A4&amp;"M,"&amp;B4&amp;"M)extrap"</f>
        <v>Delta(0M,3M)extrap</v>
      </c>
      <c r="D4" s="16">
        <f>SettlementDate</f>
        <v>42369</v>
      </c>
      <c r="E4" s="16">
        <f>_xll.qlInterestRateIndexMaturity($D$10,D4)</f>
        <v>42460</v>
      </c>
      <c r="F4" s="76">
        <f>_xll.qlYieldTSDiscount(Discounting,D4,,AllTriggers)</f>
        <v>0.99996012451818017</v>
      </c>
      <c r="G4" s="76">
        <f>_xll.qlYieldTSDiscount(Discounting,E4,,AllTriggers)</f>
        <v>0.9990118879961678</v>
      </c>
      <c r="H4" s="78">
        <f>_xll.qlDayCounterYearFraction(DayCounter,D4,E4,,,Trigger)</f>
        <v>0.25277777777777777</v>
      </c>
      <c r="I4" s="17">
        <f t="shared" ref="I4:I7" si="3">(F4/G4-1)/H4</f>
        <v>3.7549756983691206E-3</v>
      </c>
      <c r="J4" s="70">
        <f>LN((1+(_xll.qlInterpolationInterpolate(B3Minterpolation,D4,TRUE,AllTriggers)+I4)*H4)/(1+I4*H4))</f>
        <v>5.7461767165107723E-4</v>
      </c>
      <c r="K4" s="25">
        <f>_xll.qlDayCounterYearFraction(DayCounter,SettlementDate,D4,,,Trigger)</f>
        <v>0</v>
      </c>
      <c r="L4" s="25">
        <f>_xll.qlDayCounterYearFraction(DayCounter,SettlementDate,E4,,,Trigger)</f>
        <v>0.25277777777777777</v>
      </c>
      <c r="M4" s="25">
        <f>L4-K4</f>
        <v>0.25277777777777777</v>
      </c>
      <c r="N4" s="25">
        <f>(L4^2-K4^2)/2</f>
        <v>3.1948302469135798E-2</v>
      </c>
      <c r="O4" s="25">
        <f>(L4^3-K4^3)/3</f>
        <v>5.3838806012802909E-3</v>
      </c>
      <c r="P4" s="176" t="b">
        <f>IF(D12="fixing",FALSE,TRUE)</f>
        <v>1</v>
      </c>
      <c r="R4" s="377"/>
      <c r="S4" s="96">
        <v>1.3387745770461819E-2</v>
      </c>
      <c r="T4" s="97">
        <v>5.5370370370370368E-2</v>
      </c>
      <c r="U4" s="98">
        <v>0.25555555555555554</v>
      </c>
      <c r="V4" s="103" t="s">
        <v>28</v>
      </c>
      <c r="W4" s="100">
        <v>-1.2203694051891797E-3</v>
      </c>
      <c r="X4" s="103" t="s">
        <v>29</v>
      </c>
      <c r="Y4" s="102">
        <v>5.6883288155347802E-4</v>
      </c>
      <c r="AA4" s="96">
        <v>-134.31489064497788</v>
      </c>
      <c r="AB4" s="97">
        <v>236.75102113584074</v>
      </c>
      <c r="AC4" s="98">
        <v>-103.89607495439522</v>
      </c>
      <c r="AF4" s="24">
        <f>_xll.qlCalendarAdvance(Calendar,AF3,"1d","mf",,Trigger)</f>
        <v>42373</v>
      </c>
      <c r="AG4" s="25">
        <f>_xll.qlDayCounterYearFraction(DayCounter,SettlementDate,AF4,,,Trigger)</f>
        <v>1.1111111111111112E-2</v>
      </c>
      <c r="AH4" s="21">
        <f t="shared" si="0"/>
        <v>2.2732127669712948E-3</v>
      </c>
      <c r="AI4" s="21">
        <f t="shared" si="1"/>
        <v>2.3336686512145858E-3</v>
      </c>
      <c r="AJ4" s="21">
        <f t="shared" si="2"/>
        <v>2.3710997583473604E-3</v>
      </c>
    </row>
    <row r="5" spans="1:36" ht="12" customHeight="1" x14ac:dyDescent="0.2">
      <c r="A5" s="86">
        <v>1</v>
      </c>
      <c r="B5" s="85">
        <f t="shared" ref="B5:B7" si="4">A5+SUBSTITUTE($D$9,"M","")</f>
        <v>4</v>
      </c>
      <c r="C5" s="175" t="str">
        <f>"Delta("&amp;A5&amp;"M,"&amp;B5&amp;"M)"</f>
        <v>Delta(1M,4M)</v>
      </c>
      <c r="D5" s="16">
        <f>_xll.qlCalendarAdvance(Calendar,SettlementDate,A5&amp;"M","f")</f>
        <v>42401</v>
      </c>
      <c r="E5" s="16">
        <f>_xll.qlInterestRateIndexMaturity($D$10,D5)</f>
        <v>42493</v>
      </c>
      <c r="F5" s="76">
        <f>_xll.qlYieldTSDiscount(Discounting,D5,,AllTriggers)</f>
        <v>0.99965609708290348</v>
      </c>
      <c r="G5" s="76">
        <f>_xll.qlYieldTSDiscount(Discounting,E5,,AllTriggers)</f>
        <v>0.99856016838917039</v>
      </c>
      <c r="H5" s="78">
        <f>_xll.qlDayCounterYearFraction(DayCounter,D5,E5,,,Trigger)</f>
        <v>0.25555555555555554</v>
      </c>
      <c r="I5" s="17">
        <f t="shared" si="3"/>
        <v>4.2946001286720235E-3</v>
      </c>
      <c r="J5" s="70">
        <f>LN((1+(_xll.qlInterpolationInterpolate(B3Minterpolation,D5,TRUE,AllTriggers)+I5)*H5)/(1+I5*H5))</f>
        <v>5.6883288155347802E-4</v>
      </c>
      <c r="K5" s="25">
        <f>_xll.qlDayCounterYearFraction(DayCounter,SettlementDate,D5,,,Trigger)</f>
        <v>8.8888888888888892E-2</v>
      </c>
      <c r="L5" s="25">
        <f>_xll.qlDayCounterYearFraction(DayCounter,SettlementDate,E5,,,Trigger)</f>
        <v>0.34444444444444444</v>
      </c>
      <c r="M5" s="25">
        <f>L5-K5</f>
        <v>0.25555555555555554</v>
      </c>
      <c r="N5" s="25">
        <f>(L5^2-K5^2)/2</f>
        <v>5.5370370370370368E-2</v>
      </c>
      <c r="O5" s="25">
        <f>(L5^3-K5^3)/3</f>
        <v>1.3387745770461819E-2</v>
      </c>
      <c r="P5" s="176" t="b">
        <v>1</v>
      </c>
      <c r="R5" s="377"/>
      <c r="S5" s="96">
        <v>2.3546867855509829E-2</v>
      </c>
      <c r="T5" s="97">
        <v>7.5246913580246905E-2</v>
      </c>
      <c r="U5" s="98">
        <v>0.25555555555555554</v>
      </c>
      <c r="V5" s="86"/>
      <c r="W5" s="100">
        <v>2.3844099182079256E-3</v>
      </c>
      <c r="X5" s="103"/>
      <c r="Y5" s="102">
        <v>5.651072503355223E-4</v>
      </c>
      <c r="AA5" s="96">
        <v>15.33482406880665</v>
      </c>
      <c r="AB5" s="97">
        <v>-17.960354779043097</v>
      </c>
      <c r="AC5" s="98">
        <v>6.7052570588104308</v>
      </c>
      <c r="AF5" s="24">
        <f>_xll.qlCalendarAdvance(Calendar,AF4,"1d","mf",,Trigger)</f>
        <v>42374</v>
      </c>
      <c r="AG5" s="25">
        <f>_xll.qlDayCounterYearFraction(DayCounter,SettlementDate,AF5,,,Trigger)</f>
        <v>1.3888888888888888E-2</v>
      </c>
      <c r="AH5" s="21">
        <f t="shared" si="0"/>
        <v>2.2732127669712948E-3</v>
      </c>
      <c r="AI5" s="21">
        <f t="shared" si="1"/>
        <v>2.3322118829195667E-3</v>
      </c>
      <c r="AJ5" s="21">
        <f t="shared" si="2"/>
        <v>2.3678501871938107E-3</v>
      </c>
    </row>
    <row r="6" spans="1:36" ht="12" customHeight="1" x14ac:dyDescent="0.2">
      <c r="A6" s="86">
        <v>2</v>
      </c>
      <c r="B6" s="85">
        <f t="shared" si="4"/>
        <v>5</v>
      </c>
      <c r="C6" s="175" t="str">
        <f>"Delta("&amp;A6&amp;"M,"&amp;B6&amp;"M)"</f>
        <v>Delta(2M,5M)</v>
      </c>
      <c r="D6" s="16">
        <f>_xll.qlCalendarAdvance(Calendar,SettlementDate,A6&amp;"M","f")</f>
        <v>42429</v>
      </c>
      <c r="E6" s="16">
        <f>_xll.qlInterestRateIndexMaturity($D$10,D6)</f>
        <v>42521</v>
      </c>
      <c r="F6" s="76">
        <f>_xll.qlYieldTSDiscount(Discounting,D6,,AllTriggers)</f>
        <v>0.99937053608941584</v>
      </c>
      <c r="G6" s="76">
        <f>_xll.qlYieldTSDiscount(Discounting,E6,,AllTriggers)</f>
        <v>0.99816874293523461</v>
      </c>
      <c r="H6" s="78">
        <f>_xll.qlDayCounterYearFraction(DayCounter,D6,E6,,,Trigger)</f>
        <v>0.25555555555555554</v>
      </c>
      <c r="I6" s="17">
        <f t="shared" si="3"/>
        <v>4.7112964591119908E-3</v>
      </c>
      <c r="J6" s="70">
        <f>LN((1+(_xll.qlInterpolationInterpolate(B3Minterpolation,D6,TRUE,AllTriggers)+I6)*H6)/(1+I6*H6))</f>
        <v>5.651072503355223E-4</v>
      </c>
      <c r="K6" s="25">
        <f>_xll.qlDayCounterYearFraction(DayCounter,SettlementDate,D6,,,Trigger)</f>
        <v>0.16666666666666666</v>
      </c>
      <c r="L6" s="25">
        <f>_xll.qlDayCounterYearFraction(DayCounter,SettlementDate,E6,,,Trigger)</f>
        <v>0.42222222222222222</v>
      </c>
      <c r="M6" s="25">
        <f>L6-K6</f>
        <v>0.25555555555555554</v>
      </c>
      <c r="N6" s="25">
        <f>(L6^2-K6^2)/2</f>
        <v>7.5246913580246905E-2</v>
      </c>
      <c r="O6" s="25">
        <f>(L6^3-K6^3)/3</f>
        <v>2.3546867855509829E-2</v>
      </c>
      <c r="P6" s="176" t="b">
        <v>1</v>
      </c>
      <c r="W6" s="104"/>
      <c r="X6" s="93"/>
      <c r="Y6" s="94"/>
      <c r="AF6" s="24">
        <f>_xll.qlCalendarAdvance(Calendar,AF5,"1d","mf",,Trigger)</f>
        <v>42375</v>
      </c>
      <c r="AG6" s="25">
        <f>_xll.qlDayCounterYearFraction(DayCounter,SettlementDate,AF6,,,Trigger)</f>
        <v>1.6666666666666666E-2</v>
      </c>
      <c r="AH6" s="21">
        <f t="shared" si="0"/>
        <v>2.2732127669712948E-3</v>
      </c>
      <c r="AI6" s="21">
        <f t="shared" si="1"/>
        <v>2.3307551146245476E-3</v>
      </c>
      <c r="AJ6" s="21">
        <f t="shared" si="2"/>
        <v>2.3646318035648972E-3</v>
      </c>
    </row>
    <row r="7" spans="1:36" ht="12" customHeight="1" x14ac:dyDescent="0.2">
      <c r="A7" s="86">
        <v>3</v>
      </c>
      <c r="B7" s="85">
        <f t="shared" si="4"/>
        <v>6</v>
      </c>
      <c r="C7" s="177" t="str">
        <f>"Delta("&amp;A7&amp;"M,"&amp;B7&amp;"M)"</f>
        <v>Delta(3M,6M)</v>
      </c>
      <c r="D7" s="178">
        <f>_xll.qlCalendarAdvance(Calendar,SettlementDate,A7&amp;"M","f")</f>
        <v>42460</v>
      </c>
      <c r="E7" s="178">
        <f>_xll.qlInterestRateIndexMaturity($D$10,D7)</f>
        <v>42551</v>
      </c>
      <c r="F7" s="192">
        <f>_xll.qlYieldTSDiscount(Discounting,D7,,AllTriggers)</f>
        <v>0.9990118879961678</v>
      </c>
      <c r="G7" s="192">
        <f>_xll.qlYieldTSDiscount(Discounting,E7,,AllTriggers)</f>
        <v>0.9977198315673238</v>
      </c>
      <c r="H7" s="193">
        <f>_xll.qlDayCounterYearFraction(DayCounter,D7,E7,,,Trigger)</f>
        <v>0.25277777777777777</v>
      </c>
      <c r="I7" s="194">
        <f t="shared" si="3"/>
        <v>5.123113588076933E-3</v>
      </c>
      <c r="J7" s="179">
        <f>LN((1+(_xll.qlInterpolationInterpolate(B3Minterpolation,D7,TRUE,AllTriggers)+I7)*H7)/(1+I7*H7))</f>
        <v>5.6948005377701889E-4</v>
      </c>
      <c r="K7" s="180">
        <f>_xll.qlDayCounterYearFraction(DayCounter,SettlementDate,D7,,,Trigger)</f>
        <v>0.25277777777777777</v>
      </c>
      <c r="L7" s="180">
        <f>_xll.qlDayCounterYearFraction(DayCounter,SettlementDate,E7,,,Trigger)</f>
        <v>0.50555555555555554</v>
      </c>
      <c r="M7" s="180">
        <f>L7-K7</f>
        <v>0.25277777777777777</v>
      </c>
      <c r="N7" s="180">
        <f>(L7^2-K7^2)/2</f>
        <v>9.5844907407407393E-2</v>
      </c>
      <c r="O7" s="180">
        <f>(L7^3-K7^3)/3</f>
        <v>3.7687164208962037E-2</v>
      </c>
      <c r="P7" s="181" t="b">
        <v>0</v>
      </c>
      <c r="W7" s="104"/>
      <c r="X7" s="93"/>
      <c r="Y7" s="94"/>
      <c r="AF7" s="24">
        <f>_xll.qlCalendarAdvance(Calendar,AF6,"1d","mf",,Trigger)</f>
        <v>42376</v>
      </c>
      <c r="AG7" s="25">
        <f>_xll.qlDayCounterYearFraction(DayCounter,SettlementDate,AF7,,,Trigger)</f>
        <v>1.9444444444444445E-2</v>
      </c>
      <c r="AH7" s="21">
        <f t="shared" si="0"/>
        <v>2.2732127669712948E-3</v>
      </c>
      <c r="AI7" s="21">
        <f t="shared" si="1"/>
        <v>2.3292983463295285E-3</v>
      </c>
      <c r="AJ7" s="21">
        <f t="shared" si="2"/>
        <v>2.3614446074606203E-3</v>
      </c>
    </row>
    <row r="8" spans="1:36" ht="12" customHeight="1" x14ac:dyDescent="0.2"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4">
        <f>_xll.qlCalendarAdvance(Calendar,AF7,"1d","mf",,Trigger)</f>
        <v>42377</v>
      </c>
      <c r="AG8" s="25">
        <f>_xll.qlDayCounterYearFraction(DayCounter,SettlementDate,AF8,,,Trigger)</f>
        <v>2.2222222222222223E-2</v>
      </c>
      <c r="AH8" s="21">
        <f t="shared" si="0"/>
        <v>2.2732127669712948E-3</v>
      </c>
      <c r="AI8" s="21">
        <f t="shared" si="1"/>
        <v>2.3278415780345093E-3</v>
      </c>
      <c r="AJ8" s="21">
        <f t="shared" si="2"/>
        <v>2.3582885988809804E-3</v>
      </c>
    </row>
    <row r="9" spans="1:36" ht="12" customHeight="1" x14ac:dyDescent="0.2">
      <c r="C9" s="171" t="s">
        <v>135</v>
      </c>
      <c r="D9" s="190" t="s">
        <v>32</v>
      </c>
      <c r="R9" s="376" t="s">
        <v>89</v>
      </c>
      <c r="S9" s="105"/>
      <c r="T9" s="96">
        <f t="array" ref="T9:T10">_xll.ohFilter(N3:N7,P3:P7)</f>
        <v>3.1948302469135798E-2</v>
      </c>
      <c r="U9" s="98">
        <f t="array" ref="U9:U10">_xll.ohFilter(M3:M7,P3:P7)</f>
        <v>0.25277777777777777</v>
      </c>
      <c r="V9" s="378" t="s">
        <v>28</v>
      </c>
      <c r="W9" s="100">
        <f t="array" ref="W9:W10">MMULT(AA9:AB10,Y9:Y10)</f>
        <v>-5.2443658620686395E-4</v>
      </c>
      <c r="X9" s="378" t="s">
        <v>29</v>
      </c>
      <c r="Y9" s="102">
        <f t="array" ref="Y9:Y10">_xll.ohFilter(J3:J7,P3:P7)</f>
        <v>5.7461767165107723E-4</v>
      </c>
      <c r="AA9" s="96">
        <f t="array" ref="AA9:AB10">MINVERSE(T9:U10)</f>
        <v>-43.820794590025351</v>
      </c>
      <c r="AB9" s="98">
        <v>43.344481605351163</v>
      </c>
      <c r="AF9" s="24">
        <f>_xll.qlCalendarAdvance(Calendar,AF8,"1d","mf",,Trigger)</f>
        <v>42380</v>
      </c>
      <c r="AG9" s="25">
        <f>_xll.qlDayCounterYearFraction(DayCounter,SettlementDate,AF9,,,Trigger)</f>
        <v>3.0555555555555555E-2</v>
      </c>
      <c r="AH9" s="21">
        <f t="shared" si="0"/>
        <v>2.2732127669712948E-3</v>
      </c>
      <c r="AI9" s="21">
        <f t="shared" si="1"/>
        <v>2.323471273149452E-3</v>
      </c>
      <c r="AJ9" s="21">
        <f t="shared" si="2"/>
        <v>2.3490076982898788E-3</v>
      </c>
    </row>
    <row r="10" spans="1:36" ht="12" customHeight="1" x14ac:dyDescent="0.2">
      <c r="C10" s="171" t="s">
        <v>101</v>
      </c>
      <c r="D10" s="190" t="str">
        <f>PROPER(Currency)&amp;IborType&amp;D9</f>
        <v>UsdLibor3M</v>
      </c>
      <c r="R10" s="376"/>
      <c r="S10" s="105"/>
      <c r="T10" s="96">
        <v>5.5370370370370368E-2</v>
      </c>
      <c r="U10" s="98">
        <v>0.25555555555555554</v>
      </c>
      <c r="V10" s="378"/>
      <c r="W10" s="100">
        <v>2.3394957243946619E-3</v>
      </c>
      <c r="X10" s="378"/>
      <c r="Y10" s="102">
        <v>5.6883288155347802E-4</v>
      </c>
      <c r="AA10" s="96">
        <v>9.4945054945054927</v>
      </c>
      <c r="AB10" s="98">
        <v>-5.478260869565216</v>
      </c>
      <c r="AF10" s="24">
        <f>_xll.qlCalendarAdvance(Calendar,AF9,"1d","mf",,Trigger)</f>
        <v>42381</v>
      </c>
      <c r="AG10" s="25">
        <f>_xll.qlDayCounterYearFraction(DayCounter,SettlementDate,AF10,,,Trigger)</f>
        <v>3.3333333333333333E-2</v>
      </c>
      <c r="AH10" s="21">
        <f t="shared" si="0"/>
        <v>2.2732127669712948E-3</v>
      </c>
      <c r="AI10" s="21">
        <f t="shared" si="1"/>
        <v>2.3220145048544333E-3</v>
      </c>
      <c r="AJ10" s="21">
        <f t="shared" si="2"/>
        <v>2.3459764398087854E-3</v>
      </c>
    </row>
    <row r="11" spans="1:36" ht="12" customHeight="1" x14ac:dyDescent="0.2">
      <c r="C11" s="171" t="s">
        <v>127</v>
      </c>
      <c r="D11" s="191" t="s">
        <v>81</v>
      </c>
      <c r="W11" s="104"/>
      <c r="X11" s="93"/>
      <c r="Y11" s="94"/>
      <c r="AF11" s="24">
        <f>_xll.qlCalendarAdvance(Calendar,AF10,"1d","mf",,Trigger)</f>
        <v>42382</v>
      </c>
      <c r="AG11" s="25">
        <f>_xll.qlDayCounterYearFraction(DayCounter,SettlementDate,AF11,,,Trigger)</f>
        <v>3.6111111111111108E-2</v>
      </c>
      <c r="AH11" s="21">
        <f t="shared" si="0"/>
        <v>2.2732127669712948E-3</v>
      </c>
      <c r="AI11" s="21">
        <f t="shared" si="1"/>
        <v>2.3205577365594142E-3</v>
      </c>
      <c r="AJ11" s="21">
        <f t="shared" si="2"/>
        <v>2.3429763688523281E-3</v>
      </c>
    </row>
    <row r="12" spans="1:36" ht="12" customHeight="1" x14ac:dyDescent="0.2">
      <c r="C12" s="171" t="s">
        <v>126</v>
      </c>
      <c r="D12" s="190" t="s">
        <v>130</v>
      </c>
      <c r="W12" s="95" t="s">
        <v>26</v>
      </c>
      <c r="X12" s="93"/>
      <c r="Y12" s="94"/>
      <c r="AF12" s="24">
        <f>_xll.qlCalendarAdvance(Calendar,AF11,"1d","mf",,Trigger)</f>
        <v>42383</v>
      </c>
      <c r="AG12" s="25">
        <f>_xll.qlDayCounterYearFraction(DayCounter,SettlementDate,AF12,,,Trigger)</f>
        <v>3.888888888888889E-2</v>
      </c>
      <c r="AH12" s="21">
        <f t="shared" si="0"/>
        <v>2.2732127669712948E-3</v>
      </c>
      <c r="AI12" s="21">
        <f t="shared" si="1"/>
        <v>2.319100968264395E-3</v>
      </c>
      <c r="AJ12" s="21">
        <f t="shared" si="2"/>
        <v>2.340007485420507E-3</v>
      </c>
    </row>
    <row r="13" spans="1:36" ht="12" customHeight="1" x14ac:dyDescent="0.2">
      <c r="N13" s="188" t="str">
        <f>"Synthetic Deposits "&amp;D9</f>
        <v>Synthetic Deposits 3M</v>
      </c>
      <c r="O13" s="188"/>
      <c r="P13" s="188"/>
      <c r="R13" s="106" t="s">
        <v>90</v>
      </c>
      <c r="U13" s="107">
        <f t="array" ref="U13">_xll.ohFilter(M3:M7,P3:P7)</f>
        <v>0.25277777777777777</v>
      </c>
      <c r="V13" s="106" t="s">
        <v>28</v>
      </c>
      <c r="W13" s="100">
        <f>MMULT(AA13,Y13)</f>
        <v>2.2732127669712948E-3</v>
      </c>
      <c r="X13" s="106" t="s">
        <v>29</v>
      </c>
      <c r="Y13" s="102">
        <f t="array" ref="Y13">_xll.ohFilter(J3:J7,P3:P7)</f>
        <v>5.7461767165107723E-4</v>
      </c>
      <c r="AA13" s="107">
        <f>MINVERSE(U13)</f>
        <v>3.9560439560439562</v>
      </c>
      <c r="AF13" s="24">
        <f>_xll.qlCalendarAdvance(Calendar,AF12,"1d","mf",,Trigger)</f>
        <v>42384</v>
      </c>
      <c r="AG13" s="25">
        <f>_xll.qlDayCounterYearFraction(DayCounter,SettlementDate,AF13,,,Trigger)</f>
        <v>4.1666666666666664E-2</v>
      </c>
      <c r="AH13" s="21">
        <f t="shared" si="0"/>
        <v>2.2732127669712948E-3</v>
      </c>
      <c r="AI13" s="21">
        <f t="shared" si="1"/>
        <v>2.3176441999693759E-3</v>
      </c>
      <c r="AJ13" s="21">
        <f t="shared" si="2"/>
        <v>2.337069789513323E-3</v>
      </c>
    </row>
    <row r="14" spans="1:36" ht="12" customHeight="1" x14ac:dyDescent="0.2">
      <c r="C14" s="171" t="s">
        <v>97</v>
      </c>
      <c r="D14" s="171" t="s">
        <v>78</v>
      </c>
      <c r="E14" s="171" t="s">
        <v>79</v>
      </c>
      <c r="F14" s="195"/>
      <c r="G14" s="195"/>
      <c r="H14" s="195"/>
      <c r="I14" s="195"/>
      <c r="J14" s="172" t="s">
        <v>120</v>
      </c>
      <c r="K14" s="172" t="s">
        <v>121</v>
      </c>
      <c r="L14" s="171" t="s">
        <v>122</v>
      </c>
      <c r="M14" s="172" t="s">
        <v>123</v>
      </c>
      <c r="N14" s="189" t="s">
        <v>90</v>
      </c>
      <c r="O14" s="189" t="s">
        <v>89</v>
      </c>
      <c r="P14" s="189" t="s">
        <v>115</v>
      </c>
      <c r="AF14" s="24">
        <f>_xll.qlCalendarAdvance(Calendar,AF13,"1d","mf",,Trigger)</f>
        <v>42387</v>
      </c>
      <c r="AG14" s="25">
        <f>_xll.qlDayCounterYearFraction(DayCounter,SettlementDate,AF14,,,Trigger)</f>
        <v>0.05</v>
      </c>
      <c r="AH14" s="21">
        <f t="shared" si="0"/>
        <v>2.2732127669712948E-3</v>
      </c>
      <c r="AI14" s="21">
        <f t="shared" si="1"/>
        <v>2.3132738950843185E-3</v>
      </c>
      <c r="AJ14" s="21">
        <f t="shared" si="2"/>
        <v>2.3284438269395896E-3</v>
      </c>
    </row>
    <row r="15" spans="1:36" ht="12" customHeight="1" x14ac:dyDescent="0.2">
      <c r="C15" s="182" t="s">
        <v>34</v>
      </c>
      <c r="D15" s="22">
        <f t="shared" ref="D15:D21" si="5">SettlementDate</f>
        <v>42369</v>
      </c>
      <c r="E15" s="23">
        <f>_xll.qlCalendarAdvance(Calendar,SettlementDate,C15,"Following",,Trigger)</f>
        <v>42373</v>
      </c>
      <c r="F15" s="18"/>
      <c r="G15" s="18"/>
      <c r="H15" s="18"/>
      <c r="I15" s="18"/>
      <c r="J15" s="55">
        <f>_xll.qlDayCounterYearFraction(DayCounter,D15,E15,,,Trigger)</f>
        <v>1.1111111111111112E-2</v>
      </c>
      <c r="K15" s="51">
        <f>_xll.qlYieldTSDiscount(Discounting,D15,,AllTriggers)</f>
        <v>0.99996012451818017</v>
      </c>
      <c r="L15" s="66">
        <f>_xll.qlYieldTSDiscount(Discounting,E15,,AllTriggers)</f>
        <v>0.99992474050624691</v>
      </c>
      <c r="M15" s="57">
        <f>(K15/L15-1)/J15</f>
        <v>3.1848007604939887E-3</v>
      </c>
      <c r="N15" s="20">
        <f>((1+M15*J15)*EXP($W$13*J15)-1)/J15</f>
        <v>5.4581226784655712E-3</v>
      </c>
      <c r="O15" s="20">
        <f>((1+J15*M15)*EXP($W$10*J15+0.5*$W$9*J15^2)-1)/J15</f>
        <v>5.5214959647043038E-3</v>
      </c>
      <c r="P15" s="20">
        <f t="shared" ref="P15:P21" si="6">((1+J15*M15)*EXP($W$5*J15+0.5*$W$4*J15^2+1/3*$W$3*J15^3)-1)/J15</f>
        <v>5.5626295646105106E-3</v>
      </c>
      <c r="AF15" s="24">
        <f>_xll.qlCalendarAdvance(Calendar,AF14,"1d","mf",,Trigger)</f>
        <v>42388</v>
      </c>
      <c r="AG15" s="25">
        <f>_xll.qlDayCounterYearFraction(DayCounter,SettlementDate,AF15,,,Trigger)</f>
        <v>5.2777777777777778E-2</v>
      </c>
      <c r="AH15" s="21">
        <f t="shared" si="0"/>
        <v>2.2732127669712948E-3</v>
      </c>
      <c r="AI15" s="21">
        <f t="shared" si="1"/>
        <v>2.3118171267892998E-3</v>
      </c>
      <c r="AJ15" s="21">
        <f t="shared" si="2"/>
        <v>2.3256308811309516E-3</v>
      </c>
    </row>
    <row r="16" spans="1:36" ht="12" customHeight="1" x14ac:dyDescent="0.2">
      <c r="C16" s="81" t="s">
        <v>35</v>
      </c>
      <c r="D16" s="16">
        <f>SettlementDate</f>
        <v>42369</v>
      </c>
      <c r="E16" s="24">
        <f>_xll.qlCalendarAdvance(Calendar,SettlementDate,C16,"Following",,Trigger)</f>
        <v>42376</v>
      </c>
      <c r="F16" s="18"/>
      <c r="G16" s="18"/>
      <c r="H16" s="18"/>
      <c r="I16" s="18"/>
      <c r="J16" s="25">
        <f>_xll.qlDayCounterYearFraction(DayCounter,D16,E16,,,Trigger)</f>
        <v>1.9444444444444445E-2</v>
      </c>
      <c r="K16" s="52">
        <f>_xll.qlYieldTSDiscount(Discounting,D16,,AllTriggers)</f>
        <v>0.99996012451818017</v>
      </c>
      <c r="L16" s="67">
        <f>_xll.qlYieldTSDiscount(Discounting,E16,,AllTriggers)</f>
        <v>0.99990032205579082</v>
      </c>
      <c r="M16" s="57">
        <f t="shared" ref="M16:M21" si="7">(K16/L16-1)/J16</f>
        <v>3.0758618041724717E-3</v>
      </c>
      <c r="N16" s="21">
        <f t="shared" ref="N16:N20" si="8">((1+M16*J16)*EXP($W$13*J16)-1)/J16</f>
        <v>5.3492607717193453E-3</v>
      </c>
      <c r="O16" s="21">
        <f t="shared" ref="O16:O20" si="9">((1+J16*M16)*EXP($W$10*J16+0.5*$W$9*J16^2)-1)/J16</f>
        <v>5.4104514404798975E-3</v>
      </c>
      <c r="P16" s="21">
        <f t="shared" si="6"/>
        <v>5.4488583733368146E-3</v>
      </c>
      <c r="AF16" s="24">
        <f>_xll.qlCalendarAdvance(Calendar,AF15,"1d","mf",,Trigger)</f>
        <v>42389</v>
      </c>
      <c r="AG16" s="25">
        <f>_xll.qlDayCounterYearFraction(DayCounter,SettlementDate,AF16,,,Trigger)</f>
        <v>5.5555555555555552E-2</v>
      </c>
      <c r="AH16" s="21">
        <f t="shared" si="0"/>
        <v>2.2732127669712948E-3</v>
      </c>
      <c r="AI16" s="21">
        <f t="shared" si="1"/>
        <v>2.3103603584942807E-3</v>
      </c>
      <c r="AJ16" s="21">
        <f t="shared" si="2"/>
        <v>2.3228491228469497E-3</v>
      </c>
    </row>
    <row r="17" spans="3:36" ht="12" customHeight="1" x14ac:dyDescent="0.2">
      <c r="C17" s="81" t="s">
        <v>36</v>
      </c>
      <c r="D17" s="16">
        <f t="shared" si="5"/>
        <v>42369</v>
      </c>
      <c r="E17" s="24">
        <f>_xll.qlCalendarAdvance(Calendar,SettlementDate,C17,"Following",,Trigger)</f>
        <v>42383</v>
      </c>
      <c r="F17" s="18"/>
      <c r="G17" s="18"/>
      <c r="H17" s="18"/>
      <c r="I17" s="18"/>
      <c r="J17" s="25">
        <f>_xll.qlDayCounterYearFraction(DayCounter,D17,E17,,,Trigger)</f>
        <v>3.888888888888889E-2</v>
      </c>
      <c r="K17" s="52">
        <f>_xll.qlYieldTSDiscount(Discounting,D17,,AllTriggers)</f>
        <v>0.99996012451818017</v>
      </c>
      <c r="L17" s="67">
        <f>_xll.qlYieldTSDiscount(Discounting,E17,,AllTriggers)</f>
        <v>0.99983345935946277</v>
      </c>
      <c r="M17" s="57">
        <f t="shared" si="7"/>
        <v>3.2576466118592962E-3</v>
      </c>
      <c r="N17" s="21">
        <f t="shared" si="8"/>
        <v>5.5312478584339832E-3</v>
      </c>
      <c r="O17" s="21">
        <f t="shared" si="9"/>
        <v>5.5873455632068515E-3</v>
      </c>
      <c r="P17" s="21">
        <f t="shared" si="6"/>
        <v>5.6197535831316514E-3</v>
      </c>
      <c r="AF17" s="24">
        <f>_xll.qlCalendarAdvance(Calendar,AF16,"1d","mf",,Trigger)</f>
        <v>42390</v>
      </c>
      <c r="AG17" s="25">
        <f>_xll.qlDayCounterYearFraction(DayCounter,SettlementDate,AF17,,,Trigger)</f>
        <v>5.8333333333333334E-2</v>
      </c>
      <c r="AH17" s="21">
        <f t="shared" si="0"/>
        <v>2.2732127669712948E-3</v>
      </c>
      <c r="AI17" s="21">
        <f t="shared" si="1"/>
        <v>2.3089035901992616E-3</v>
      </c>
      <c r="AJ17" s="21">
        <f t="shared" si="2"/>
        <v>2.3200985520875849E-3</v>
      </c>
    </row>
    <row r="18" spans="3:36" ht="12" customHeight="1" x14ac:dyDescent="0.2">
      <c r="C18" s="81" t="s">
        <v>37</v>
      </c>
      <c r="D18" s="16">
        <f t="shared" si="5"/>
        <v>42369</v>
      </c>
      <c r="E18" s="24">
        <f>_xll.qlCalendarAdvance(Calendar,SettlementDate,C18,"Following",,Trigger)</f>
        <v>42390</v>
      </c>
      <c r="F18" s="18"/>
      <c r="G18" s="18"/>
      <c r="H18" s="18"/>
      <c r="I18" s="18"/>
      <c r="J18" s="25">
        <f>_xll.qlDayCounterYearFraction(DayCounter,D18,E18,,,Trigger)</f>
        <v>5.8333333333333334E-2</v>
      </c>
      <c r="K18" s="52">
        <f>_xll.qlYieldTSDiscount(Discounting,D18,,AllTriggers)</f>
        <v>0.99996012451818017</v>
      </c>
      <c r="L18" s="67">
        <f>_xll.qlYieldTSDiscount(Discounting,E18,,AllTriggers)</f>
        <v>0.99976782970082889</v>
      </c>
      <c r="M18" s="57">
        <f t="shared" si="7"/>
        <v>3.2972481062440041E-3</v>
      </c>
      <c r="N18" s="21">
        <f t="shared" si="8"/>
        <v>5.5710488560554794E-3</v>
      </c>
      <c r="O18" s="21">
        <f t="shared" si="9"/>
        <v>5.6220523918388511E-3</v>
      </c>
      <c r="P18" s="21">
        <f t="shared" si="6"/>
        <v>5.6489696739868223E-3</v>
      </c>
      <c r="AF18" s="24">
        <f>_xll.qlCalendarAdvance(Calendar,AF17,"1d","mf",,Trigger)</f>
        <v>42391</v>
      </c>
      <c r="AG18" s="25">
        <f>_xll.qlDayCounterYearFraction(DayCounter,SettlementDate,AF18,,,Trigger)</f>
        <v>6.1111111111111109E-2</v>
      </c>
      <c r="AH18" s="21">
        <f t="shared" si="0"/>
        <v>2.2732127669712948E-3</v>
      </c>
      <c r="AI18" s="21">
        <f t="shared" si="1"/>
        <v>2.3074468219042425E-3</v>
      </c>
      <c r="AJ18" s="21">
        <f t="shared" si="2"/>
        <v>2.3173791688528567E-3</v>
      </c>
    </row>
    <row r="19" spans="3:36" ht="12" customHeight="1" x14ac:dyDescent="0.2">
      <c r="C19" s="81" t="s">
        <v>31</v>
      </c>
      <c r="D19" s="16">
        <f t="shared" si="5"/>
        <v>42369</v>
      </c>
      <c r="E19" s="24">
        <f>_xll.qlCalendarAdvance(Calendar,SettlementDate,C19,"mf",TRUE,Trigger)</f>
        <v>42398</v>
      </c>
      <c r="F19" s="18"/>
      <c r="G19" s="18"/>
      <c r="H19" s="18"/>
      <c r="I19" s="18"/>
      <c r="J19" s="25">
        <f>_xll.qlDayCounterYearFraction(DayCounter,D19,E19,,,Trigger)</f>
        <v>8.0555555555555561E-2</v>
      </c>
      <c r="K19" s="52">
        <f>_xll.qlYieldTSDiscount(Discounting,D19,,AllTriggers)</f>
        <v>0.99996012451818017</v>
      </c>
      <c r="L19" s="67">
        <f>_xll.qlYieldTSDiscount(Discounting,E19,,AllTriggers)</f>
        <v>0.99968677449654142</v>
      </c>
      <c r="M19" s="57">
        <f t="shared" si="7"/>
        <v>3.3943738178951943E-3</v>
      </c>
      <c r="N19" s="21">
        <f t="shared" si="8"/>
        <v>5.668416367206895E-3</v>
      </c>
      <c r="O19" s="21">
        <f t="shared" si="9"/>
        <v>5.7135968875167177E-3</v>
      </c>
      <c r="P19" s="21">
        <f t="shared" si="6"/>
        <v>5.7348617063521711E-3</v>
      </c>
      <c r="AF19" s="24">
        <f>_xll.qlCalendarAdvance(Calendar,AF18,"1d","mf",,Trigger)</f>
        <v>42394</v>
      </c>
      <c r="AG19" s="25">
        <f>_xll.qlDayCounterYearFraction(DayCounter,SettlementDate,AF19,,,Trigger)</f>
        <v>6.9444444444444448E-2</v>
      </c>
      <c r="AH19" s="21">
        <f t="shared" si="0"/>
        <v>2.2732127669712948E-3</v>
      </c>
      <c r="AI19" s="21">
        <f t="shared" si="1"/>
        <v>2.3030765170191851E-3</v>
      </c>
      <c r="AJ19" s="21">
        <f t="shared" si="2"/>
        <v>2.3094081442964908E-3</v>
      </c>
    </row>
    <row r="20" spans="3:36" ht="12" customHeight="1" x14ac:dyDescent="0.2">
      <c r="C20" s="81" t="s">
        <v>38</v>
      </c>
      <c r="D20" s="16">
        <f t="shared" si="5"/>
        <v>42369</v>
      </c>
      <c r="E20" s="24">
        <f>_xll.qlCalendarAdvance(Calendar,SettlementDate,C20,"mf",TRUE,Trigger)</f>
        <v>42429</v>
      </c>
      <c r="F20" s="18"/>
      <c r="G20" s="18"/>
      <c r="H20" s="18"/>
      <c r="I20" s="18"/>
      <c r="J20" s="25">
        <f>_xll.qlDayCounterYearFraction(DayCounter,D20,E20,,,Trigger)</f>
        <v>0.16666666666666666</v>
      </c>
      <c r="K20" s="52">
        <f>_xll.qlYieldTSDiscount(Discounting,D20,,AllTriggers)</f>
        <v>0.99996012451818017</v>
      </c>
      <c r="L20" s="67">
        <f>_xll.qlYieldTSDiscount(Discounting,E20,,AllTriggers)</f>
        <v>0.99937053608941584</v>
      </c>
      <c r="M20" s="57">
        <f t="shared" si="7"/>
        <v>3.5397587229542005E-3</v>
      </c>
      <c r="N20" s="21">
        <f t="shared" si="8"/>
        <v>5.8147435272077885E-3</v>
      </c>
      <c r="O20" s="21">
        <f t="shared" si="9"/>
        <v>5.8373453610403025E-3</v>
      </c>
      <c r="P20" s="21">
        <f t="shared" si="6"/>
        <v>5.8429831503197249E-3</v>
      </c>
      <c r="AF20" s="24">
        <f>_xll.qlCalendarAdvance(Calendar,AF19,"1d","mf",,Trigger)</f>
        <v>42395</v>
      </c>
      <c r="AG20" s="25">
        <f>_xll.qlDayCounterYearFraction(DayCounter,SettlementDate,AF20,,,Trigger)</f>
        <v>7.2222222222222215E-2</v>
      </c>
      <c r="AH20" s="21">
        <f t="shared" si="0"/>
        <v>2.2732127669712948E-3</v>
      </c>
      <c r="AI20" s="21">
        <f t="shared" si="1"/>
        <v>2.301619748724166E-3</v>
      </c>
      <c r="AJ20" s="21">
        <f t="shared" si="2"/>
        <v>2.306813511160309E-3</v>
      </c>
    </row>
    <row r="21" spans="3:36" ht="12" customHeight="1" x14ac:dyDescent="0.2">
      <c r="C21" s="183" t="s">
        <v>32</v>
      </c>
      <c r="D21" s="178">
        <f t="shared" si="5"/>
        <v>42369</v>
      </c>
      <c r="E21" s="184">
        <f>_xll.qlCalendarAdvance(Calendar,SettlementDate,C21,"mf",TRUE,Trigger)</f>
        <v>42460</v>
      </c>
      <c r="F21" s="110"/>
      <c r="G21" s="110"/>
      <c r="H21" s="110"/>
      <c r="I21" s="110"/>
      <c r="J21" s="180">
        <f>_xll.qlDayCounterYearFraction(DayCounter,D21,E21,,,Trigger)</f>
        <v>0.25277777777777777</v>
      </c>
      <c r="K21" s="185">
        <f>_xll.qlYieldTSDiscount(Discounting,D21,,AllTriggers)</f>
        <v>0.99996012451818017</v>
      </c>
      <c r="L21" s="196">
        <f>_xll.qlYieldTSDiscount(Discounting,E21,,AllTriggers)</f>
        <v>0.9990118879961678</v>
      </c>
      <c r="M21" s="187">
        <f t="shared" si="7"/>
        <v>3.7549756983691206E-3</v>
      </c>
      <c r="N21" s="26">
        <f>((1+M21*J21)*EXP($W$13*J21)-1)/J21</f>
        <v>6.0309999999997492E-3</v>
      </c>
      <c r="O21" s="26">
        <f>((1+J21*M21)*EXP($W$10*J21+0.5*$W$9*J21^2)-1)/J21</f>
        <v>6.0309999999997492E-3</v>
      </c>
      <c r="P21" s="26">
        <f t="shared" si="6"/>
        <v>6.0309999999997492E-3</v>
      </c>
      <c r="AF21" s="24">
        <f>_xll.qlCalendarAdvance(Calendar,AF20,"1d","mf",,Trigger)</f>
        <v>42396</v>
      </c>
      <c r="AG21" s="25">
        <f>_xll.qlDayCounterYearFraction(DayCounter,SettlementDate,AF21,,,Trigger)</f>
        <v>7.4999999999999997E-2</v>
      </c>
      <c r="AH21" s="21">
        <f t="shared" si="0"/>
        <v>2.2732127669712948E-3</v>
      </c>
      <c r="AI21" s="21">
        <f t="shared" si="1"/>
        <v>2.3001629804291473E-3</v>
      </c>
      <c r="AJ21" s="21">
        <f t="shared" si="2"/>
        <v>2.3042500655487633E-3</v>
      </c>
    </row>
    <row r="22" spans="3:36" ht="12" customHeight="1" x14ac:dyDescent="0.2">
      <c r="AF22" s="24">
        <f>_xll.qlCalendarAdvance(Calendar,AF21,"1d","mf",,Trigger)</f>
        <v>42397</v>
      </c>
      <c r="AG22" s="25">
        <f>_xll.qlDayCounterYearFraction(DayCounter,SettlementDate,AF22,,,Trigger)</f>
        <v>7.7777777777777779E-2</v>
      </c>
      <c r="AH22" s="21">
        <f t="shared" si="0"/>
        <v>2.2732127669712948E-3</v>
      </c>
      <c r="AI22" s="21">
        <f t="shared" si="1"/>
        <v>2.2987062121341282E-3</v>
      </c>
      <c r="AJ22" s="21">
        <f t="shared" si="2"/>
        <v>2.3017178074618543E-3</v>
      </c>
    </row>
    <row r="23" spans="3:36" ht="12" customHeight="1" x14ac:dyDescent="0.2">
      <c r="C23" s="171" t="s">
        <v>103</v>
      </c>
      <c r="AF23" s="24">
        <f>_xll.qlCalendarAdvance(Calendar,AF22,"1d","mf",,Trigger)</f>
        <v>42398</v>
      </c>
      <c r="AG23" s="25">
        <f>_xll.qlDayCounterYearFraction(DayCounter,SettlementDate,AF23,,,Trigger)</f>
        <v>8.0555555555555561E-2</v>
      </c>
      <c r="AH23" s="21">
        <f t="shared" si="0"/>
        <v>2.2732127669712948E-3</v>
      </c>
      <c r="AI23" s="21">
        <f t="shared" si="1"/>
        <v>2.297249443839109E-3</v>
      </c>
      <c r="AJ23" s="21">
        <f t="shared" si="2"/>
        <v>2.2992167368995819E-3</v>
      </c>
    </row>
    <row r="24" spans="3:36" ht="12" customHeight="1" x14ac:dyDescent="0.2">
      <c r="C24" s="113" t="s">
        <v>88</v>
      </c>
      <c r="AF24" s="24">
        <f>_xll.qlCalendarAdvance(Calendar,AF23,"1d","mf",,Trigger)</f>
        <v>42401</v>
      </c>
      <c r="AG24" s="25">
        <f>_xll.qlDayCounterYearFraction(DayCounter,SettlementDate,AF24,,,Trigger)</f>
        <v>8.8888888888888892E-2</v>
      </c>
      <c r="AH24" s="21">
        <f t="shared" si="0"/>
        <v>2.2732127669712948E-3</v>
      </c>
      <c r="AI24" s="21">
        <f t="shared" si="1"/>
        <v>2.2928791389540517E-3</v>
      </c>
      <c r="AJ24" s="21">
        <f t="shared" si="2"/>
        <v>2.2919006503605839E-3</v>
      </c>
    </row>
    <row r="25" spans="3:36" ht="12" customHeight="1" x14ac:dyDescent="0.2">
      <c r="C25" s="21">
        <f t="shared" ref="C25:C31" si="10">IF($C$24="FLAT",N15,IF($C$24="linear",O15,P15))</f>
        <v>5.5626295646105106E-3</v>
      </c>
      <c r="AF25" s="24">
        <f>_xll.qlCalendarAdvance(Calendar,AF24,"1d","mf",,Trigger)</f>
        <v>42402</v>
      </c>
      <c r="AG25" s="25">
        <f>_xll.qlDayCounterYearFraction(DayCounter,SettlementDate,AF25,,,Trigger)</f>
        <v>9.166666666666666E-2</v>
      </c>
      <c r="AH25" s="21">
        <f t="shared" si="0"/>
        <v>2.2732127669712948E-3</v>
      </c>
      <c r="AI25" s="21">
        <f t="shared" si="1"/>
        <v>2.2914223706590325E-3</v>
      </c>
      <c r="AJ25" s="21">
        <f t="shared" si="2"/>
        <v>2.2895243298968575E-3</v>
      </c>
    </row>
    <row r="26" spans="3:36" ht="12" customHeight="1" x14ac:dyDescent="0.2">
      <c r="C26" s="21">
        <f t="shared" si="10"/>
        <v>5.4488583733368146E-3</v>
      </c>
      <c r="AF26" s="24">
        <f>_xll.qlCalendarAdvance(Calendar,AF25,"1d","mf",,Trigger)</f>
        <v>42403</v>
      </c>
      <c r="AG26" s="25">
        <f>_xll.qlDayCounterYearFraction(DayCounter,SettlementDate,AF26,,,Trigger)</f>
        <v>9.4444444444444442E-2</v>
      </c>
      <c r="AH26" s="21">
        <f t="shared" si="0"/>
        <v>2.2732127669712948E-3</v>
      </c>
      <c r="AI26" s="21">
        <f t="shared" si="1"/>
        <v>2.2899656023640138E-3</v>
      </c>
      <c r="AJ26" s="21">
        <f t="shared" si="2"/>
        <v>2.2871791969577685E-3</v>
      </c>
    </row>
    <row r="27" spans="3:36" ht="12" customHeight="1" x14ac:dyDescent="0.2">
      <c r="C27" s="21">
        <f t="shared" si="10"/>
        <v>5.6197535831316514E-3</v>
      </c>
      <c r="AF27" s="24">
        <f>_xll.qlCalendarAdvance(Calendar,AF26,"1d","mf",,Trigger)</f>
        <v>42404</v>
      </c>
      <c r="AG27" s="25">
        <f>_xll.qlDayCounterYearFraction(DayCounter,SettlementDate,AF27,,,Trigger)</f>
        <v>9.7222222222222224E-2</v>
      </c>
      <c r="AH27" s="21">
        <f t="shared" si="0"/>
        <v>2.2732127669712948E-3</v>
      </c>
      <c r="AI27" s="21">
        <f t="shared" si="1"/>
        <v>2.2885088340689947E-3</v>
      </c>
      <c r="AJ27" s="21">
        <f t="shared" si="2"/>
        <v>2.2848652515433153E-3</v>
      </c>
    </row>
    <row r="28" spans="3:36" ht="12" customHeight="1" x14ac:dyDescent="0.2">
      <c r="C28" s="21">
        <f t="shared" si="10"/>
        <v>5.6489696739868223E-3</v>
      </c>
      <c r="AF28" s="24">
        <f>_xll.qlCalendarAdvance(Calendar,AF27,"1d","mf",,Trigger)</f>
        <v>42405</v>
      </c>
      <c r="AG28" s="25">
        <f>_xll.qlDayCounterYearFraction(DayCounter,SettlementDate,AF28,,,Trigger)</f>
        <v>0.1</v>
      </c>
      <c r="AH28" s="21">
        <f t="shared" si="0"/>
        <v>2.2732127669712948E-3</v>
      </c>
      <c r="AI28" s="21">
        <f t="shared" si="1"/>
        <v>2.2870520657739756E-3</v>
      </c>
      <c r="AJ28" s="21">
        <f t="shared" si="2"/>
        <v>2.2825824936534987E-3</v>
      </c>
    </row>
    <row r="29" spans="3:36" ht="12" customHeight="1" x14ac:dyDescent="0.2">
      <c r="C29" s="21">
        <f t="shared" si="10"/>
        <v>5.7348617063521711E-3</v>
      </c>
      <c r="AF29" s="24">
        <f>_xll.qlCalendarAdvance(Calendar,AF28,"1d","mf",,Trigger)</f>
        <v>42408</v>
      </c>
      <c r="AG29" s="25">
        <f>_xll.qlDayCounterYearFraction(DayCounter,SettlementDate,AF29,,,Trigger)</f>
        <v>0.10833333333333334</v>
      </c>
      <c r="AH29" s="21">
        <f t="shared" si="0"/>
        <v>2.2732127669712948E-3</v>
      </c>
      <c r="AI29" s="21">
        <f t="shared" si="1"/>
        <v>2.2826817608889182E-3</v>
      </c>
      <c r="AJ29" s="21">
        <f t="shared" si="2"/>
        <v>2.2759213451318686E-3</v>
      </c>
    </row>
    <row r="30" spans="3:36" ht="12" customHeight="1" x14ac:dyDescent="0.2">
      <c r="C30" s="21">
        <f t="shared" si="10"/>
        <v>5.8429831503197249E-3</v>
      </c>
      <c r="AF30" s="24">
        <f>_xll.qlCalendarAdvance(Calendar,AF29,"1d","mf",,Trigger)</f>
        <v>42409</v>
      </c>
      <c r="AG30" s="25">
        <f>_xll.qlDayCounterYearFraction(DayCounter,SettlementDate,AF30,,,Trigger)</f>
        <v>0.1111111111111111</v>
      </c>
      <c r="AH30" s="21">
        <f t="shared" si="0"/>
        <v>2.2732127669712948E-3</v>
      </c>
      <c r="AI30" s="21">
        <f t="shared" si="1"/>
        <v>2.2812249925938991E-3</v>
      </c>
      <c r="AJ30" s="21">
        <f t="shared" si="2"/>
        <v>2.2737633373405984E-3</v>
      </c>
    </row>
    <row r="31" spans="3:36" ht="12" customHeight="1" x14ac:dyDescent="0.2">
      <c r="C31" s="26">
        <f t="shared" si="10"/>
        <v>6.0309999999997492E-3</v>
      </c>
      <c r="AF31" s="24">
        <f>_xll.qlCalendarAdvance(Calendar,AF30,"1d","mf",,Trigger)</f>
        <v>42410</v>
      </c>
      <c r="AG31" s="25">
        <f>_xll.qlDayCounterYearFraction(DayCounter,SettlementDate,AF31,,,Trigger)</f>
        <v>0.11388888888888889</v>
      </c>
      <c r="AH31" s="21">
        <f t="shared" si="0"/>
        <v>2.2732127669712948E-3</v>
      </c>
      <c r="AI31" s="21">
        <f t="shared" si="1"/>
        <v>2.27976822429888E-3</v>
      </c>
      <c r="AJ31" s="21">
        <f t="shared" si="2"/>
        <v>2.2716365170739649E-3</v>
      </c>
    </row>
    <row r="32" spans="3:36" ht="12" customHeight="1" x14ac:dyDescent="0.2">
      <c r="AF32" s="24">
        <f>_xll.qlCalendarAdvance(Calendar,AF31,"1d","mf",,Trigger)</f>
        <v>42411</v>
      </c>
      <c r="AG32" s="25">
        <f>_xll.qlDayCounterYearFraction(DayCounter,SettlementDate,AF32,,,Trigger)</f>
        <v>0.11666666666666667</v>
      </c>
      <c r="AH32" s="21">
        <f t="shared" si="0"/>
        <v>2.2732127669712948E-3</v>
      </c>
      <c r="AI32" s="21">
        <f t="shared" si="1"/>
        <v>2.2783114560038613E-3</v>
      </c>
      <c r="AJ32" s="21">
        <f t="shared" si="2"/>
        <v>2.2695408843319675E-3</v>
      </c>
    </row>
    <row r="33" spans="13:36" x14ac:dyDescent="0.2">
      <c r="AF33" s="24">
        <f>_xll.qlCalendarAdvance(Calendar,AF32,"1d","mf",,Trigger)</f>
        <v>42412</v>
      </c>
      <c r="AG33" s="25">
        <f>_xll.qlDayCounterYearFraction(DayCounter,SettlementDate,AF33,,,Trigger)</f>
        <v>0.11944444444444445</v>
      </c>
      <c r="AH33" s="21">
        <f t="shared" si="0"/>
        <v>2.2732127669712948E-3</v>
      </c>
      <c r="AI33" s="21">
        <f t="shared" si="1"/>
        <v>2.2768546877088422E-3</v>
      </c>
      <c r="AJ33" s="21">
        <f t="shared" si="2"/>
        <v>2.2674764391146067E-3</v>
      </c>
    </row>
    <row r="34" spans="13:36" x14ac:dyDescent="0.2">
      <c r="AF34" s="24">
        <f>_xll.qlCalendarAdvance(Calendar,AF33,"1d","mf",,Trigger)</f>
        <v>42415</v>
      </c>
      <c r="AG34" s="25">
        <f>_xll.qlDayCounterYearFraction(DayCounter,SettlementDate,AF34,,,Trigger)</f>
        <v>0.12777777777777777</v>
      </c>
      <c r="AH34" s="21">
        <f t="shared" si="0"/>
        <v>2.2732127669712948E-3</v>
      </c>
      <c r="AI34" s="21">
        <f t="shared" si="1"/>
        <v>2.2724843828237848E-3</v>
      </c>
      <c r="AJ34" s="21">
        <f t="shared" si="2"/>
        <v>2.2614702286103444E-3</v>
      </c>
    </row>
    <row r="35" spans="13:36" x14ac:dyDescent="0.2">
      <c r="AF35" s="24">
        <f>_xll.qlCalendarAdvance(Calendar,AF34,"1d","mf",,Trigger)</f>
        <v>42416</v>
      </c>
      <c r="AG35" s="25">
        <f>_xll.qlDayCounterYearFraction(DayCounter,SettlementDate,AF35,,,Trigger)</f>
        <v>0.13055555555555556</v>
      </c>
      <c r="AH35" s="21">
        <f t="shared" si="0"/>
        <v>2.2732127669712948E-3</v>
      </c>
      <c r="AI35" s="21">
        <f t="shared" si="1"/>
        <v>2.2710276145287657E-3</v>
      </c>
      <c r="AJ35" s="21">
        <f t="shared" ref="AJ35:AJ65" si="11">($W$5+$W$4*AG35+$W$3*AG35^2)</f>
        <v>2.2595305334915301E-3</v>
      </c>
    </row>
    <row r="36" spans="13:36" x14ac:dyDescent="0.2">
      <c r="AF36" s="24">
        <f>_xll.qlCalendarAdvance(Calendar,AF35,"1d","mf",,Trigger)</f>
        <v>42417</v>
      </c>
      <c r="AG36" s="25">
        <f>_xll.qlDayCounterYearFraction(DayCounter,SettlementDate,AF36,,,Trigger)</f>
        <v>0.13333333333333333</v>
      </c>
      <c r="AH36" s="21">
        <f t="shared" si="0"/>
        <v>2.2732127669712948E-3</v>
      </c>
      <c r="AI36" s="21">
        <f t="shared" si="1"/>
        <v>2.2695708462337465E-3</v>
      </c>
      <c r="AJ36" s="21">
        <f t="shared" si="11"/>
        <v>2.2576220258973523E-3</v>
      </c>
    </row>
    <row r="37" spans="13:36" x14ac:dyDescent="0.2">
      <c r="AF37" s="24">
        <f>_xll.qlCalendarAdvance(Calendar,AF36,"1d","mf",,Trigger)</f>
        <v>42418</v>
      </c>
      <c r="AG37" s="25">
        <f>_xll.qlDayCounterYearFraction(DayCounter,SettlementDate,AF37,,,Trigger)</f>
        <v>0.1361111111111111</v>
      </c>
      <c r="AH37" s="21">
        <f t="shared" si="0"/>
        <v>2.2732127669712948E-3</v>
      </c>
      <c r="AI37" s="21">
        <f t="shared" si="1"/>
        <v>2.2681140779387278E-3</v>
      </c>
      <c r="AJ37" s="21">
        <f t="shared" si="11"/>
        <v>2.2557447058278112E-3</v>
      </c>
    </row>
    <row r="38" spans="13:36" x14ac:dyDescent="0.2">
      <c r="AF38" s="24">
        <f>_xll.qlCalendarAdvance(Calendar,AF37,"1d","mf",,Trigger)</f>
        <v>42419</v>
      </c>
      <c r="AG38" s="25">
        <f>_xll.qlDayCounterYearFraction(DayCounter,SettlementDate,AF38,,,Trigger)</f>
        <v>0.1388888888888889</v>
      </c>
      <c r="AH38" s="21">
        <f t="shared" si="0"/>
        <v>2.2732127669712948E-3</v>
      </c>
      <c r="AI38" s="21">
        <f t="shared" si="1"/>
        <v>2.2666573096437087E-3</v>
      </c>
      <c r="AJ38" s="21">
        <f t="shared" si="11"/>
        <v>2.2538985732829062E-3</v>
      </c>
    </row>
    <row r="39" spans="13:36" x14ac:dyDescent="0.2">
      <c r="AF39" s="24">
        <f>_xll.qlCalendarAdvance(Calendar,AF38,"1d","mf",,Trigger)</f>
        <v>42422</v>
      </c>
      <c r="AG39" s="25">
        <f>_xll.qlDayCounterYearFraction(DayCounter,SettlementDate,AF39,,,Trigger)</f>
        <v>0.14722222222222223</v>
      </c>
      <c r="AH39" s="21">
        <f t="shared" si="0"/>
        <v>2.2732127669712948E-3</v>
      </c>
      <c r="AI39" s="21">
        <f t="shared" si="1"/>
        <v>2.2622870047586514E-3</v>
      </c>
      <c r="AJ39" s="21">
        <f t="shared" si="11"/>
        <v>2.2485473007960118E-3</v>
      </c>
    </row>
    <row r="40" spans="13:36" x14ac:dyDescent="0.2">
      <c r="AF40" s="24">
        <f>_xll.qlCalendarAdvance(Calendar,AF39,"1d","mf",,Trigger)</f>
        <v>42423</v>
      </c>
      <c r="AG40" s="25">
        <f>_xll.qlDayCounterYearFraction(DayCounter,SettlementDate,AF40,,,Trigger)</f>
        <v>0.15</v>
      </c>
      <c r="AH40" s="21">
        <f t="shared" si="0"/>
        <v>2.2732127669712948E-3</v>
      </c>
      <c r="AI40" s="21">
        <f t="shared" si="1"/>
        <v>2.2608302364636322E-3</v>
      </c>
      <c r="AJ40" s="21">
        <f t="shared" si="11"/>
        <v>2.2468259183496533E-3</v>
      </c>
    </row>
    <row r="41" spans="13:36" x14ac:dyDescent="0.2">
      <c r="M41" s="111"/>
      <c r="N41" s="111"/>
      <c r="AF41" s="24">
        <f>_xll.qlCalendarAdvance(Calendar,AF40,"1d","mf",,Trigger)</f>
        <v>42424</v>
      </c>
      <c r="AG41" s="25">
        <f>_xll.qlDayCounterYearFraction(DayCounter,SettlementDate,AF41,,,Trigger)</f>
        <v>0.15277777777777779</v>
      </c>
      <c r="AH41" s="21">
        <f t="shared" si="0"/>
        <v>2.2732127669712948E-3</v>
      </c>
      <c r="AI41" s="21">
        <f t="shared" si="1"/>
        <v>2.2593734681686131E-3</v>
      </c>
      <c r="AJ41" s="21">
        <f t="shared" si="11"/>
        <v>2.2451357234279314E-3</v>
      </c>
    </row>
    <row r="42" spans="13:36" x14ac:dyDescent="0.2">
      <c r="AF42" s="24">
        <f>_xll.qlCalendarAdvance(Calendar,AF41,"1d","mf",,Trigger)</f>
        <v>42425</v>
      </c>
      <c r="AG42" s="25">
        <f>_xll.qlDayCounterYearFraction(DayCounter,SettlementDate,AF42,,,Trigger)</f>
        <v>0.15555555555555556</v>
      </c>
      <c r="AH42" s="21">
        <f t="shared" si="0"/>
        <v>2.2732127669712948E-3</v>
      </c>
      <c r="AI42" s="21">
        <f t="shared" si="1"/>
        <v>2.257916699873594E-3</v>
      </c>
      <c r="AJ42" s="21">
        <f t="shared" si="11"/>
        <v>2.2434767160308465E-3</v>
      </c>
    </row>
    <row r="43" spans="13:36" ht="11.25" customHeight="1" x14ac:dyDescent="0.2">
      <c r="AF43" s="24">
        <f>_xll.qlCalendarAdvance(Calendar,AF42,"1d","mf",,Trigger)</f>
        <v>42426</v>
      </c>
      <c r="AG43" s="25">
        <f>_xll.qlDayCounterYearFraction(DayCounter,SettlementDate,AF43,,,Trigger)</f>
        <v>0.15833333333333333</v>
      </c>
      <c r="AH43" s="21">
        <f t="shared" si="0"/>
        <v>2.2732127669712948E-3</v>
      </c>
      <c r="AI43" s="21">
        <f t="shared" si="1"/>
        <v>2.2564599315785753E-3</v>
      </c>
      <c r="AJ43" s="21">
        <f t="shared" si="11"/>
        <v>2.2418488961583978E-3</v>
      </c>
    </row>
    <row r="44" spans="13:36" x14ac:dyDescent="0.2">
      <c r="Q44" s="108"/>
      <c r="AF44" s="24">
        <f>_xll.qlCalendarAdvance(Calendar,AF43,"1d","mf",,Trigger)</f>
        <v>42429</v>
      </c>
      <c r="AG44" s="25">
        <f>_xll.qlDayCounterYearFraction(DayCounter,SettlementDate,AF44,,,Trigger)</f>
        <v>0.16666666666666666</v>
      </c>
      <c r="AH44" s="21">
        <f t="shared" si="0"/>
        <v>2.2732127669712948E-3</v>
      </c>
      <c r="AI44" s="21">
        <f t="shared" si="1"/>
        <v>2.2520896266935179E-3</v>
      </c>
      <c r="AJ44" s="21">
        <f t="shared" si="11"/>
        <v>2.2371525616888708E-3</v>
      </c>
    </row>
    <row r="45" spans="13:36" x14ac:dyDescent="0.2">
      <c r="Q45" s="108"/>
      <c r="AF45" s="24">
        <f>_xll.qlCalendarAdvance(Calendar,AF44,"1d","mf",,Trigger)</f>
        <v>42430</v>
      </c>
      <c r="AG45" s="25">
        <f>_xll.qlDayCounterYearFraction(DayCounter,SettlementDate,AF45,,,Trigger)</f>
        <v>0.16944444444444445</v>
      </c>
      <c r="AH45" s="21">
        <f t="shared" si="0"/>
        <v>2.2732127669712948E-3</v>
      </c>
      <c r="AI45" s="21">
        <f t="shared" si="1"/>
        <v>2.2506328583984988E-3</v>
      </c>
      <c r="AJ45" s="21">
        <f t="shared" si="11"/>
        <v>2.2356494919149685E-3</v>
      </c>
    </row>
    <row r="46" spans="13:36" x14ac:dyDescent="0.2">
      <c r="Q46" s="108"/>
      <c r="AF46" s="24">
        <f>_xll.qlCalendarAdvance(Calendar,AF45,"1d","mf",,Trigger)</f>
        <v>42431</v>
      </c>
      <c r="AG46" s="25">
        <f>_xll.qlDayCounterYearFraction(DayCounter,SettlementDate,AF46,,,Trigger)</f>
        <v>0.17222222222222222</v>
      </c>
      <c r="AH46" s="21">
        <f t="shared" si="0"/>
        <v>2.2732127669712948E-3</v>
      </c>
      <c r="AI46" s="21">
        <f t="shared" si="1"/>
        <v>2.2491760901034797E-3</v>
      </c>
      <c r="AJ46" s="21">
        <f t="shared" si="11"/>
        <v>2.2341776096657024E-3</v>
      </c>
    </row>
    <row r="47" spans="13:36" x14ac:dyDescent="0.2">
      <c r="Q47" s="108"/>
      <c r="AF47" s="24">
        <f>_xll.qlCalendarAdvance(Calendar,AF46,"1d","mf",,Trigger)</f>
        <v>42432</v>
      </c>
      <c r="AG47" s="25">
        <f>_xll.qlDayCounterYearFraction(DayCounter,SettlementDate,AF47,,,Trigger)</f>
        <v>0.17499999999999999</v>
      </c>
      <c r="AH47" s="21">
        <f t="shared" si="0"/>
        <v>2.2732127669712948E-3</v>
      </c>
      <c r="AI47" s="21">
        <f t="shared" si="1"/>
        <v>2.2477193218084605E-3</v>
      </c>
      <c r="AJ47" s="21">
        <f t="shared" si="11"/>
        <v>2.2327369149410729E-3</v>
      </c>
    </row>
    <row r="48" spans="13:36" x14ac:dyDescent="0.2">
      <c r="Q48" s="108"/>
      <c r="AF48" s="24">
        <f>_xll.qlCalendarAdvance(Calendar,AF47,"1d","mf",,Trigger)</f>
        <v>42433</v>
      </c>
      <c r="AG48" s="25">
        <f>_xll.qlDayCounterYearFraction(DayCounter,SettlementDate,AF48,,,Trigger)</f>
        <v>0.17777777777777778</v>
      </c>
      <c r="AH48" s="21">
        <f t="shared" si="0"/>
        <v>2.2732127669712948E-3</v>
      </c>
      <c r="AI48" s="21">
        <f t="shared" si="1"/>
        <v>2.2462625535134419E-3</v>
      </c>
      <c r="AJ48" s="21">
        <f t="shared" si="11"/>
        <v>2.2313274077410804E-3</v>
      </c>
    </row>
    <row r="49" spans="13:36" x14ac:dyDescent="0.2">
      <c r="AF49" s="24">
        <f>_xll.qlCalendarAdvance(Calendar,AF48,"1d","mf",,Trigger)</f>
        <v>42436</v>
      </c>
      <c r="AG49" s="25">
        <f>_xll.qlDayCounterYearFraction(DayCounter,SettlementDate,AF49,,,Trigger)</f>
        <v>0.18611111111111112</v>
      </c>
      <c r="AH49" s="21">
        <f t="shared" si="0"/>
        <v>2.2732127669712948E-3</v>
      </c>
      <c r="AI49" s="21">
        <f t="shared" si="1"/>
        <v>2.2418922486283845E-3</v>
      </c>
      <c r="AJ49" s="21">
        <f t="shared" si="11"/>
        <v>2.2272860112889209E-3</v>
      </c>
    </row>
    <row r="50" spans="13:36" x14ac:dyDescent="0.2">
      <c r="AF50" s="24">
        <f>_xll.qlCalendarAdvance(Calendar,AF49,"1d","mf",,Trigger)</f>
        <v>42437</v>
      </c>
      <c r="AG50" s="25">
        <f>_xll.qlDayCounterYearFraction(DayCounter,SettlementDate,AF50,,,Trigger)</f>
        <v>0.18888888888888888</v>
      </c>
      <c r="AH50" s="21">
        <f t="shared" si="0"/>
        <v>2.2732127669712948E-3</v>
      </c>
      <c r="AI50" s="21">
        <f t="shared" si="1"/>
        <v>2.2404354803333654E-3</v>
      </c>
      <c r="AJ50" s="21">
        <f t="shared" si="11"/>
        <v>2.2260012541874745E-3</v>
      </c>
    </row>
    <row r="51" spans="13:36" x14ac:dyDescent="0.2">
      <c r="AF51" s="24">
        <f>_xll.qlCalendarAdvance(Calendar,AF50,"1d","mf",,Trigger)</f>
        <v>42438</v>
      </c>
      <c r="AG51" s="25">
        <f>_xll.qlDayCounterYearFraction(DayCounter,SettlementDate,AF51,,,Trigger)</f>
        <v>0.19166666666666668</v>
      </c>
      <c r="AH51" s="21">
        <f t="shared" si="0"/>
        <v>2.2732127669712948E-3</v>
      </c>
      <c r="AI51" s="21">
        <f t="shared" si="1"/>
        <v>2.2389787120383462E-3</v>
      </c>
      <c r="AJ51" s="21">
        <f t="shared" si="11"/>
        <v>2.2247476846106646E-3</v>
      </c>
    </row>
    <row r="52" spans="13:36" x14ac:dyDescent="0.2">
      <c r="AF52" s="24">
        <f>_xll.qlCalendarAdvance(Calendar,AF51,"1d","mf",,Trigger)</f>
        <v>42439</v>
      </c>
      <c r="AG52" s="25">
        <f>_xll.qlDayCounterYearFraction(DayCounter,SettlementDate,AF52,,,Trigger)</f>
        <v>0.19444444444444445</v>
      </c>
      <c r="AH52" s="21">
        <f t="shared" si="0"/>
        <v>2.2732127669712948E-3</v>
      </c>
      <c r="AI52" s="21">
        <f t="shared" si="1"/>
        <v>2.2375219437433271E-3</v>
      </c>
      <c r="AJ52" s="21">
        <f t="shared" si="11"/>
        <v>2.2235253025584909E-3</v>
      </c>
    </row>
    <row r="53" spans="13:36" x14ac:dyDescent="0.2">
      <c r="AF53" s="24">
        <f>_xll.qlCalendarAdvance(Calendar,AF52,"1d","mf",,Trigger)</f>
        <v>42440</v>
      </c>
      <c r="AG53" s="25">
        <f>_xll.qlDayCounterYearFraction(DayCounter,SettlementDate,AF53,,,Trigger)</f>
        <v>0.19722222222222222</v>
      </c>
      <c r="AH53" s="21">
        <f t="shared" si="0"/>
        <v>2.2732127669712948E-3</v>
      </c>
      <c r="AI53" s="21">
        <f t="shared" si="1"/>
        <v>2.236065175448308E-3</v>
      </c>
      <c r="AJ53" s="21">
        <f t="shared" si="11"/>
        <v>2.2223341080309543E-3</v>
      </c>
    </row>
    <row r="54" spans="13:36" x14ac:dyDescent="0.2">
      <c r="AF54" s="24">
        <f>_xll.qlCalendarAdvance(Calendar,AF53,"1d","mf",,Trigger)</f>
        <v>42443</v>
      </c>
      <c r="AG54" s="25">
        <f>_xll.qlDayCounterYearFraction(DayCounter,SettlementDate,AF54,,,Trigger)</f>
        <v>0.20555555555555555</v>
      </c>
      <c r="AH54" s="21">
        <f t="shared" si="0"/>
        <v>2.2732127669712948E-3</v>
      </c>
      <c r="AI54" s="21">
        <f t="shared" si="1"/>
        <v>2.231694870563251E-3</v>
      </c>
      <c r="AJ54" s="21">
        <f t="shared" si="11"/>
        <v>2.2189476495961626E-3</v>
      </c>
    </row>
    <row r="55" spans="13:36" x14ac:dyDescent="0.2">
      <c r="AF55" s="24">
        <f>_xll.qlCalendarAdvance(Calendar,AF54,"1d","mf",,Trigger)</f>
        <v>42444</v>
      </c>
      <c r="AG55" s="25">
        <f>_xll.qlDayCounterYearFraction(DayCounter,SettlementDate,AF55,,,Trigger)</f>
        <v>0.20833333333333334</v>
      </c>
      <c r="AH55" s="21">
        <f t="shared" si="0"/>
        <v>2.2732127669712948E-3</v>
      </c>
      <c r="AI55" s="21">
        <f t="shared" si="1"/>
        <v>2.2302381022682319E-3</v>
      </c>
      <c r="AJ55" s="21">
        <f t="shared" si="11"/>
        <v>2.217881205167172E-3</v>
      </c>
    </row>
    <row r="56" spans="13:36" x14ac:dyDescent="0.2">
      <c r="AF56" s="24">
        <f>_xll.qlCalendarAdvance(Calendar,AF55,"1d","mf",,Trigger)</f>
        <v>42445</v>
      </c>
      <c r="AG56" s="25">
        <f>_xll.qlDayCounterYearFraction(DayCounter,SettlementDate,AF56,,,Trigger)</f>
        <v>0.21111111111111111</v>
      </c>
      <c r="AH56" s="21">
        <f t="shared" si="0"/>
        <v>2.2732127669712948E-3</v>
      </c>
      <c r="AI56" s="21">
        <f t="shared" si="1"/>
        <v>2.2287813339732128E-3</v>
      </c>
      <c r="AJ56" s="21">
        <f t="shared" si="11"/>
        <v>2.2168459482628179E-3</v>
      </c>
    </row>
    <row r="57" spans="13:36" x14ac:dyDescent="0.2">
      <c r="AF57" s="24">
        <f>_xll.qlCalendarAdvance(Calendar,AF56,"1d","mf",,Trigger)</f>
        <v>42446</v>
      </c>
      <c r="AG57" s="25">
        <f>_xll.qlDayCounterYearFraction(DayCounter,SettlementDate,AF57,,,Trigger)</f>
        <v>0.21388888888888888</v>
      </c>
      <c r="AH57" s="21">
        <f t="shared" si="0"/>
        <v>2.2732127669712948E-3</v>
      </c>
      <c r="AI57" s="21">
        <f t="shared" si="1"/>
        <v>2.2273245656781937E-3</v>
      </c>
      <c r="AJ57" s="21">
        <f t="shared" si="11"/>
        <v>2.2158418788831005E-3</v>
      </c>
    </row>
    <row r="58" spans="13:36" x14ac:dyDescent="0.2">
      <c r="AF58" s="24">
        <f>_xll.qlCalendarAdvance(Calendar,AF57,"1d","mf",,Trigger)</f>
        <v>42447</v>
      </c>
      <c r="AG58" s="25">
        <f>_xll.qlDayCounterYearFraction(DayCounter,SettlementDate,AF58,,,Trigger)</f>
        <v>0.21666666666666667</v>
      </c>
      <c r="AH58" s="21">
        <f t="shared" si="0"/>
        <v>2.2732127669712948E-3</v>
      </c>
      <c r="AI58" s="21">
        <f t="shared" si="1"/>
        <v>2.2258677973831745E-3</v>
      </c>
      <c r="AJ58" s="21">
        <f t="shared" si="11"/>
        <v>2.2148689970280197E-3</v>
      </c>
    </row>
    <row r="59" spans="13:36" x14ac:dyDescent="0.2">
      <c r="AF59" s="24">
        <f>_xll.qlCalendarAdvance(Calendar,AF58,"1d","mf",,Trigger)</f>
        <v>42450</v>
      </c>
      <c r="AG59" s="25">
        <f>_xll.qlDayCounterYearFraction(DayCounter,SettlementDate,AF59,,,Trigger)</f>
        <v>0.22500000000000001</v>
      </c>
      <c r="AH59" s="21">
        <f t="shared" si="0"/>
        <v>2.2732127669712948E-3</v>
      </c>
      <c r="AI59" s="21">
        <f t="shared" si="1"/>
        <v>2.2214974924981176E-3</v>
      </c>
      <c r="AJ59" s="21">
        <f t="shared" si="11"/>
        <v>2.2121374766105963E-3</v>
      </c>
    </row>
    <row r="60" spans="13:36" x14ac:dyDescent="0.2">
      <c r="M60" s="111"/>
      <c r="AF60" s="24">
        <f>_xll.qlCalendarAdvance(Calendar,AF59,"1d","mf",,Trigger)</f>
        <v>42451</v>
      </c>
      <c r="AG60" s="25">
        <f>_xll.qlDayCounterYearFraction(DayCounter,SettlementDate,AF60,,,Trigger)</f>
        <v>0.22777777777777777</v>
      </c>
      <c r="AH60" s="21">
        <f t="shared" si="0"/>
        <v>2.2732127669712948E-3</v>
      </c>
      <c r="AI60" s="21">
        <f t="shared" si="1"/>
        <v>2.2200407242030985E-3</v>
      </c>
      <c r="AJ60" s="21">
        <f t="shared" si="11"/>
        <v>2.2112893448540615E-3</v>
      </c>
    </row>
    <row r="61" spans="13:36" x14ac:dyDescent="0.2">
      <c r="M61" s="111"/>
      <c r="AF61" s="24">
        <f>_xll.qlCalendarAdvance(Calendar,AF60,"1d","mf",,Trigger)</f>
        <v>42452</v>
      </c>
      <c r="AG61" s="25">
        <f>_xll.qlDayCounterYearFraction(DayCounter,SettlementDate,AF61,,,Trigger)</f>
        <v>0.23055555555555557</v>
      </c>
      <c r="AH61" s="21">
        <f t="shared" si="0"/>
        <v>2.2732127669712948E-3</v>
      </c>
      <c r="AI61" s="21">
        <f t="shared" si="1"/>
        <v>2.2185839559080794E-3</v>
      </c>
      <c r="AJ61" s="21">
        <f t="shared" si="11"/>
        <v>2.2104724006221633E-3</v>
      </c>
    </row>
    <row r="62" spans="13:36" x14ac:dyDescent="0.2">
      <c r="M62" s="111"/>
      <c r="AF62" s="24">
        <f>_xll.qlCalendarAdvance(Calendar,AF61,"1d","mf",,Trigger)</f>
        <v>42453</v>
      </c>
      <c r="AG62" s="25">
        <f>_xll.qlDayCounterYearFraction(DayCounter,SettlementDate,AF62,,,Trigger)</f>
        <v>0.23333333333333334</v>
      </c>
      <c r="AH62" s="21">
        <f t="shared" si="0"/>
        <v>2.2732127669712948E-3</v>
      </c>
      <c r="AI62" s="21">
        <f t="shared" si="1"/>
        <v>2.2171271876130602E-3</v>
      </c>
      <c r="AJ62" s="21">
        <f t="shared" si="11"/>
        <v>2.2096866439149016E-3</v>
      </c>
    </row>
    <row r="63" spans="13:36" x14ac:dyDescent="0.2">
      <c r="M63" s="111"/>
      <c r="AF63" s="24">
        <f>_xll.qlCalendarAdvance(Calendar,AF62,"1d","mf",,Trigger)</f>
        <v>42458</v>
      </c>
      <c r="AG63" s="25">
        <f>_xll.qlDayCounterYearFraction(DayCounter,SettlementDate,AF63,,,Trigger)</f>
        <v>0.24722222222222223</v>
      </c>
      <c r="AH63" s="21">
        <f t="shared" si="0"/>
        <v>2.2732127669712948E-3</v>
      </c>
      <c r="AI63" s="21">
        <f t="shared" si="1"/>
        <v>2.209843346137965E-3</v>
      </c>
      <c r="AJ63" s="21">
        <f t="shared" si="11"/>
        <v>2.2062256732481422E-3</v>
      </c>
    </row>
    <row r="64" spans="13:36" x14ac:dyDescent="0.2">
      <c r="M64" s="111"/>
      <c r="AF64" s="24">
        <f>_xll.qlCalendarAdvance(Calendar,AF63,"1d","mf",,Trigger)</f>
        <v>42459</v>
      </c>
      <c r="AG64" s="25">
        <f>_xll.qlDayCounterYearFraction(DayCounter,SettlementDate,AF64,,,Trigger)</f>
        <v>0.25</v>
      </c>
      <c r="AH64" s="21">
        <f t="shared" si="0"/>
        <v>2.2732127669712948E-3</v>
      </c>
      <c r="AI64" s="21">
        <f t="shared" si="1"/>
        <v>2.2083865778429459E-3</v>
      </c>
      <c r="AJ64" s="21">
        <f t="shared" si="11"/>
        <v>2.2056270416886997E-3</v>
      </c>
    </row>
    <row r="65" spans="13:36" x14ac:dyDescent="0.2">
      <c r="M65" s="111"/>
      <c r="AF65" s="184">
        <f>_xll.qlCalendarAdvance(Calendar,AF64,"1d","mf",,Trigger)</f>
        <v>42460</v>
      </c>
      <c r="AG65" s="180">
        <f>_xll.qlDayCounterYearFraction(DayCounter,SettlementDate,AF65,,,Trigger)</f>
        <v>0.25277777777777777</v>
      </c>
      <c r="AH65" s="26">
        <f t="shared" si="0"/>
        <v>2.2732127669712948E-3</v>
      </c>
      <c r="AI65" s="26">
        <f t="shared" si="1"/>
        <v>2.2069298095479268E-3</v>
      </c>
      <c r="AJ65" s="26">
        <f t="shared" si="11"/>
        <v>2.2050595976538939E-3</v>
      </c>
    </row>
    <row r="66" spans="13:36" x14ac:dyDescent="0.2">
      <c r="M66" s="111"/>
      <c r="N66" s="111"/>
    </row>
    <row r="67" spans="13:36" x14ac:dyDescent="0.2">
      <c r="M67" s="111"/>
      <c r="N67" s="111"/>
    </row>
    <row r="68" spans="13:36" x14ac:dyDescent="0.2">
      <c r="M68" s="111"/>
      <c r="N68" s="111"/>
    </row>
    <row r="69" spans="13:36" x14ac:dyDescent="0.2">
      <c r="M69" s="111"/>
      <c r="N69" s="111"/>
    </row>
    <row r="70" spans="13:36" x14ac:dyDescent="0.2">
      <c r="M70" s="111"/>
      <c r="N70" s="111"/>
    </row>
    <row r="71" spans="13:36" x14ac:dyDescent="0.2">
      <c r="M71" s="111"/>
      <c r="N71" s="111"/>
    </row>
    <row r="72" spans="13:36" x14ac:dyDescent="0.2">
      <c r="M72" s="111"/>
      <c r="N72" s="111"/>
    </row>
    <row r="73" spans="13:36" x14ac:dyDescent="0.2">
      <c r="M73" s="111"/>
      <c r="N73" s="111"/>
    </row>
    <row r="74" spans="13:36" x14ac:dyDescent="0.2">
      <c r="M74" s="111"/>
      <c r="N74" s="111"/>
    </row>
    <row r="75" spans="13:36" x14ac:dyDescent="0.2">
      <c r="M75" s="111"/>
      <c r="N75" s="111"/>
    </row>
    <row r="76" spans="13:36" x14ac:dyDescent="0.2">
      <c r="M76" s="111"/>
      <c r="N76" s="111"/>
    </row>
    <row r="77" spans="13:36" x14ac:dyDescent="0.2">
      <c r="M77" s="111"/>
      <c r="N77" s="111"/>
    </row>
    <row r="78" spans="13:36" x14ac:dyDescent="0.2">
      <c r="M78" s="111"/>
      <c r="N78" s="111"/>
    </row>
    <row r="79" spans="13:36" x14ac:dyDescent="0.2">
      <c r="M79" s="111"/>
      <c r="N79" s="111"/>
    </row>
    <row r="80" spans="13:36" x14ac:dyDescent="0.2">
      <c r="M80" s="111"/>
      <c r="N80" s="111"/>
    </row>
    <row r="81" spans="13:14" x14ac:dyDescent="0.2">
      <c r="M81" s="111"/>
      <c r="N81" s="111"/>
    </row>
    <row r="82" spans="13:14" x14ac:dyDescent="0.2">
      <c r="M82" s="111"/>
      <c r="N82" s="111"/>
    </row>
    <row r="83" spans="13:14" x14ac:dyDescent="0.2">
      <c r="M83" s="111"/>
      <c r="N83" s="111"/>
    </row>
    <row r="84" spans="13:14" x14ac:dyDescent="0.2">
      <c r="M84" s="111"/>
      <c r="N84" s="111"/>
    </row>
    <row r="85" spans="13:14" x14ac:dyDescent="0.2">
      <c r="M85" s="111"/>
      <c r="N85" s="111"/>
    </row>
    <row r="86" spans="13:14" x14ac:dyDescent="0.2">
      <c r="M86" s="111"/>
      <c r="N86" s="111"/>
    </row>
    <row r="87" spans="13:14" x14ac:dyDescent="0.2">
      <c r="M87" s="111"/>
      <c r="N87" s="111"/>
    </row>
    <row r="88" spans="13:14" x14ac:dyDescent="0.2">
      <c r="M88" s="111"/>
      <c r="N88" s="111"/>
    </row>
    <row r="89" spans="13:14" x14ac:dyDescent="0.2">
      <c r="M89" s="111"/>
      <c r="N89" s="111"/>
    </row>
    <row r="90" spans="13:14" x14ac:dyDescent="0.2">
      <c r="M90" s="111"/>
      <c r="N90" s="111"/>
    </row>
    <row r="91" spans="13:14" x14ac:dyDescent="0.2">
      <c r="M91" s="111"/>
      <c r="N91" s="111"/>
    </row>
    <row r="92" spans="13:14" x14ac:dyDescent="0.2">
      <c r="M92" s="111"/>
      <c r="N92" s="111"/>
    </row>
    <row r="93" spans="13:14" x14ac:dyDescent="0.2">
      <c r="M93" s="111"/>
      <c r="N93" s="111"/>
    </row>
    <row r="94" spans="13:14" x14ac:dyDescent="0.2">
      <c r="M94" s="111"/>
      <c r="N94" s="111"/>
    </row>
    <row r="95" spans="13:14" x14ac:dyDescent="0.2">
      <c r="M95" s="111"/>
      <c r="N95" s="111"/>
    </row>
    <row r="96" spans="13:14" x14ac:dyDescent="0.2">
      <c r="M96" s="111"/>
      <c r="N96" s="111"/>
    </row>
    <row r="97" spans="13:14" x14ac:dyDescent="0.2">
      <c r="M97" s="111"/>
      <c r="N97" s="111"/>
    </row>
    <row r="98" spans="13:14" x14ac:dyDescent="0.2">
      <c r="M98" s="111"/>
      <c r="N98" s="111"/>
    </row>
    <row r="99" spans="13:14" x14ac:dyDescent="0.2">
      <c r="M99" s="111"/>
      <c r="N99" s="111"/>
    </row>
    <row r="100" spans="13:14" x14ac:dyDescent="0.2">
      <c r="M100" s="111"/>
      <c r="N100" s="111"/>
    </row>
    <row r="101" spans="13:14" x14ac:dyDescent="0.2">
      <c r="M101" s="111"/>
      <c r="N101" s="111"/>
    </row>
    <row r="102" spans="13:14" x14ac:dyDescent="0.2">
      <c r="M102" s="111"/>
      <c r="N102" s="111"/>
    </row>
    <row r="103" spans="13:14" x14ac:dyDescent="0.2">
      <c r="M103" s="111"/>
      <c r="N103" s="111"/>
    </row>
    <row r="104" spans="13:14" x14ac:dyDescent="0.2">
      <c r="M104" s="111"/>
      <c r="N104" s="111"/>
    </row>
    <row r="105" spans="13:14" x14ac:dyDescent="0.2">
      <c r="M105" s="111"/>
      <c r="N105" s="111"/>
    </row>
    <row r="106" spans="13:14" x14ac:dyDescent="0.2">
      <c r="M106" s="111"/>
      <c r="N106" s="111"/>
    </row>
    <row r="107" spans="13:14" x14ac:dyDescent="0.2">
      <c r="M107" s="111"/>
      <c r="N107" s="111"/>
    </row>
    <row r="108" spans="13:14" x14ac:dyDescent="0.2">
      <c r="M108" s="111"/>
      <c r="N108" s="111"/>
    </row>
    <row r="109" spans="13:14" x14ac:dyDescent="0.2">
      <c r="M109" s="111"/>
      <c r="N109" s="111"/>
    </row>
    <row r="110" spans="13:14" x14ac:dyDescent="0.2">
      <c r="M110" s="111"/>
      <c r="N110" s="111"/>
    </row>
    <row r="111" spans="13:14" x14ac:dyDescent="0.2">
      <c r="M111" s="111"/>
      <c r="N111" s="111"/>
    </row>
    <row r="112" spans="13:14" x14ac:dyDescent="0.2">
      <c r="M112" s="111"/>
      <c r="N112" s="111"/>
    </row>
    <row r="113" spans="13:14" x14ac:dyDescent="0.2">
      <c r="M113" s="112"/>
      <c r="N113" s="111"/>
    </row>
    <row r="114" spans="13:14" x14ac:dyDescent="0.2">
      <c r="M114" s="112"/>
      <c r="N114" s="111"/>
    </row>
    <row r="115" spans="13:14" x14ac:dyDescent="0.2">
      <c r="M115" s="112"/>
      <c r="N115" s="111"/>
    </row>
    <row r="116" spans="13:14" x14ac:dyDescent="0.2">
      <c r="M116" s="112"/>
      <c r="N116" s="111"/>
    </row>
    <row r="117" spans="13:14" x14ac:dyDescent="0.2">
      <c r="M117" s="112"/>
      <c r="N117" s="111"/>
    </row>
    <row r="118" spans="13:14" x14ac:dyDescent="0.2">
      <c r="M118" s="112"/>
      <c r="N118" s="111"/>
    </row>
    <row r="119" spans="13:14" x14ac:dyDescent="0.2">
      <c r="M119" s="112"/>
      <c r="N119" s="112"/>
    </row>
    <row r="120" spans="13:14" x14ac:dyDescent="0.2">
      <c r="M120" s="112"/>
      <c r="N120" s="112"/>
    </row>
    <row r="121" spans="13:14" x14ac:dyDescent="0.2">
      <c r="M121" s="112"/>
      <c r="N121" s="112"/>
    </row>
    <row r="122" spans="13:14" x14ac:dyDescent="0.2">
      <c r="M122" s="112"/>
      <c r="N122" s="112"/>
    </row>
    <row r="123" spans="13:14" x14ac:dyDescent="0.2">
      <c r="M123" s="112"/>
      <c r="N123" s="112"/>
    </row>
    <row r="124" spans="13:14" x14ac:dyDescent="0.2">
      <c r="M124" s="112"/>
      <c r="N124" s="112"/>
    </row>
    <row r="125" spans="13:14" x14ac:dyDescent="0.2">
      <c r="M125" s="112"/>
      <c r="N125" s="112"/>
    </row>
    <row r="126" spans="13:14" x14ac:dyDescent="0.2">
      <c r="M126" s="112"/>
      <c r="N126" s="112"/>
    </row>
    <row r="127" spans="13:14" x14ac:dyDescent="0.2">
      <c r="M127" s="112"/>
      <c r="N127" s="112"/>
    </row>
    <row r="128" spans="13:14" x14ac:dyDescent="0.2">
      <c r="M128" s="112"/>
      <c r="N128" s="112"/>
    </row>
    <row r="129" spans="14:14" x14ac:dyDescent="0.2">
      <c r="N129" s="112"/>
    </row>
    <row r="130" spans="14:14" x14ac:dyDescent="0.2">
      <c r="N130" s="112"/>
    </row>
    <row r="131" spans="14:14" x14ac:dyDescent="0.2">
      <c r="N131" s="112"/>
    </row>
    <row r="132" spans="14:14" x14ac:dyDescent="0.2">
      <c r="N132" s="112"/>
    </row>
    <row r="133" spans="14:14" x14ac:dyDescent="0.2">
      <c r="N133" s="112"/>
    </row>
    <row r="134" spans="14:14" x14ac:dyDescent="0.2">
      <c r="N134" s="112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customWidth="1"/>
    <col min="30" max="31" width="9.5" style="84"/>
    <col min="32" max="32" width="20.33203125" style="84" bestFit="1" customWidth="1"/>
    <col min="33" max="33" width="8.1640625" style="84" bestFit="1" customWidth="1"/>
    <col min="34" max="35" width="9.5" style="84" bestFit="1" customWidth="1"/>
    <col min="36" max="36" width="11.6640625" style="84" bestFit="1" customWidth="1"/>
    <col min="37" max="16384" width="9.5" style="84"/>
  </cols>
  <sheetData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121</v>
      </c>
      <c r="G2" s="171" t="s">
        <v>122</v>
      </c>
      <c r="H2" s="171" t="s">
        <v>120</v>
      </c>
      <c r="I2" s="171" t="s">
        <v>123</v>
      </c>
      <c r="J2" s="171" t="s">
        <v>124</v>
      </c>
      <c r="K2" s="171" t="s">
        <v>128</v>
      </c>
      <c r="L2" s="171" t="s">
        <v>129</v>
      </c>
      <c r="M2" s="171" t="s">
        <v>94</v>
      </c>
      <c r="N2" s="172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120</v>
      </c>
      <c r="AH2" s="171" t="s">
        <v>30</v>
      </c>
      <c r="AI2" s="171" t="s">
        <v>85</v>
      </c>
      <c r="AJ2" s="171" t="s">
        <v>86</v>
      </c>
    </row>
    <row r="3" spans="1:36" ht="12" customHeight="1" x14ac:dyDescent="0.2">
      <c r="C3" s="173" t="str">
        <f>$D$10&amp;"LastFixing"&amp;QuoteSuffix</f>
        <v>UsdLibor6MLastFixing_Quote</v>
      </c>
      <c r="D3" s="47">
        <f>_xll.qlCalendarAdvance(Calendar,_xll.qlLastFixingQuoteReferenceDate($C$3),_xll.qlInterestRateIndexFixingDays($D$10)&amp;"D","f",,LastFixingsTrigger)</f>
        <v>42367</v>
      </c>
      <c r="E3" s="47">
        <f>_xll.qlInterestRateIndexMaturity($D$10,D3)</f>
        <v>42550</v>
      </c>
      <c r="F3" s="75">
        <f>_xll.qlYieldTSDiscount(Discounting,D3,,AllTriggers)</f>
        <v>0.99998500022511916</v>
      </c>
      <c r="G3" s="75">
        <f>_xll.qlYieldTSDiscount(Discounting,E3,,AllTriggers)</f>
        <v>0.99773510734014947</v>
      </c>
      <c r="H3" s="77">
        <f>_xll.qlDayCounterYearFraction(DayCounter,D3,E3,,,Trigger)</f>
        <v>0.5083333333333333</v>
      </c>
      <c r="I3" s="79">
        <f>(F3/G3-1)/H3</f>
        <v>4.4360660034340237E-3</v>
      </c>
      <c r="J3" s="69">
        <f>'Delta 6M '!P3</f>
        <v>1.9318501333026182E-3</v>
      </c>
      <c r="K3" s="53">
        <f>_xll.qlDayCounterYearFraction(DayCounter,SettlementDate,D3,,,Trigger)</f>
        <v>-5.5555555555555558E-3</v>
      </c>
      <c r="L3" s="53">
        <f>_xll.qlDayCounterYearFraction(DayCounter,SettlementDate,E3,,,Trigger)</f>
        <v>0.50277777777777777</v>
      </c>
      <c r="M3" s="53">
        <f>L3-K3</f>
        <v>0.5083333333333333</v>
      </c>
      <c r="N3" s="53">
        <f>(L3^2-K3^2)/2</f>
        <v>0.12637731481481482</v>
      </c>
      <c r="O3" s="53">
        <f>(L3^3-K3^3)/3</f>
        <v>4.2365033436213999E-2</v>
      </c>
      <c r="P3" s="174" t="b">
        <f>IF(D12="fixing",TRUE,FALSE)</f>
        <v>0</v>
      </c>
      <c r="R3" s="377" t="s">
        <v>88</v>
      </c>
      <c r="S3" s="96">
        <f t="array" ref="S3:S5">_xll.ohFilter(O3:O7,P3:P7)</f>
        <v>4.3071044810242327E-2</v>
      </c>
      <c r="T3" s="97">
        <f t="array" ref="T3:T5">_xll.ohFilter(N3:N7,P3:P7)</f>
        <v>0.12779320987654319</v>
      </c>
      <c r="U3" s="98">
        <f t="array" ref="U3:U5">_xll.ohFilter(M3:M7,P3:P7)</f>
        <v>0.50555555555555554</v>
      </c>
      <c r="V3" s="99"/>
      <c r="W3" s="100">
        <f t="array" ref="W3:W5">MMULT(AA3:AC5,Y3:Y5)</f>
        <v>-5.7892073347639572E-3</v>
      </c>
      <c r="X3" s="101"/>
      <c r="Y3" s="117">
        <f t="array" ref="Y3:Y5">_xll.ohFilter(J3:J7,P3:P7)</f>
        <v>1.9318501333026182E-3</v>
      </c>
      <c r="AA3" s="96">
        <f t="array" ref="AA3:AC5">MINVERSE(S3:U5)</f>
        <v>140.52199919921759</v>
      </c>
      <c r="AB3" s="97">
        <v>-267.87006097350883</v>
      </c>
      <c r="AC3" s="98">
        <v>125.96384371152712</v>
      </c>
      <c r="AF3" s="199">
        <f>SettlementDate</f>
        <v>42369</v>
      </c>
      <c r="AG3" s="25">
        <f>_xll.qlDayCounterYearFraction(DayCounter,SettlementDate,AF3,,,Trigger)</f>
        <v>0</v>
      </c>
      <c r="AH3" s="20">
        <f t="shared" ref="AH3:AH34" si="0">$W$13</f>
        <v>3.8212420219172669E-3</v>
      </c>
      <c r="AI3" s="20">
        <f t="shared" ref="AI3:AI34" si="1">$W$10+$W$9*AG3</f>
        <v>3.6359087568804908E-3</v>
      </c>
      <c r="AJ3" s="20">
        <f t="shared" ref="AJ3:AJ34" si="2">($W$5+$W$4*AG3+$W$3*AG3^2)</f>
        <v>3.2714179998134009E-3</v>
      </c>
    </row>
    <row r="4" spans="1:36" ht="12" customHeight="1" x14ac:dyDescent="0.2">
      <c r="A4" s="84">
        <v>0</v>
      </c>
      <c r="B4" s="197">
        <f>A4+SUBSTITUTE($D$9,"M","")</f>
        <v>6</v>
      </c>
      <c r="C4" s="175" t="str">
        <f>"Delta("&amp;A4&amp;"M,"&amp;B4&amp;"M)extrap"</f>
        <v>Delta(0M,6M)extrap</v>
      </c>
      <c r="D4" s="16">
        <f>SettlementDate</f>
        <v>42369</v>
      </c>
      <c r="E4" s="16">
        <f>_xll.qlInterestRateIndexMaturity($D$10,D4)</f>
        <v>42551</v>
      </c>
      <c r="F4" s="76">
        <f>_xll.qlYieldTSDiscount(Discounting,D4,,AllTriggers)</f>
        <v>0.99996012451818017</v>
      </c>
      <c r="G4" s="76">
        <f>_xll.qlYieldTSDiscount(Discounting,E4,,AllTriggers)</f>
        <v>0.9977198315673238</v>
      </c>
      <c r="H4" s="78">
        <f>_xll.qlDayCounterYearFraction(DayCounter,D4,E4,,,Trigger)</f>
        <v>0.50555555555555554</v>
      </c>
      <c r="I4" s="17">
        <f t="shared" ref="I4:I7" si="3">(F4/G4-1)/H4</f>
        <v>4.4414760073879728E-3</v>
      </c>
      <c r="J4" s="70">
        <f>LN((1+(_xll.qlInterpolationInterpolate(B6Minterpolation,D4,TRUE,AllTriggers)+I4)*H4)/(1+I4*H4))</f>
        <v>1.9318501333026182E-3</v>
      </c>
      <c r="K4" s="25">
        <f>_xll.qlDayCounterYearFraction(DayCounter,SettlementDate,D4,,,Trigger)</f>
        <v>0</v>
      </c>
      <c r="L4" s="25">
        <f>_xll.qlDayCounterYearFraction(DayCounter,SettlementDate,E4,,,Trigger)</f>
        <v>0.50555555555555554</v>
      </c>
      <c r="M4" s="25">
        <f>L4-K4</f>
        <v>0.50555555555555554</v>
      </c>
      <c r="N4" s="25">
        <f>(L4^2-K4^2)/2</f>
        <v>0.12779320987654319</v>
      </c>
      <c r="O4" s="25">
        <f>(L4^3-K4^3)/3</f>
        <v>4.3071044810242327E-2</v>
      </c>
      <c r="P4" s="176" t="b">
        <f>IF(D12="fixing",FALSE,TRUE)</f>
        <v>1</v>
      </c>
      <c r="R4" s="377"/>
      <c r="S4" s="96">
        <v>6.6940600708733436E-2</v>
      </c>
      <c r="T4" s="97">
        <v>0.16851851851851854</v>
      </c>
      <c r="U4" s="98">
        <v>0.50555555555555554</v>
      </c>
      <c r="V4" s="103" t="s">
        <v>28</v>
      </c>
      <c r="W4" s="100">
        <v>4.1263052864336514E-3</v>
      </c>
      <c r="X4" s="103" t="s">
        <v>29</v>
      </c>
      <c r="Y4" s="117">
        <v>1.9617093815585433E-3</v>
      </c>
      <c r="AA4" s="96">
        <v>-106.91626067544641</v>
      </c>
      <c r="AB4" s="97">
        <v>181.55637465982264</v>
      </c>
      <c r="AC4" s="98">
        <v>-73.828808397589526</v>
      </c>
      <c r="AF4" s="200">
        <f>_xll.qlCalendarAdvance(Calendar,AF3,"1d","mf",,Trigger)</f>
        <v>42373</v>
      </c>
      <c r="AG4" s="25">
        <f>_xll.qlDayCounterYearFraction(DayCounter,SettlementDate,AF4,,,Trigger)</f>
        <v>1.1111111111111112E-2</v>
      </c>
      <c r="AH4" s="21">
        <f t="shared" si="0"/>
        <v>3.8212420219172669E-3</v>
      </c>
      <c r="AI4" s="21">
        <f t="shared" si="1"/>
        <v>3.6440552740249644E-3</v>
      </c>
      <c r="AJ4" s="21">
        <f t="shared" si="2"/>
        <v>3.316551119374421E-3</v>
      </c>
    </row>
    <row r="5" spans="1:36" ht="12" customHeight="1" x14ac:dyDescent="0.2">
      <c r="A5" s="86">
        <v>1</v>
      </c>
      <c r="B5" s="197">
        <f t="shared" ref="B5:B7" si="4">A5+SUBSTITUTE($D$9,"M","")</f>
        <v>7</v>
      </c>
      <c r="C5" s="175" t="str">
        <f>"Delta("&amp;A5&amp;"M,"&amp;B5&amp;"M)"</f>
        <v>Delta(1M,7M)</v>
      </c>
      <c r="D5" s="16">
        <f>_xll.qlCalendarAdvance(Calendar,SettlementDate,A5&amp;"M","mf")</f>
        <v>42398</v>
      </c>
      <c r="E5" s="16">
        <f>_xll.qlInterestRateIndexMaturity($D$10,D5)</f>
        <v>42580</v>
      </c>
      <c r="F5" s="76">
        <f>_xll.qlYieldTSDiscount(Discounting,D5,,AllTriggers)</f>
        <v>0.99968677449654142</v>
      </c>
      <c r="G5" s="76">
        <f>_xll.qlYieldTSDiscount(Discounting,E5,,AllTriggers)</f>
        <v>0.99725847732985418</v>
      </c>
      <c r="H5" s="78">
        <f>_xll.qlDayCounterYearFraction(DayCounter,D5,E5,,,Trigger)</f>
        <v>0.50555555555555554</v>
      </c>
      <c r="I5" s="17">
        <f t="shared" si="3"/>
        <v>4.816429515582114E-3</v>
      </c>
      <c r="J5" s="70">
        <f>LN((1+(_xll.qlInterpolationInterpolate(B6Minterpolation,D5,TRUE,AllTriggers)+I5)*H5)/(1+I5*H5))</f>
        <v>1.9617093815585433E-3</v>
      </c>
      <c r="K5" s="25">
        <f>_xll.qlDayCounterYearFraction(DayCounter,SettlementDate,D5,,,Trigger)</f>
        <v>8.0555555555555561E-2</v>
      </c>
      <c r="L5" s="25">
        <f>_xll.qlDayCounterYearFraction(DayCounter,SettlementDate,E5,,,Trigger)</f>
        <v>0.58611111111111114</v>
      </c>
      <c r="M5" s="25">
        <f>L5-K5</f>
        <v>0.50555555555555554</v>
      </c>
      <c r="N5" s="25">
        <f>(L5^2-K5^2)/2</f>
        <v>0.16851851851851854</v>
      </c>
      <c r="O5" s="25">
        <f>(L5^3-K5^3)/3</f>
        <v>6.6940600708733436E-2</v>
      </c>
      <c r="P5" s="176" t="b">
        <v>1</v>
      </c>
      <c r="R5" s="377"/>
      <c r="S5" s="96">
        <v>0.10224325560128029</v>
      </c>
      <c r="T5" s="97">
        <v>0.21580246913580248</v>
      </c>
      <c r="U5" s="98">
        <v>0.51111111111111118</v>
      </c>
      <c r="V5" s="86"/>
      <c r="W5" s="100">
        <v>3.2714179998134009E-3</v>
      </c>
      <c r="X5" s="103"/>
      <c r="Y5" s="117">
        <v>1.9706175527569492E-3</v>
      </c>
      <c r="AA5" s="96">
        <v>17.032238535912899</v>
      </c>
      <c r="AB5" s="97">
        <v>-23.072100313479591</v>
      </c>
      <c r="AC5" s="98">
        <v>7.9307328452018355</v>
      </c>
      <c r="AF5" s="200">
        <f>_xll.qlCalendarAdvance(Calendar,AF4,"1d","mf",,Trigger)</f>
        <v>42374</v>
      </c>
      <c r="AG5" s="25">
        <f>_xll.qlDayCounterYearFraction(DayCounter,SettlementDate,AF5,,,Trigger)</f>
        <v>1.3888888888888888E-2</v>
      </c>
      <c r="AH5" s="21">
        <f t="shared" si="0"/>
        <v>3.8212420219172669E-3</v>
      </c>
      <c r="AI5" s="21">
        <f t="shared" si="1"/>
        <v>3.6460919033110828E-3</v>
      </c>
      <c r="AJ5" s="21">
        <f t="shared" si="2"/>
        <v>3.3276110502162672E-3</v>
      </c>
    </row>
    <row r="6" spans="1:36" ht="12" customHeight="1" x14ac:dyDescent="0.2">
      <c r="A6" s="86">
        <v>2</v>
      </c>
      <c r="B6" s="197">
        <f t="shared" si="4"/>
        <v>8</v>
      </c>
      <c r="C6" s="175" t="str">
        <f>"Delta("&amp;A6&amp;"M,"&amp;B6&amp;"M)"</f>
        <v>Delta(2M,8M)</v>
      </c>
      <c r="D6" s="16">
        <f>_xll.qlCalendarAdvance(Calendar,SettlementDate,A6&amp;"M","mf")</f>
        <v>42429</v>
      </c>
      <c r="E6" s="16">
        <f>_xll.qlInterestRateIndexMaturity($D$10,D6)</f>
        <v>42613</v>
      </c>
      <c r="F6" s="76">
        <f>_xll.qlYieldTSDiscount(Discounting,D6,,AllTriggers)</f>
        <v>0.99937053608941584</v>
      </c>
      <c r="G6" s="76">
        <f>_xll.qlYieldTSDiscount(Discounting,E6,,AllTriggers)</f>
        <v>0.99665654922135349</v>
      </c>
      <c r="H6" s="78">
        <f>_xll.qlDayCounterYearFraction(DayCounter,D6,E6,,,Trigger)</f>
        <v>0.51111111111111107</v>
      </c>
      <c r="I6" s="17">
        <f t="shared" si="3"/>
        <v>5.3277875023516816E-3</v>
      </c>
      <c r="J6" s="70">
        <f>LN((1+(_xll.qlInterpolationInterpolate(B6Minterpolation,D6,TRUE,AllTriggers)+I6)*H6)/(1+I6*H6))</f>
        <v>1.9706175527569492E-3</v>
      </c>
      <c r="K6" s="25">
        <f>_xll.qlDayCounterYearFraction(DayCounter,SettlementDate,D6,,,Trigger)</f>
        <v>0.16666666666666666</v>
      </c>
      <c r="L6" s="25">
        <f>_xll.qlDayCounterYearFraction(DayCounter,SettlementDate,E6,,,Trigger)</f>
        <v>0.67777777777777781</v>
      </c>
      <c r="M6" s="25">
        <f>L6-K6</f>
        <v>0.51111111111111118</v>
      </c>
      <c r="N6" s="25">
        <f>(L6^2-K6^2)/2</f>
        <v>0.21580246913580248</v>
      </c>
      <c r="O6" s="25">
        <f>(L6^3-K6^3)/3</f>
        <v>0.10224325560128029</v>
      </c>
      <c r="P6" s="176" t="b">
        <v>1</v>
      </c>
      <c r="W6" s="104"/>
      <c r="X6" s="93"/>
      <c r="Y6" s="94"/>
      <c r="AF6" s="200">
        <f>_xll.qlCalendarAdvance(Calendar,AF5,"1d","mf",,Trigger)</f>
        <v>42375</v>
      </c>
      <c r="AG6" s="25">
        <f>_xll.qlDayCounterYearFraction(DayCounter,SettlementDate,AF6,,,Trigger)</f>
        <v>1.6666666666666666E-2</v>
      </c>
      <c r="AH6" s="21">
        <f t="shared" si="0"/>
        <v>3.8212420219172669E-3</v>
      </c>
      <c r="AI6" s="21">
        <f t="shared" si="1"/>
        <v>3.6481285325972012E-3</v>
      </c>
      <c r="AJ6" s="21">
        <f t="shared" si="2"/>
        <v>3.3385816414387495E-3</v>
      </c>
    </row>
    <row r="7" spans="1:36" ht="12" customHeight="1" x14ac:dyDescent="0.2">
      <c r="A7" s="86">
        <v>3</v>
      </c>
      <c r="B7" s="197">
        <f t="shared" si="4"/>
        <v>9</v>
      </c>
      <c r="C7" s="177" t="str">
        <f>"Delta("&amp;A7&amp;"M,"&amp;B7&amp;"M)"</f>
        <v>Delta(3M,9M)</v>
      </c>
      <c r="D7" s="178">
        <f>_xll.qlCalendarAdvance(Calendar,SettlementDate,A7&amp;"M","mf")</f>
        <v>42460</v>
      </c>
      <c r="E7" s="178">
        <f>_xll.qlInterestRateIndexMaturity($D$10,D7)</f>
        <v>42643</v>
      </c>
      <c r="F7" s="192">
        <f>_xll.qlYieldTSDiscount(Discounting,D7,,AllTriggers)</f>
        <v>0.9990118879961678</v>
      </c>
      <c r="G7" s="192">
        <f>_xll.qlYieldTSDiscount(Discounting,E7,,AllTriggers)</f>
        <v>0.99608350095019316</v>
      </c>
      <c r="H7" s="193">
        <f>_xll.qlDayCounterYearFraction(DayCounter,D7,E7,,,Trigger)</f>
        <v>0.5083333333333333</v>
      </c>
      <c r="I7" s="194">
        <f t="shared" si="3"/>
        <v>5.783412130029272E-3</v>
      </c>
      <c r="J7" s="179">
        <f>LN((1+(_xll.qlInterpolationInterpolate(B6Minterpolation,D7,TRUE,AllTriggers)+I7)*H7)/(1+I7*H7))</f>
        <v>1.9831284808540343E-3</v>
      </c>
      <c r="K7" s="180">
        <f>_xll.qlDayCounterYearFraction(DayCounter,SettlementDate,D7,,,Trigger)</f>
        <v>0.25277777777777777</v>
      </c>
      <c r="L7" s="180">
        <f>_xll.qlDayCounterYearFraction(DayCounter,SettlementDate,E7,,,Trigger)</f>
        <v>0.76111111111111107</v>
      </c>
      <c r="M7" s="180">
        <f>L7-K7</f>
        <v>0.5083333333333333</v>
      </c>
      <c r="N7" s="180">
        <f>(L7^2-K7^2)/2</f>
        <v>0.25769675925925928</v>
      </c>
      <c r="O7" s="180">
        <f>(L7^3-K7^3)/3</f>
        <v>0.14158416923868311</v>
      </c>
      <c r="P7" s="181" t="b">
        <v>0</v>
      </c>
      <c r="W7" s="104"/>
      <c r="X7" s="93"/>
      <c r="Y7" s="94"/>
      <c r="AF7" s="200">
        <f>_xll.qlCalendarAdvance(Calendar,AF6,"1d","mf",,Trigger)</f>
        <v>42376</v>
      </c>
      <c r="AG7" s="25">
        <f>_xll.qlDayCounterYearFraction(DayCounter,SettlementDate,AF7,,,Trigger)</f>
        <v>1.9444444444444445E-2</v>
      </c>
      <c r="AH7" s="21">
        <f t="shared" si="0"/>
        <v>3.8212420219172669E-3</v>
      </c>
      <c r="AI7" s="21">
        <f t="shared" si="1"/>
        <v>3.6501651618833196E-3</v>
      </c>
      <c r="AJ7" s="21">
        <f t="shared" si="2"/>
        <v>3.349462893041868E-3</v>
      </c>
    </row>
    <row r="8" spans="1:36" ht="12" customHeight="1" x14ac:dyDescent="0.2">
      <c r="B8" s="87"/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00">
        <f>_xll.qlCalendarAdvance(Calendar,AF7,"1d","mf",,Trigger)</f>
        <v>42377</v>
      </c>
      <c r="AG8" s="25">
        <f>_xll.qlDayCounterYearFraction(DayCounter,SettlementDate,AF8,,,Trigger)</f>
        <v>2.2222222222222223E-2</v>
      </c>
      <c r="AH8" s="21">
        <f t="shared" si="0"/>
        <v>3.8212420219172669E-3</v>
      </c>
      <c r="AI8" s="21">
        <f t="shared" si="1"/>
        <v>3.652201791169438E-3</v>
      </c>
      <c r="AJ8" s="21">
        <f t="shared" si="2"/>
        <v>3.3602548050256234E-3</v>
      </c>
    </row>
    <row r="9" spans="1:36" ht="12" customHeight="1" x14ac:dyDescent="0.2">
      <c r="C9" s="171" t="s">
        <v>135</v>
      </c>
      <c r="D9" s="190" t="s">
        <v>33</v>
      </c>
      <c r="R9" s="376" t="s">
        <v>89</v>
      </c>
      <c r="S9" s="105"/>
      <c r="T9" s="96">
        <f t="array" ref="T9:T10">_xll.ohFilter(N3:N7,P3:P7)</f>
        <v>0.12779320987654319</v>
      </c>
      <c r="U9" s="98">
        <f t="array" ref="U9:U10">_xll.ohFilter(M3:M7,P3:P7)</f>
        <v>0.50555555555555554</v>
      </c>
      <c r="V9" s="378" t="s">
        <v>28</v>
      </c>
      <c r="W9" s="100">
        <f t="array" ref="W9:W10">MMULT(AA9:AB10,Y9:Y10)</f>
        <v>7.3318654300261882E-4</v>
      </c>
      <c r="X9" s="378" t="s">
        <v>29</v>
      </c>
      <c r="Y9" s="117">
        <f t="array" ref="Y9:Y10">_xll.ohFilter(J3:J7,P3:P7)</f>
        <v>1.9318501333026182E-3</v>
      </c>
      <c r="AA9" s="96">
        <f t="array" ref="AA9:AB10">MINVERSE(T9:U10)</f>
        <v>-24.554755589238326</v>
      </c>
      <c r="AB9" s="98">
        <v>24.554755589238319</v>
      </c>
      <c r="AF9" s="200">
        <f>_xll.qlCalendarAdvance(Calendar,AF8,"1d","mf",,Trigger)</f>
        <v>42380</v>
      </c>
      <c r="AG9" s="25">
        <f>_xll.qlDayCounterYearFraction(DayCounter,SettlementDate,AF9,,,Trigger)</f>
        <v>3.0555555555555555E-2</v>
      </c>
      <c r="AH9" s="21">
        <f t="shared" si="0"/>
        <v>3.8212420219172669E-3</v>
      </c>
      <c r="AI9" s="21">
        <f t="shared" si="1"/>
        <v>3.6583116790277932E-3</v>
      </c>
      <c r="AJ9" s="21">
        <f t="shared" si="2"/>
        <v>3.3920945032607066E-3</v>
      </c>
    </row>
    <row r="10" spans="1:36" ht="12" customHeight="1" x14ac:dyDescent="0.2">
      <c r="C10" s="171" t="s">
        <v>101</v>
      </c>
      <c r="D10" s="190" t="str">
        <f>PROPER(Currency)&amp;IborType&amp;$D$9</f>
        <v>UsdLibor6M</v>
      </c>
      <c r="R10" s="376"/>
      <c r="S10" s="105"/>
      <c r="T10" s="96">
        <v>0.16851851851851854</v>
      </c>
      <c r="U10" s="98">
        <v>0.50555555555555554</v>
      </c>
      <c r="V10" s="378"/>
      <c r="W10" s="100">
        <v>3.6359087568804908E-3</v>
      </c>
      <c r="X10" s="378"/>
      <c r="Y10" s="117">
        <v>1.9617093815585433E-3</v>
      </c>
      <c r="AA10" s="96">
        <v>8.1849185297461098</v>
      </c>
      <c r="AB10" s="98">
        <v>-6.2068965517241308</v>
      </c>
      <c r="AF10" s="200">
        <f>_xll.qlCalendarAdvance(Calendar,AF9,"1d","mf",,Trigger)</f>
        <v>42381</v>
      </c>
      <c r="AG10" s="25">
        <f>_xll.qlDayCounterYearFraction(DayCounter,SettlementDate,AF10,,,Trigger)</f>
        <v>3.3333333333333333E-2</v>
      </c>
      <c r="AH10" s="21">
        <f t="shared" si="0"/>
        <v>3.8212420219172669E-3</v>
      </c>
      <c r="AI10" s="21">
        <f t="shared" si="1"/>
        <v>3.6603483083139112E-3</v>
      </c>
      <c r="AJ10" s="21">
        <f t="shared" si="2"/>
        <v>3.4025290567670074E-3</v>
      </c>
    </row>
    <row r="11" spans="1:36" ht="12" customHeight="1" x14ac:dyDescent="0.2">
      <c r="C11" s="171" t="s">
        <v>127</v>
      </c>
      <c r="D11" s="191" t="s">
        <v>81</v>
      </c>
      <c r="W11" s="104"/>
      <c r="X11" s="93"/>
      <c r="Y11" s="94"/>
      <c r="AF11" s="200">
        <f>_xll.qlCalendarAdvance(Calendar,AF10,"1d","mf",,Trigger)</f>
        <v>42382</v>
      </c>
      <c r="AG11" s="25">
        <f>_xll.qlDayCounterYearFraction(DayCounter,SettlementDate,AF11,,,Trigger)</f>
        <v>3.6111111111111108E-2</v>
      </c>
      <c r="AH11" s="21">
        <f t="shared" si="0"/>
        <v>3.8212420219172669E-3</v>
      </c>
      <c r="AI11" s="21">
        <f t="shared" si="1"/>
        <v>3.6623849376000296E-3</v>
      </c>
      <c r="AJ11" s="21">
        <f t="shared" si="2"/>
        <v>3.4128742706539439E-3</v>
      </c>
    </row>
    <row r="12" spans="1:36" ht="12" customHeight="1" x14ac:dyDescent="0.2">
      <c r="C12" s="171" t="s">
        <v>126</v>
      </c>
      <c r="D12" s="190" t="s">
        <v>131</v>
      </c>
      <c r="Q12" s="111"/>
      <c r="W12" s="95" t="s">
        <v>26</v>
      </c>
      <c r="X12" s="93"/>
      <c r="Y12" s="94"/>
      <c r="AF12" s="200">
        <f>_xll.qlCalendarAdvance(Calendar,AF11,"1d","mf",,Trigger)</f>
        <v>42383</v>
      </c>
      <c r="AG12" s="25">
        <f>_xll.qlDayCounterYearFraction(DayCounter,SettlementDate,AF12,,,Trigger)</f>
        <v>3.888888888888889E-2</v>
      </c>
      <c r="AH12" s="21">
        <f t="shared" si="0"/>
        <v>3.8212420219172669E-3</v>
      </c>
      <c r="AI12" s="21">
        <f t="shared" si="1"/>
        <v>3.664421566886148E-3</v>
      </c>
      <c r="AJ12" s="21">
        <f t="shared" si="2"/>
        <v>3.423130144921517E-3</v>
      </c>
    </row>
    <row r="13" spans="1:36" ht="12" customHeight="1" x14ac:dyDescent="0.2">
      <c r="N13" s="188" t="str">
        <f>"Synthetic Deposits "&amp;D9</f>
        <v>Synthetic Deposits 6M</v>
      </c>
      <c r="O13" s="188"/>
      <c r="P13" s="188"/>
      <c r="Q13" s="111"/>
      <c r="R13" s="106" t="s">
        <v>90</v>
      </c>
      <c r="U13" s="107">
        <f t="array" ref="U13">_xll.ohFilter(M3:M7,P3:P7)</f>
        <v>0.50555555555555554</v>
      </c>
      <c r="V13" s="106" t="s">
        <v>28</v>
      </c>
      <c r="W13" s="100">
        <f>MMULT(AA13,Y13)</f>
        <v>3.8212420219172669E-3</v>
      </c>
      <c r="X13" s="106" t="s">
        <v>29</v>
      </c>
      <c r="Y13" s="117">
        <f t="array" ref="Y13">_xll.ohFilter(J3:J7,P3:P7)</f>
        <v>1.9318501333026182E-3</v>
      </c>
      <c r="AA13" s="107">
        <f>MINVERSE(U13)</f>
        <v>1.9780219780219781</v>
      </c>
      <c r="AF13" s="200">
        <f>_xll.qlCalendarAdvance(Calendar,AF12,"1d","mf",,Trigger)</f>
        <v>42384</v>
      </c>
      <c r="AG13" s="25">
        <f>_xll.qlDayCounterYearFraction(DayCounter,SettlementDate,AF13,,,Trigger)</f>
        <v>4.1666666666666664E-2</v>
      </c>
      <c r="AH13" s="21">
        <f t="shared" si="0"/>
        <v>3.8212420219172669E-3</v>
      </c>
      <c r="AI13" s="21">
        <f t="shared" si="1"/>
        <v>3.6664581961722664E-3</v>
      </c>
      <c r="AJ13" s="21">
        <f t="shared" si="2"/>
        <v>3.4332966795697266E-3</v>
      </c>
    </row>
    <row r="14" spans="1:36" ht="12" customHeight="1" x14ac:dyDescent="0.2">
      <c r="C14" s="171" t="s">
        <v>97</v>
      </c>
      <c r="D14" s="171" t="s">
        <v>78</v>
      </c>
      <c r="E14" s="171" t="s">
        <v>79</v>
      </c>
      <c r="F14" s="195"/>
      <c r="G14" s="195"/>
      <c r="H14" s="195"/>
      <c r="I14" s="195"/>
      <c r="J14" s="172" t="s">
        <v>120</v>
      </c>
      <c r="K14" s="172" t="s">
        <v>121</v>
      </c>
      <c r="L14" s="172" t="s">
        <v>122</v>
      </c>
      <c r="M14" s="172" t="s">
        <v>123</v>
      </c>
      <c r="N14" s="189" t="s">
        <v>90</v>
      </c>
      <c r="O14" s="189" t="s">
        <v>89</v>
      </c>
      <c r="P14" s="189" t="s">
        <v>115</v>
      </c>
      <c r="Q14" s="111"/>
      <c r="AF14" s="200">
        <f>_xll.qlCalendarAdvance(Calendar,AF13,"1d","mf",,Trigger)</f>
        <v>42387</v>
      </c>
      <c r="AG14" s="25">
        <f>_xll.qlDayCounterYearFraction(DayCounter,SettlementDate,AF14,,,Trigger)</f>
        <v>0.05</v>
      </c>
      <c r="AH14" s="21">
        <f t="shared" si="0"/>
        <v>3.8212420219172669E-3</v>
      </c>
      <c r="AI14" s="21">
        <f t="shared" si="1"/>
        <v>3.6725680840306216E-3</v>
      </c>
      <c r="AJ14" s="21">
        <f t="shared" si="2"/>
        <v>3.4632602457981736E-3</v>
      </c>
    </row>
    <row r="15" spans="1:36" ht="12" customHeight="1" x14ac:dyDescent="0.2">
      <c r="C15" s="182" t="s">
        <v>34</v>
      </c>
      <c r="D15" s="22">
        <f t="shared" ref="D15:D24" si="5">SettlementDate</f>
        <v>42369</v>
      </c>
      <c r="E15" s="23">
        <f>_xll.qlCalendarAdvance(Calendar,SettlementDate,C15,"Following",,Trigger)</f>
        <v>42373</v>
      </c>
      <c r="F15" s="86"/>
      <c r="G15" s="86"/>
      <c r="H15" s="86"/>
      <c r="I15" s="86"/>
      <c r="J15" s="55">
        <f>_xll.qlDayCounterYearFraction(DayCounter,D15,E15,,,Trigger)</f>
        <v>1.1111111111111112E-2</v>
      </c>
      <c r="K15" s="51">
        <f>_xll.qlYieldTSDiscount(Discounting,D15,,AllTriggers)</f>
        <v>0.99996012451818017</v>
      </c>
      <c r="L15" s="51">
        <f>_xll.qlYieldTSDiscount(Discounting,E15,,AllTriggers)</f>
        <v>0.99992474050624691</v>
      </c>
      <c r="M15" s="56">
        <f>(K15/L15-1)/J15</f>
        <v>3.1848007604939887E-3</v>
      </c>
      <c r="N15" s="20">
        <f t="shared" ref="N15:N24" si="6">((1+M15*J15)*EXP($W$13*J15)-1)/J15</f>
        <v>7.0062591290809273E-3</v>
      </c>
      <c r="O15" s="20">
        <f>((1+J15*M15)*EXP($W$10*J15+0.5*$W$9*J15^2)-1)/J15</f>
        <v>6.8249851945578754E-3</v>
      </c>
      <c r="P15" s="20">
        <f>((1+J15*M15)*EXP($W$5*J15+0.5*$W$4*J15^2+1/3*$W$3*J15^3)-1)/J15</f>
        <v>6.4790812938153586E-3</v>
      </c>
      <c r="Q15" s="111"/>
      <c r="AF15" s="200">
        <f>_xll.qlCalendarAdvance(Calendar,AF14,"1d","mf",,Trigger)</f>
        <v>42388</v>
      </c>
      <c r="AG15" s="25">
        <f>_xll.qlDayCounterYearFraction(DayCounter,SettlementDate,AF15,,,Trigger)</f>
        <v>5.2777777777777778E-2</v>
      </c>
      <c r="AH15" s="21">
        <f t="shared" si="0"/>
        <v>3.8212420219172669E-3</v>
      </c>
      <c r="AI15" s="21">
        <f t="shared" si="1"/>
        <v>3.67460471331674E-3</v>
      </c>
      <c r="AJ15" s="21">
        <f t="shared" si="2"/>
        <v>3.4730694219689286E-3</v>
      </c>
    </row>
    <row r="16" spans="1:36" ht="12" customHeight="1" x14ac:dyDescent="0.2">
      <c r="C16" s="81" t="s">
        <v>35</v>
      </c>
      <c r="D16" s="16">
        <f>SettlementDate</f>
        <v>42369</v>
      </c>
      <c r="E16" s="24">
        <f>_xll.qlCalendarAdvance(Calendar,SettlementDate,C16,"Following",,Trigger)</f>
        <v>42376</v>
      </c>
      <c r="F16" s="86"/>
      <c r="G16" s="86"/>
      <c r="H16" s="86"/>
      <c r="I16" s="86"/>
      <c r="J16" s="25">
        <f>_xll.qlDayCounterYearFraction(DayCounter,D16,E16,,,Trigger)</f>
        <v>1.9444444444444445E-2</v>
      </c>
      <c r="K16" s="52">
        <f>_xll.qlYieldTSDiscount(Discounting,D16,,AllTriggers)</f>
        <v>0.99996012451818017</v>
      </c>
      <c r="L16" s="52">
        <f>_xll.qlYieldTSDiscount(Discounting,E16,,AllTriggers)</f>
        <v>0.99990032205579082</v>
      </c>
      <c r="M16" s="19">
        <f t="shared" ref="M16:M24" si="7">(K16/L16-1)/J16</f>
        <v>3.0758618041724717E-3</v>
      </c>
      <c r="N16" s="21">
        <f t="shared" si="6"/>
        <v>6.8974743433842479E-3</v>
      </c>
      <c r="O16" s="21">
        <f t="shared" ref="O16:O24" si="8">((1+J16*M16)*EXP($W$10*J16+0.5*$W$9*J16^2)-1)/J16</f>
        <v>6.7192456892062324E-3</v>
      </c>
      <c r="P16" s="21">
        <f t="shared" ref="P16:P24" si="9">((1+J16*M16)*EXP($W$5*J16+0.5*$W$4*J16^2+1/3*$W$3*J16^3)-1)/J16</f>
        <v>6.3869716462290017E-3</v>
      </c>
      <c r="Q16" s="111"/>
      <c r="AF16" s="200">
        <f>_xll.qlCalendarAdvance(Calendar,AF15,"1d","mf",,Trigger)</f>
        <v>42389</v>
      </c>
      <c r="AG16" s="25">
        <f>_xll.qlDayCounterYearFraction(DayCounter,SettlementDate,AF16,,,Trigger)</f>
        <v>5.5555555555555552E-2</v>
      </c>
      <c r="AH16" s="21">
        <f t="shared" si="0"/>
        <v>3.8212420219172669E-3</v>
      </c>
      <c r="AI16" s="21">
        <f t="shared" si="1"/>
        <v>3.6766413426028584E-3</v>
      </c>
      <c r="AJ16" s="21">
        <f t="shared" si="2"/>
        <v>3.4827892585203198E-3</v>
      </c>
    </row>
    <row r="17" spans="3:36" ht="12" customHeight="1" x14ac:dyDescent="0.2">
      <c r="C17" s="81" t="s">
        <v>36</v>
      </c>
      <c r="D17" s="16">
        <f t="shared" si="5"/>
        <v>42369</v>
      </c>
      <c r="E17" s="24">
        <f>_xll.qlCalendarAdvance(Calendar,SettlementDate,C17,"Following",,Trigger)</f>
        <v>42383</v>
      </c>
      <c r="F17" s="86"/>
      <c r="G17" s="86"/>
      <c r="H17" s="86"/>
      <c r="I17" s="86"/>
      <c r="J17" s="25">
        <f>_xll.qlDayCounterYearFraction(DayCounter,D17,E17,,,Trigger)</f>
        <v>3.888888888888889E-2</v>
      </c>
      <c r="K17" s="52">
        <f>_xll.qlYieldTSDiscount(Discounting,D17,,AllTriggers)</f>
        <v>0.99996012451818017</v>
      </c>
      <c r="L17" s="52">
        <f>_xll.qlYieldTSDiscount(Discounting,E17,,AllTriggers)</f>
        <v>0.99983345935946277</v>
      </c>
      <c r="M17" s="19">
        <f t="shared" si="7"/>
        <v>3.2576466118592962E-3</v>
      </c>
      <c r="N17" s="21">
        <f t="shared" si="6"/>
        <v>7.0796567083096307E-3</v>
      </c>
      <c r="O17" s="21">
        <f t="shared" si="8"/>
        <v>6.9085333166413977E-3</v>
      </c>
      <c r="P17" s="21">
        <f t="shared" si="9"/>
        <v>6.6070222238742305E-3</v>
      </c>
      <c r="Q17" s="111"/>
      <c r="AF17" s="200">
        <f>_xll.qlCalendarAdvance(Calendar,AF16,"1d","mf",,Trigger)</f>
        <v>42390</v>
      </c>
      <c r="AG17" s="25">
        <f>_xll.qlDayCounterYearFraction(DayCounter,SettlementDate,AF17,,,Trigger)</f>
        <v>5.8333333333333334E-2</v>
      </c>
      <c r="AH17" s="21">
        <f t="shared" si="0"/>
        <v>3.8212420219172669E-3</v>
      </c>
      <c r="AI17" s="21">
        <f t="shared" si="1"/>
        <v>3.6786779718889768E-3</v>
      </c>
      <c r="AJ17" s="21">
        <f t="shared" si="2"/>
        <v>3.4924197554523475E-3</v>
      </c>
    </row>
    <row r="18" spans="3:36" ht="12" customHeight="1" x14ac:dyDescent="0.2">
      <c r="C18" s="81" t="s">
        <v>37</v>
      </c>
      <c r="D18" s="16">
        <f t="shared" si="5"/>
        <v>42369</v>
      </c>
      <c r="E18" s="24">
        <f>_xll.qlCalendarAdvance(Calendar,SettlementDate,C18,"Following",,Trigger)</f>
        <v>42390</v>
      </c>
      <c r="F18" s="86"/>
      <c r="G18" s="86"/>
      <c r="H18" s="86"/>
      <c r="I18" s="86"/>
      <c r="J18" s="25">
        <f>_xll.qlDayCounterYearFraction(DayCounter,D18,E18,,,Trigger)</f>
        <v>5.8333333333333334E-2</v>
      </c>
      <c r="K18" s="52">
        <f>_xll.qlYieldTSDiscount(Discounting,D18,,AllTriggers)</f>
        <v>0.99996012451818017</v>
      </c>
      <c r="L18" s="52">
        <f>_xll.qlYieldTSDiscount(Discounting,E18,,AllTriggers)</f>
        <v>0.99976782970082889</v>
      </c>
      <c r="M18" s="19">
        <f t="shared" si="7"/>
        <v>3.2972481062440041E-3</v>
      </c>
      <c r="N18" s="21">
        <f t="shared" si="6"/>
        <v>7.1196511058805156E-3</v>
      </c>
      <c r="O18" s="21">
        <f t="shared" si="8"/>
        <v>6.9556351426428419E-3</v>
      </c>
      <c r="P18" s="21">
        <f t="shared" si="9"/>
        <v>6.6834356473106328E-3</v>
      </c>
      <c r="Q18" s="111"/>
      <c r="AF18" s="200">
        <f>_xll.qlCalendarAdvance(Calendar,AF17,"1d","mf",,Trigger)</f>
        <v>42391</v>
      </c>
      <c r="AG18" s="25">
        <f>_xll.qlDayCounterYearFraction(DayCounter,SettlementDate,AF18,,,Trigger)</f>
        <v>6.1111111111111109E-2</v>
      </c>
      <c r="AH18" s="21">
        <f t="shared" si="0"/>
        <v>3.8212420219172669E-3</v>
      </c>
      <c r="AI18" s="21">
        <f t="shared" si="1"/>
        <v>3.6807146011750952E-3</v>
      </c>
      <c r="AJ18" s="21">
        <f t="shared" si="2"/>
        <v>3.5019609127650122E-3</v>
      </c>
    </row>
    <row r="19" spans="3:36" ht="12" customHeight="1" x14ac:dyDescent="0.2">
      <c r="C19" s="81" t="s">
        <v>31</v>
      </c>
      <c r="D19" s="16">
        <f t="shared" si="5"/>
        <v>42369</v>
      </c>
      <c r="E19" s="24">
        <f>_xll.qlCalendarAdvance(Calendar,SettlementDate,C19,"mf",TRUE,Trigger)</f>
        <v>42398</v>
      </c>
      <c r="F19" s="86"/>
      <c r="G19" s="86"/>
      <c r="H19" s="86"/>
      <c r="I19" s="86"/>
      <c r="J19" s="25">
        <f>_xll.qlDayCounterYearFraction(DayCounter,D19,E19,,,Trigger)</f>
        <v>8.0555555555555561E-2</v>
      </c>
      <c r="K19" s="52">
        <f>_xll.qlYieldTSDiscount(Discounting,D19,,AllTriggers)</f>
        <v>0.99996012451818017</v>
      </c>
      <c r="L19" s="52">
        <f>_xll.qlYieldTSDiscount(Discounting,E19,,AllTriggers)</f>
        <v>0.99968677449654142</v>
      </c>
      <c r="M19" s="19">
        <f t="shared" si="7"/>
        <v>3.3943738178951943E-3</v>
      </c>
      <c r="N19" s="21">
        <f t="shared" si="6"/>
        <v>7.2172490565695956E-3</v>
      </c>
      <c r="O19" s="21">
        <f t="shared" si="8"/>
        <v>7.0613573127302912E-3</v>
      </c>
      <c r="P19" s="21">
        <f t="shared" si="9"/>
        <v>6.8208770133984806E-3</v>
      </c>
      <c r="Q19" s="111"/>
      <c r="AF19" s="200">
        <f>_xll.qlCalendarAdvance(Calendar,AF18,"1d","mf",,Trigger)</f>
        <v>42394</v>
      </c>
      <c r="AG19" s="25">
        <f>_xll.qlDayCounterYearFraction(DayCounter,SettlementDate,AF19,,,Trigger)</f>
        <v>6.9444444444444448E-2</v>
      </c>
      <c r="AH19" s="21">
        <f t="shared" si="0"/>
        <v>3.8212420219172669E-3</v>
      </c>
      <c r="AI19" s="21">
        <f t="shared" si="1"/>
        <v>3.6868244890334505E-3</v>
      </c>
      <c r="AJ19" s="21">
        <f t="shared" si="2"/>
        <v>3.5300483469868221E-3</v>
      </c>
    </row>
    <row r="20" spans="3:36" ht="12" customHeight="1" x14ac:dyDescent="0.2">
      <c r="C20" s="81" t="s">
        <v>38</v>
      </c>
      <c r="D20" s="16">
        <f t="shared" si="5"/>
        <v>42369</v>
      </c>
      <c r="E20" s="24">
        <f>_xll.qlCalendarAdvance(Calendar,SettlementDate,C20,"mf",TRUE,Trigger)</f>
        <v>42429</v>
      </c>
      <c r="F20" s="86"/>
      <c r="G20" s="86"/>
      <c r="H20" s="86"/>
      <c r="I20" s="86"/>
      <c r="J20" s="25">
        <f>_xll.qlDayCounterYearFraction(DayCounter,D20,E20,,,Trigger)</f>
        <v>0.16666666666666666</v>
      </c>
      <c r="K20" s="52">
        <f>_xll.qlYieldTSDiscount(Discounting,D20,,AllTriggers)</f>
        <v>0.99996012451818017</v>
      </c>
      <c r="L20" s="52">
        <f>_xll.qlYieldTSDiscount(Discounting,E20,,AllTriggers)</f>
        <v>0.99937053608941584</v>
      </c>
      <c r="M20" s="19">
        <f t="shared" si="7"/>
        <v>3.5397587229542005E-3</v>
      </c>
      <c r="N20" s="21">
        <f t="shared" si="6"/>
        <v>7.3644729246096219E-3</v>
      </c>
      <c r="O20" s="21">
        <f t="shared" si="8"/>
        <v>7.2400873391114118E-3</v>
      </c>
      <c r="P20" s="21">
        <f t="shared" si="9"/>
        <v>7.1045909280709196E-3</v>
      </c>
      <c r="Q20" s="111"/>
      <c r="AF20" s="200">
        <f>_xll.qlCalendarAdvance(Calendar,AF19,"1d","mf",,Trigger)</f>
        <v>42395</v>
      </c>
      <c r="AG20" s="25">
        <f>_xll.qlDayCounterYearFraction(DayCounter,SettlementDate,AF20,,,Trigger)</f>
        <v>7.2222222222222215E-2</v>
      </c>
      <c r="AH20" s="21">
        <f t="shared" si="0"/>
        <v>3.8212420219172669E-3</v>
      </c>
      <c r="AI20" s="21">
        <f t="shared" si="1"/>
        <v>3.6888611183195689E-3</v>
      </c>
      <c r="AJ20" s="21">
        <f t="shared" si="2"/>
        <v>3.5392321458220318E-3</v>
      </c>
    </row>
    <row r="21" spans="3:36" ht="12" customHeight="1" x14ac:dyDescent="0.2">
      <c r="C21" s="81" t="s">
        <v>32</v>
      </c>
      <c r="D21" s="16">
        <f t="shared" si="5"/>
        <v>42369</v>
      </c>
      <c r="E21" s="24">
        <f>_xll.qlCalendarAdvance(Calendar,SettlementDate,C21,"mf",TRUE,Trigger)</f>
        <v>42460</v>
      </c>
      <c r="F21" s="86"/>
      <c r="G21" s="86"/>
      <c r="H21" s="86"/>
      <c r="I21" s="86"/>
      <c r="J21" s="25">
        <f>_xll.qlDayCounterYearFraction(DayCounter,D21,E21,,,Trigger)</f>
        <v>0.25277777777777777</v>
      </c>
      <c r="K21" s="52">
        <f>_xll.qlYieldTSDiscount(Discounting,D21,,AllTriggers)</f>
        <v>0.99996012451818017</v>
      </c>
      <c r="L21" s="52">
        <f>_xll.qlYieldTSDiscount(Discounting,E21,,AllTriggers)</f>
        <v>0.9990118879961678</v>
      </c>
      <c r="M21" s="19">
        <f t="shared" si="7"/>
        <v>3.7549756983691206E-3</v>
      </c>
      <c r="N21" s="21">
        <f t="shared" si="6"/>
        <v>7.5816926088011017E-3</v>
      </c>
      <c r="O21" s="21">
        <f t="shared" si="8"/>
        <v>7.4888494696050975E-3</v>
      </c>
      <c r="P21" s="21">
        <f t="shared" si="9"/>
        <v>7.4297965179292141E-3</v>
      </c>
      <c r="Q21" s="111"/>
      <c r="AF21" s="200">
        <f>_xll.qlCalendarAdvance(Calendar,AF20,"1d","mf",,Trigger)</f>
        <v>42396</v>
      </c>
      <c r="AG21" s="25">
        <f>_xll.qlDayCounterYearFraction(DayCounter,SettlementDate,AF21,,,Trigger)</f>
        <v>7.4999999999999997E-2</v>
      </c>
      <c r="AH21" s="21">
        <f t="shared" si="0"/>
        <v>3.8212420219172669E-3</v>
      </c>
      <c r="AI21" s="21">
        <f t="shared" si="1"/>
        <v>3.6908977476056873E-3</v>
      </c>
      <c r="AJ21" s="21">
        <f t="shared" si="2"/>
        <v>3.5483266050378775E-3</v>
      </c>
    </row>
    <row r="22" spans="3:36" ht="12" customHeight="1" x14ac:dyDescent="0.2">
      <c r="C22" s="81" t="s">
        <v>39</v>
      </c>
      <c r="D22" s="16">
        <f t="shared" si="5"/>
        <v>42369</v>
      </c>
      <c r="E22" s="24">
        <f>_xll.qlCalendarAdvance(Calendar,SettlementDate,C22,"mf",TRUE,Trigger)</f>
        <v>42489</v>
      </c>
      <c r="F22" s="86"/>
      <c r="G22" s="86"/>
      <c r="H22" s="86"/>
      <c r="I22" s="86"/>
      <c r="J22" s="25">
        <f>_xll.qlDayCounterYearFraction(DayCounter,D22,E22,,,Trigger)</f>
        <v>0.33333333333333331</v>
      </c>
      <c r="K22" s="52">
        <f>_xll.qlYieldTSDiscount(Discounting,D22,,AllTriggers)</f>
        <v>0.99996012451818017</v>
      </c>
      <c r="L22" s="52">
        <f>_xll.qlYieldTSDiscount(Discounting,E22,,AllTriggers)</f>
        <v>0.99861567609632995</v>
      </c>
      <c r="M22" s="19">
        <f t="shared" si="7"/>
        <v>4.0389364618402812E-3</v>
      </c>
      <c r="N22" s="21">
        <f t="shared" si="6"/>
        <v>7.8677610282216204E-3</v>
      </c>
      <c r="O22" s="21">
        <f t="shared" si="8"/>
        <v>7.8044606080753809E-3</v>
      </c>
      <c r="P22" s="21">
        <f t="shared" si="9"/>
        <v>7.7910397614087135E-3</v>
      </c>
      <c r="Q22" s="111"/>
      <c r="AF22" s="200">
        <f>_xll.qlCalendarAdvance(Calendar,AF21,"1d","mf",,Trigger)</f>
        <v>42397</v>
      </c>
      <c r="AG22" s="25">
        <f>_xll.qlDayCounterYearFraction(DayCounter,SettlementDate,AF22,,,Trigger)</f>
        <v>7.7777777777777779E-2</v>
      </c>
      <c r="AH22" s="21">
        <f t="shared" si="0"/>
        <v>3.8212420219172669E-3</v>
      </c>
      <c r="AI22" s="21">
        <f t="shared" si="1"/>
        <v>3.6929343768918057E-3</v>
      </c>
      <c r="AJ22" s="21">
        <f t="shared" si="2"/>
        <v>3.5573317246343598E-3</v>
      </c>
    </row>
    <row r="23" spans="3:36" ht="12" customHeight="1" x14ac:dyDescent="0.2">
      <c r="C23" s="81" t="s">
        <v>40</v>
      </c>
      <c r="D23" s="16">
        <f t="shared" si="5"/>
        <v>42369</v>
      </c>
      <c r="E23" s="24">
        <f>_xll.qlCalendarAdvance(Calendar,SettlementDate,C23,"mf",TRUE,Trigger)</f>
        <v>42521</v>
      </c>
      <c r="F23" s="86"/>
      <c r="G23" s="86"/>
      <c r="H23" s="86"/>
      <c r="I23" s="86"/>
      <c r="J23" s="25">
        <f>_xll.qlDayCounterYearFraction(DayCounter,D23,E23,,,Trigger)</f>
        <v>0.42222222222222222</v>
      </c>
      <c r="K23" s="52">
        <f>_xll.qlYieldTSDiscount(Discounting,D23,,AllTriggers)</f>
        <v>0.99996012451818017</v>
      </c>
      <c r="L23" s="52">
        <f>_xll.qlYieldTSDiscount(Discounting,E23,,AllTriggers)</f>
        <v>0.99816874293523461</v>
      </c>
      <c r="M23" s="19">
        <f t="shared" si="7"/>
        <v>4.2505296668261588E-3</v>
      </c>
      <c r="N23" s="21">
        <f t="shared" si="6"/>
        <v>8.0817193649537038E-3</v>
      </c>
      <c r="O23" s="21">
        <f t="shared" si="8"/>
        <v>8.0510658800701431E-3</v>
      </c>
      <c r="P23" s="21">
        <f t="shared" si="9"/>
        <v>8.0589096830777814E-3</v>
      </c>
      <c r="Q23" s="111"/>
      <c r="AF23" s="200">
        <f>_xll.qlCalendarAdvance(Calendar,AF22,"1d","mf",,Trigger)</f>
        <v>42398</v>
      </c>
      <c r="AG23" s="25">
        <f>_xll.qlDayCounterYearFraction(DayCounter,SettlementDate,AF23,,,Trigger)</f>
        <v>8.0555555555555561E-2</v>
      </c>
      <c r="AH23" s="21">
        <f t="shared" si="0"/>
        <v>3.8212420219172669E-3</v>
      </c>
      <c r="AI23" s="21">
        <f t="shared" si="1"/>
        <v>3.6949710061779241E-3</v>
      </c>
      <c r="AJ23" s="21">
        <f t="shared" si="2"/>
        <v>3.5662475046114783E-3</v>
      </c>
    </row>
    <row r="24" spans="3:36" ht="12" customHeight="1" x14ac:dyDescent="0.2">
      <c r="C24" s="183" t="s">
        <v>33</v>
      </c>
      <c r="D24" s="178">
        <f t="shared" si="5"/>
        <v>42369</v>
      </c>
      <c r="E24" s="184">
        <f>_xll.qlCalendarAdvance(Calendar,SettlementDate,C24,"mf",TRUE,Trigger)</f>
        <v>42551</v>
      </c>
      <c r="F24" s="109"/>
      <c r="G24" s="109"/>
      <c r="H24" s="109"/>
      <c r="I24" s="109"/>
      <c r="J24" s="180">
        <f>_xll.qlDayCounterYearFraction(DayCounter,D24,E24,,,Trigger)</f>
        <v>0.50555555555555554</v>
      </c>
      <c r="K24" s="185">
        <f>_xll.qlYieldTSDiscount(Discounting,D24,,AllTriggers)</f>
        <v>0.99996012451818017</v>
      </c>
      <c r="L24" s="185">
        <f>_xll.qlYieldTSDiscount(Discounting,E24,,AllTriggers)</f>
        <v>0.9977198315673238</v>
      </c>
      <c r="M24" s="198">
        <f t="shared" si="7"/>
        <v>4.4414760073879728E-3</v>
      </c>
      <c r="N24" s="26">
        <f t="shared" si="6"/>
        <v>8.2750000000000792E-3</v>
      </c>
      <c r="O24" s="26">
        <f t="shared" si="8"/>
        <v>8.2750000000000792E-3</v>
      </c>
      <c r="P24" s="26">
        <f t="shared" si="9"/>
        <v>8.2750000000000792E-3</v>
      </c>
      <c r="AF24" s="200">
        <f>_xll.qlCalendarAdvance(Calendar,AF23,"1d","mf",,Trigger)</f>
        <v>42401</v>
      </c>
      <c r="AG24" s="25">
        <f>_xll.qlDayCounterYearFraction(DayCounter,SettlementDate,AF24,,,Trigger)</f>
        <v>8.8888888888888892E-2</v>
      </c>
      <c r="AH24" s="21">
        <f t="shared" si="0"/>
        <v>3.8212420219172669E-3</v>
      </c>
      <c r="AI24" s="21">
        <f t="shared" si="1"/>
        <v>3.7010808940362793E-3</v>
      </c>
      <c r="AJ24" s="21">
        <f t="shared" si="2"/>
        <v>3.5924588068266521E-3</v>
      </c>
    </row>
    <row r="25" spans="3:36" ht="12" customHeight="1" x14ac:dyDescent="0.2">
      <c r="AF25" s="200">
        <f>_xll.qlCalendarAdvance(Calendar,AF24,"1d","mf",,Trigger)</f>
        <v>42402</v>
      </c>
      <c r="AG25" s="25">
        <f>_xll.qlDayCounterYearFraction(DayCounter,SettlementDate,AF25,,,Trigger)</f>
        <v>9.166666666666666E-2</v>
      </c>
      <c r="AH25" s="21">
        <f t="shared" si="0"/>
        <v>3.8212420219172669E-3</v>
      </c>
      <c r="AI25" s="21">
        <f t="shared" si="1"/>
        <v>3.7031175233223977E-3</v>
      </c>
      <c r="AJ25" s="21">
        <f t="shared" si="2"/>
        <v>3.6010172283263159E-3</v>
      </c>
    </row>
    <row r="26" spans="3:36" ht="12" customHeight="1" x14ac:dyDescent="0.2">
      <c r="C26" s="171" t="s">
        <v>103</v>
      </c>
      <c r="AF26" s="200">
        <f>_xll.qlCalendarAdvance(Calendar,AF25,"1d","mf",,Trigger)</f>
        <v>42403</v>
      </c>
      <c r="AG26" s="25">
        <f>_xll.qlDayCounterYearFraction(DayCounter,SettlementDate,AF26,,,Trigger)</f>
        <v>9.4444444444444442E-2</v>
      </c>
      <c r="AH26" s="21">
        <f t="shared" si="0"/>
        <v>3.8212420219172669E-3</v>
      </c>
      <c r="AI26" s="21">
        <f t="shared" si="1"/>
        <v>3.7051541526085157E-3</v>
      </c>
      <c r="AJ26" s="21">
        <f t="shared" si="2"/>
        <v>3.6094863102066163E-3</v>
      </c>
    </row>
    <row r="27" spans="3:36" ht="12" customHeight="1" x14ac:dyDescent="0.2">
      <c r="C27" s="113" t="s">
        <v>88</v>
      </c>
      <c r="AF27" s="200">
        <f>_xll.qlCalendarAdvance(Calendar,AF26,"1d","mf",,Trigger)</f>
        <v>42404</v>
      </c>
      <c r="AG27" s="25">
        <f>_xll.qlDayCounterYearFraction(DayCounter,SettlementDate,AF27,,,Trigger)</f>
        <v>9.7222222222222224E-2</v>
      </c>
      <c r="AH27" s="21">
        <f t="shared" si="0"/>
        <v>3.8212420219172669E-3</v>
      </c>
      <c r="AI27" s="21">
        <f t="shared" si="1"/>
        <v>3.7071907818946341E-3</v>
      </c>
      <c r="AJ27" s="21">
        <f t="shared" si="2"/>
        <v>3.6178660524675533E-3</v>
      </c>
    </row>
    <row r="28" spans="3:36" ht="12" customHeight="1" x14ac:dyDescent="0.2">
      <c r="C28" s="21">
        <f t="shared" ref="C28:C37" si="10">IF($C$27="FLAT",N15,IF($C$27="linear",O15,P15))</f>
        <v>6.4790812938153586E-3</v>
      </c>
      <c r="AF28" s="200">
        <f>_xll.qlCalendarAdvance(Calendar,AF27,"1d","mf",,Trigger)</f>
        <v>42405</v>
      </c>
      <c r="AG28" s="25">
        <f>_xll.qlDayCounterYearFraction(DayCounter,SettlementDate,AF28,,,Trigger)</f>
        <v>0.1</v>
      </c>
      <c r="AH28" s="21">
        <f t="shared" si="0"/>
        <v>3.8212420219172669E-3</v>
      </c>
      <c r="AI28" s="21">
        <f t="shared" si="1"/>
        <v>3.7092274111807525E-3</v>
      </c>
      <c r="AJ28" s="21">
        <f t="shared" si="2"/>
        <v>3.6261564551091263E-3</v>
      </c>
    </row>
    <row r="29" spans="3:36" ht="12" customHeight="1" x14ac:dyDescent="0.2">
      <c r="C29" s="21">
        <f t="shared" si="10"/>
        <v>6.3869716462290017E-3</v>
      </c>
      <c r="AF29" s="200">
        <f>_xll.qlCalendarAdvance(Calendar,AF28,"1d","mf",,Trigger)</f>
        <v>42408</v>
      </c>
      <c r="AG29" s="25">
        <f>_xll.qlDayCounterYearFraction(DayCounter,SettlementDate,AF29,,,Trigger)</f>
        <v>0.10833333333333334</v>
      </c>
      <c r="AH29" s="21">
        <f t="shared" si="0"/>
        <v>3.8212420219172669E-3</v>
      </c>
      <c r="AI29" s="21">
        <f t="shared" si="1"/>
        <v>3.7153372990391077E-3</v>
      </c>
      <c r="AJ29" s="21">
        <f t="shared" si="2"/>
        <v>3.650491625317664E-3</v>
      </c>
    </row>
    <row r="30" spans="3:36" ht="12" customHeight="1" x14ac:dyDescent="0.2">
      <c r="C30" s="21">
        <f t="shared" si="10"/>
        <v>6.6070222238742305E-3</v>
      </c>
      <c r="AF30" s="200">
        <f>_xll.qlCalendarAdvance(Calendar,AF29,"1d","mf",,Trigger)</f>
        <v>42409</v>
      </c>
      <c r="AG30" s="25">
        <f>_xll.qlDayCounterYearFraction(DayCounter,SettlementDate,AF30,,,Trigger)</f>
        <v>0.1111111111111111</v>
      </c>
      <c r="AH30" s="21">
        <f t="shared" si="0"/>
        <v>3.8212420219172669E-3</v>
      </c>
      <c r="AI30" s="21">
        <f t="shared" si="1"/>
        <v>3.7173739283252261E-3</v>
      </c>
      <c r="AJ30" s="21">
        <f t="shared" si="2"/>
        <v>3.6584246694817825E-3</v>
      </c>
    </row>
    <row r="31" spans="3:36" ht="12" customHeight="1" x14ac:dyDescent="0.2">
      <c r="C31" s="21">
        <f t="shared" si="10"/>
        <v>6.6834356473106328E-3</v>
      </c>
      <c r="AF31" s="200">
        <f>_xll.qlCalendarAdvance(Calendar,AF30,"1d","mf",,Trigger)</f>
        <v>42410</v>
      </c>
      <c r="AG31" s="25">
        <f>_xll.qlDayCounterYearFraction(DayCounter,SettlementDate,AF31,,,Trigger)</f>
        <v>0.11388888888888889</v>
      </c>
      <c r="AH31" s="21">
        <f t="shared" si="0"/>
        <v>3.8212420219172669E-3</v>
      </c>
      <c r="AI31" s="21">
        <f t="shared" si="1"/>
        <v>3.7194105576113445E-3</v>
      </c>
      <c r="AJ31" s="21">
        <f t="shared" si="2"/>
        <v>3.6662683740265375E-3</v>
      </c>
    </row>
    <row r="32" spans="3:36" ht="12" customHeight="1" x14ac:dyDescent="0.2">
      <c r="C32" s="21">
        <f t="shared" si="10"/>
        <v>6.8208770133984806E-3</v>
      </c>
      <c r="AF32" s="200">
        <f>_xll.qlCalendarAdvance(Calendar,AF31,"1d","mf",,Trigger)</f>
        <v>42411</v>
      </c>
      <c r="AG32" s="25">
        <f>_xll.qlDayCounterYearFraction(DayCounter,SettlementDate,AF32,,,Trigger)</f>
        <v>0.11666666666666667</v>
      </c>
      <c r="AH32" s="21">
        <f t="shared" si="0"/>
        <v>3.8212420219172669E-3</v>
      </c>
      <c r="AI32" s="21">
        <f t="shared" si="1"/>
        <v>3.7214471868974629E-3</v>
      </c>
      <c r="AJ32" s="21">
        <f t="shared" si="2"/>
        <v>3.6740227389519286E-3</v>
      </c>
    </row>
    <row r="33" spans="3:36" ht="12" customHeight="1" x14ac:dyDescent="0.2">
      <c r="C33" s="21">
        <f t="shared" si="10"/>
        <v>7.1045909280709196E-3</v>
      </c>
      <c r="AF33" s="200">
        <f>_xll.qlCalendarAdvance(Calendar,AF32,"1d","mf",,Trigger)</f>
        <v>42412</v>
      </c>
      <c r="AG33" s="25">
        <f>_xll.qlDayCounterYearFraction(DayCounter,SettlementDate,AF33,,,Trigger)</f>
        <v>0.11944444444444445</v>
      </c>
      <c r="AH33" s="21">
        <f t="shared" si="0"/>
        <v>3.8212420219172669E-3</v>
      </c>
      <c r="AI33" s="21">
        <f t="shared" si="1"/>
        <v>3.7234838161835813E-3</v>
      </c>
      <c r="AJ33" s="21">
        <f t="shared" si="2"/>
        <v>3.6816877642579563E-3</v>
      </c>
    </row>
    <row r="34" spans="3:36" ht="12" customHeight="1" x14ac:dyDescent="0.2">
      <c r="C34" s="21">
        <f t="shared" si="10"/>
        <v>7.4297965179292141E-3</v>
      </c>
      <c r="AF34" s="200">
        <f>_xll.qlCalendarAdvance(Calendar,AF33,"1d","mf",,Trigger)</f>
        <v>42415</v>
      </c>
      <c r="AG34" s="25">
        <f>_xll.qlDayCounterYearFraction(DayCounter,SettlementDate,AF34,,,Trigger)</f>
        <v>0.12777777777777777</v>
      </c>
      <c r="AH34" s="21">
        <f t="shared" si="0"/>
        <v>3.8212420219172669E-3</v>
      </c>
      <c r="AI34" s="21">
        <f t="shared" si="1"/>
        <v>3.7295937040419365E-3</v>
      </c>
      <c r="AJ34" s="21">
        <f t="shared" si="2"/>
        <v>3.704146802459857E-3</v>
      </c>
    </row>
    <row r="35" spans="3:36" ht="12" customHeight="1" x14ac:dyDescent="0.2">
      <c r="C35" s="21">
        <f t="shared" si="10"/>
        <v>7.7910397614087135E-3</v>
      </c>
      <c r="AF35" s="200">
        <f>_xll.qlCalendarAdvance(Calendar,AF34,"1d","mf",,Trigger)</f>
        <v>42416</v>
      </c>
      <c r="AG35" s="25">
        <f>_xll.qlDayCounterYearFraction(DayCounter,SettlementDate,AF35,,,Trigger)</f>
        <v>0.13055555555555556</v>
      </c>
      <c r="AH35" s="21">
        <f t="shared" ref="AH35:AH66" si="11">$W$13</f>
        <v>3.8212420219172669E-3</v>
      </c>
      <c r="AI35" s="21">
        <f t="shared" ref="AI35:AI66" si="12">$W$10+$W$9*AG35</f>
        <v>3.7316303333280549E-3</v>
      </c>
      <c r="AJ35" s="21">
        <f t="shared" ref="AJ35:AJ66" si="13">($W$5+$W$4*AG35+$W$3*AG35^2)</f>
        <v>3.71145446928843E-3</v>
      </c>
    </row>
    <row r="36" spans="3:36" ht="12" customHeight="1" x14ac:dyDescent="0.2">
      <c r="C36" s="21">
        <f t="shared" si="10"/>
        <v>8.0589096830777814E-3</v>
      </c>
      <c r="AF36" s="200">
        <f>_xll.qlCalendarAdvance(Calendar,AF35,"1d","mf",,Trigger)</f>
        <v>42417</v>
      </c>
      <c r="AG36" s="25">
        <f>_xll.qlDayCounterYearFraction(DayCounter,SettlementDate,AF36,,,Trigger)</f>
        <v>0.13333333333333333</v>
      </c>
      <c r="AH36" s="21">
        <f t="shared" si="11"/>
        <v>3.8212420219172669E-3</v>
      </c>
      <c r="AI36" s="21">
        <f t="shared" si="12"/>
        <v>3.7336669626141733E-3</v>
      </c>
      <c r="AJ36" s="21">
        <f t="shared" si="13"/>
        <v>3.7186727964976397E-3</v>
      </c>
    </row>
    <row r="37" spans="3:36" ht="12" customHeight="1" x14ac:dyDescent="0.2">
      <c r="C37" s="26">
        <f t="shared" si="10"/>
        <v>8.2750000000000792E-3</v>
      </c>
      <c r="AF37" s="200">
        <f>_xll.qlCalendarAdvance(Calendar,AF36,"1d","mf",,Trigger)</f>
        <v>42418</v>
      </c>
      <c r="AG37" s="25">
        <f>_xll.qlDayCounterYearFraction(DayCounter,SettlementDate,AF37,,,Trigger)</f>
        <v>0.1361111111111111</v>
      </c>
      <c r="AH37" s="21">
        <f t="shared" si="11"/>
        <v>3.8212420219172669E-3</v>
      </c>
      <c r="AI37" s="21">
        <f t="shared" si="12"/>
        <v>3.7357035919002917E-3</v>
      </c>
      <c r="AJ37" s="21">
        <f t="shared" si="13"/>
        <v>3.7258017840874854E-3</v>
      </c>
    </row>
    <row r="38" spans="3:36" x14ac:dyDescent="0.2">
      <c r="AF38" s="200">
        <f>_xll.qlCalendarAdvance(Calendar,AF37,"1d","mf",,Trigger)</f>
        <v>42419</v>
      </c>
      <c r="AG38" s="25">
        <f>_xll.qlDayCounterYearFraction(DayCounter,SettlementDate,AF38,,,Trigger)</f>
        <v>0.1388888888888889</v>
      </c>
      <c r="AH38" s="21">
        <f t="shared" si="11"/>
        <v>3.8212420219172669E-3</v>
      </c>
      <c r="AI38" s="21">
        <f t="shared" si="12"/>
        <v>3.7377402211864101E-3</v>
      </c>
      <c r="AJ38" s="21">
        <f t="shared" si="13"/>
        <v>3.7328414320579677E-3</v>
      </c>
    </row>
    <row r="39" spans="3:36" x14ac:dyDescent="0.2">
      <c r="AF39" s="200">
        <f>_xll.qlCalendarAdvance(Calendar,AF38,"1d","mf",,Trigger)</f>
        <v>42422</v>
      </c>
      <c r="AG39" s="25">
        <f>_xll.qlDayCounterYearFraction(DayCounter,SettlementDate,AF39,,,Trigger)</f>
        <v>0.14722222222222223</v>
      </c>
      <c r="AH39" s="21">
        <f t="shared" si="11"/>
        <v>3.8212420219172669E-3</v>
      </c>
      <c r="AI39" s="21">
        <f t="shared" si="12"/>
        <v>3.7438501090447654E-3</v>
      </c>
      <c r="AJ39" s="21">
        <f t="shared" si="13"/>
        <v>3.7534243382532318E-3</v>
      </c>
    </row>
    <row r="40" spans="3:36" x14ac:dyDescent="0.2">
      <c r="AF40" s="200">
        <f>_xll.qlCalendarAdvance(Calendar,AF39,"1d","mf",,Trigger)</f>
        <v>42423</v>
      </c>
      <c r="AG40" s="25">
        <f>_xll.qlDayCounterYearFraction(DayCounter,SettlementDate,AF40,,,Trigger)</f>
        <v>0.15</v>
      </c>
      <c r="AH40" s="21">
        <f t="shared" si="11"/>
        <v>3.8212420219172669E-3</v>
      </c>
      <c r="AI40" s="21">
        <f t="shared" si="12"/>
        <v>3.7458867383308838E-3</v>
      </c>
      <c r="AJ40" s="21">
        <f t="shared" si="13"/>
        <v>3.7601066277462595E-3</v>
      </c>
    </row>
    <row r="41" spans="3:36" x14ac:dyDescent="0.2">
      <c r="N41" s="111"/>
      <c r="O41" s="111"/>
      <c r="AF41" s="200">
        <f>_xll.qlCalendarAdvance(Calendar,AF40,"1d","mf",,Trigger)</f>
        <v>42424</v>
      </c>
      <c r="AG41" s="25">
        <f>_xll.qlDayCounterYearFraction(DayCounter,SettlementDate,AF41,,,Trigger)</f>
        <v>0.15277777777777779</v>
      </c>
      <c r="AH41" s="21">
        <f t="shared" si="11"/>
        <v>3.8212420219172669E-3</v>
      </c>
      <c r="AI41" s="21">
        <f t="shared" si="12"/>
        <v>3.7479233676170022E-3</v>
      </c>
      <c r="AJ41" s="21">
        <f t="shared" si="13"/>
        <v>3.7666995776199238E-3</v>
      </c>
    </row>
    <row r="42" spans="3:36" x14ac:dyDescent="0.2">
      <c r="AF42" s="200">
        <f>_xll.qlCalendarAdvance(Calendar,AF41,"1d","mf",,Trigger)</f>
        <v>42425</v>
      </c>
      <c r="AG42" s="25">
        <f>_xll.qlDayCounterYearFraction(DayCounter,SettlementDate,AF42,,,Trigger)</f>
        <v>0.15555555555555556</v>
      </c>
      <c r="AH42" s="21">
        <f t="shared" si="11"/>
        <v>3.8212420219172669E-3</v>
      </c>
      <c r="AI42" s="21">
        <f t="shared" si="12"/>
        <v>3.7499599969031206E-3</v>
      </c>
      <c r="AJ42" s="21">
        <f t="shared" si="13"/>
        <v>3.7732031878742237E-3</v>
      </c>
    </row>
    <row r="43" spans="3:36" ht="11.25" customHeight="1" x14ac:dyDescent="0.2">
      <c r="AF43" s="200">
        <f>_xll.qlCalendarAdvance(Calendar,AF42,"1d","mf",,Trigger)</f>
        <v>42426</v>
      </c>
      <c r="AG43" s="25">
        <f>_xll.qlDayCounterYearFraction(DayCounter,SettlementDate,AF43,,,Trigger)</f>
        <v>0.15833333333333333</v>
      </c>
      <c r="AH43" s="21">
        <f t="shared" si="11"/>
        <v>3.8212420219172669E-3</v>
      </c>
      <c r="AI43" s="21">
        <f t="shared" si="12"/>
        <v>3.7519966261892385E-3</v>
      </c>
      <c r="AJ43" s="21">
        <f t="shared" si="13"/>
        <v>3.7796174585091602E-3</v>
      </c>
    </row>
    <row r="44" spans="3:36" x14ac:dyDescent="0.2">
      <c r="AF44" s="200">
        <f>_xll.qlCalendarAdvance(Calendar,AF43,"1d","mf",,Trigger)</f>
        <v>42429</v>
      </c>
      <c r="AG44" s="25">
        <f>_xll.qlDayCounterYearFraction(DayCounter,SettlementDate,AF44,,,Trigger)</f>
        <v>0.16666666666666666</v>
      </c>
      <c r="AH44" s="21">
        <f t="shared" si="11"/>
        <v>3.8212420219172669E-3</v>
      </c>
      <c r="AI44" s="21">
        <f t="shared" si="12"/>
        <v>3.7581065140475938E-3</v>
      </c>
      <c r="AJ44" s="21">
        <f t="shared" si="13"/>
        <v>3.7983242326977886E-3</v>
      </c>
    </row>
    <row r="45" spans="3:36" x14ac:dyDescent="0.2">
      <c r="AF45" s="200">
        <f>_xll.qlCalendarAdvance(Calendar,AF44,"1d","mf",,Trigger)</f>
        <v>42430</v>
      </c>
      <c r="AG45" s="25">
        <f>_xll.qlDayCounterYearFraction(DayCounter,SettlementDate,AF45,,,Trigger)</f>
        <v>0.16944444444444445</v>
      </c>
      <c r="AH45" s="21">
        <f t="shared" si="11"/>
        <v>3.8212420219172669E-3</v>
      </c>
      <c r="AI45" s="21">
        <f t="shared" si="12"/>
        <v>3.7601431433337122E-3</v>
      </c>
      <c r="AJ45" s="21">
        <f t="shared" si="13"/>
        <v>3.8043811448552709E-3</v>
      </c>
    </row>
    <row r="46" spans="3:36" x14ac:dyDescent="0.2">
      <c r="AF46" s="200">
        <f>_xll.qlCalendarAdvance(Calendar,AF45,"1d","mf",,Trigger)</f>
        <v>42431</v>
      </c>
      <c r="AG46" s="25">
        <f>_xll.qlDayCounterYearFraction(DayCounter,SettlementDate,AF46,,,Trigger)</f>
        <v>0.17222222222222222</v>
      </c>
      <c r="AH46" s="21">
        <f t="shared" si="11"/>
        <v>3.8212420219172669E-3</v>
      </c>
      <c r="AI46" s="21">
        <f t="shared" si="12"/>
        <v>3.7621797726198306E-3</v>
      </c>
      <c r="AJ46" s="21">
        <f t="shared" si="13"/>
        <v>3.8103487173933889E-3</v>
      </c>
    </row>
    <row r="47" spans="3:36" x14ac:dyDescent="0.2">
      <c r="AF47" s="200">
        <f>_xll.qlCalendarAdvance(Calendar,AF46,"1d","mf",,Trigger)</f>
        <v>42432</v>
      </c>
      <c r="AG47" s="25">
        <f>_xll.qlDayCounterYearFraction(DayCounter,SettlementDate,AF47,,,Trigger)</f>
        <v>0.17499999999999999</v>
      </c>
      <c r="AH47" s="21">
        <f t="shared" si="11"/>
        <v>3.8212420219172669E-3</v>
      </c>
      <c r="AI47" s="21">
        <f t="shared" si="12"/>
        <v>3.764216401905949E-3</v>
      </c>
      <c r="AJ47" s="21">
        <f t="shared" si="13"/>
        <v>3.8162269503121439E-3</v>
      </c>
    </row>
    <row r="48" spans="3:36" x14ac:dyDescent="0.2">
      <c r="AF48" s="200">
        <f>_xll.qlCalendarAdvance(Calendar,AF47,"1d","mf",,Trigger)</f>
        <v>42433</v>
      </c>
      <c r="AG48" s="25">
        <f>_xll.qlDayCounterYearFraction(DayCounter,SettlementDate,AF48,,,Trigger)</f>
        <v>0.17777777777777778</v>
      </c>
      <c r="AH48" s="21">
        <f t="shared" si="11"/>
        <v>3.8212420219172669E-3</v>
      </c>
      <c r="AI48" s="21">
        <f t="shared" si="12"/>
        <v>3.7662530311920674E-3</v>
      </c>
      <c r="AJ48" s="21">
        <f t="shared" si="13"/>
        <v>3.8220158436115346E-3</v>
      </c>
    </row>
    <row r="49" spans="14:36" x14ac:dyDescent="0.2">
      <c r="AF49" s="200">
        <f>_xll.qlCalendarAdvance(Calendar,AF48,"1d","mf",,Trigger)</f>
        <v>42436</v>
      </c>
      <c r="AG49" s="25">
        <f>_xll.qlDayCounterYearFraction(DayCounter,SettlementDate,AF49,,,Trigger)</f>
        <v>0.18611111111111112</v>
      </c>
      <c r="AH49" s="21">
        <f t="shared" si="11"/>
        <v>3.8212420219172669E-3</v>
      </c>
      <c r="AI49" s="21">
        <f t="shared" si="12"/>
        <v>3.7723629190504226E-3</v>
      </c>
      <c r="AJ49" s="21">
        <f t="shared" si="13"/>
        <v>3.8388464857935269E-3</v>
      </c>
    </row>
    <row r="50" spans="14:36" x14ac:dyDescent="0.2">
      <c r="AF50" s="200">
        <f>_xll.qlCalendarAdvance(Calendar,AF49,"1d","mf",,Trigger)</f>
        <v>42437</v>
      </c>
      <c r="AG50" s="25">
        <f>_xll.qlDayCounterYearFraction(DayCounter,SettlementDate,AF50,,,Trigger)</f>
        <v>0.18888888888888888</v>
      </c>
      <c r="AH50" s="21">
        <f t="shared" si="11"/>
        <v>3.8212420219172669E-3</v>
      </c>
      <c r="AI50" s="21">
        <f t="shared" si="12"/>
        <v>3.774399548336541E-3</v>
      </c>
      <c r="AJ50" s="21">
        <f t="shared" si="13"/>
        <v>3.8442780206154629E-3</v>
      </c>
    </row>
    <row r="51" spans="14:36" x14ac:dyDescent="0.2">
      <c r="AF51" s="200">
        <f>_xll.qlCalendarAdvance(Calendar,AF50,"1d","mf",,Trigger)</f>
        <v>42438</v>
      </c>
      <c r="AG51" s="25">
        <f>_xll.qlDayCounterYearFraction(DayCounter,SettlementDate,AF51,,,Trigger)</f>
        <v>0.19166666666666668</v>
      </c>
      <c r="AH51" s="21">
        <f t="shared" si="11"/>
        <v>3.8212420219172669E-3</v>
      </c>
      <c r="AI51" s="21">
        <f t="shared" si="12"/>
        <v>3.7764361776226594E-3</v>
      </c>
      <c r="AJ51" s="21">
        <f t="shared" si="13"/>
        <v>3.849620215818036E-3</v>
      </c>
    </row>
    <row r="52" spans="14:36" x14ac:dyDescent="0.2">
      <c r="AF52" s="200">
        <f>_xll.qlCalendarAdvance(Calendar,AF51,"1d","mf",,Trigger)</f>
        <v>42439</v>
      </c>
      <c r="AG52" s="25">
        <f>_xll.qlDayCounterYearFraction(DayCounter,SettlementDate,AF52,,,Trigger)</f>
        <v>0.19444444444444445</v>
      </c>
      <c r="AH52" s="21">
        <f t="shared" si="11"/>
        <v>3.8212420219172669E-3</v>
      </c>
      <c r="AI52" s="21">
        <f t="shared" si="12"/>
        <v>3.7784728069087778E-3</v>
      </c>
      <c r="AJ52" s="21">
        <f t="shared" si="13"/>
        <v>3.8548730714012451E-3</v>
      </c>
    </row>
    <row r="53" spans="14:36" x14ac:dyDescent="0.2">
      <c r="AF53" s="200">
        <f>_xll.qlCalendarAdvance(Calendar,AF52,"1d","mf",,Trigger)</f>
        <v>42440</v>
      </c>
      <c r="AG53" s="25">
        <f>_xll.qlDayCounterYearFraction(DayCounter,SettlementDate,AF53,,,Trigger)</f>
        <v>0.19722222222222222</v>
      </c>
      <c r="AH53" s="21">
        <f t="shared" si="11"/>
        <v>3.8212420219172669E-3</v>
      </c>
      <c r="AI53" s="21">
        <f t="shared" si="12"/>
        <v>3.7805094361948962E-3</v>
      </c>
      <c r="AJ53" s="21">
        <f t="shared" si="13"/>
        <v>3.8600365873650909E-3</v>
      </c>
    </row>
    <row r="54" spans="14:36" x14ac:dyDescent="0.2">
      <c r="AF54" s="200">
        <f>_xll.qlCalendarAdvance(Calendar,AF53,"1d","mf",,Trigger)</f>
        <v>42443</v>
      </c>
      <c r="AG54" s="25">
        <f>_xll.qlDayCounterYearFraction(DayCounter,SettlementDate,AF54,,,Trigger)</f>
        <v>0.20555555555555555</v>
      </c>
      <c r="AH54" s="21">
        <f t="shared" si="11"/>
        <v>3.8212420219172669E-3</v>
      </c>
      <c r="AI54" s="21">
        <f t="shared" si="12"/>
        <v>3.7866193240532514E-3</v>
      </c>
      <c r="AJ54" s="21">
        <f t="shared" si="13"/>
        <v>3.8749910975404457E-3</v>
      </c>
    </row>
    <row r="55" spans="14:36" x14ac:dyDescent="0.2">
      <c r="AF55" s="200">
        <f>_xll.qlCalendarAdvance(Calendar,AF54,"1d","mf",,Trigger)</f>
        <v>42444</v>
      </c>
      <c r="AG55" s="25">
        <f>_xll.qlDayCounterYearFraction(DayCounter,SettlementDate,AF55,,,Trigger)</f>
        <v>0.20833333333333334</v>
      </c>
      <c r="AH55" s="21">
        <f t="shared" si="11"/>
        <v>3.8212420219172669E-3</v>
      </c>
      <c r="AI55" s="21">
        <f t="shared" si="12"/>
        <v>3.7886559533393698E-3</v>
      </c>
      <c r="AJ55" s="21">
        <f t="shared" si="13"/>
        <v>3.8797972550268373E-3</v>
      </c>
    </row>
    <row r="56" spans="14:36" x14ac:dyDescent="0.2">
      <c r="AF56" s="200">
        <f>_xll.qlCalendarAdvance(Calendar,AF55,"1d","mf",,Trigger)</f>
        <v>42445</v>
      </c>
      <c r="AG56" s="25">
        <f>_xll.qlDayCounterYearFraction(DayCounter,SettlementDate,AF56,,,Trigger)</f>
        <v>0.21111111111111111</v>
      </c>
      <c r="AH56" s="21">
        <f t="shared" si="11"/>
        <v>3.8212420219172669E-3</v>
      </c>
      <c r="AI56" s="21">
        <f t="shared" si="12"/>
        <v>3.7906925826254882E-3</v>
      </c>
      <c r="AJ56" s="21">
        <f t="shared" si="13"/>
        <v>3.8845140728938641E-3</v>
      </c>
    </row>
    <row r="57" spans="14:36" x14ac:dyDescent="0.2">
      <c r="AF57" s="200">
        <f>_xll.qlCalendarAdvance(Calendar,AF56,"1d","mf",,Trigger)</f>
        <v>42446</v>
      </c>
      <c r="AG57" s="25">
        <f>_xll.qlDayCounterYearFraction(DayCounter,SettlementDate,AF57,,,Trigger)</f>
        <v>0.21388888888888888</v>
      </c>
      <c r="AH57" s="21">
        <f t="shared" si="11"/>
        <v>3.8212420219172669E-3</v>
      </c>
      <c r="AI57" s="21">
        <f t="shared" si="12"/>
        <v>3.7927292119116066E-3</v>
      </c>
      <c r="AJ57" s="21">
        <f t="shared" si="13"/>
        <v>3.8891415511415283E-3</v>
      </c>
    </row>
    <row r="58" spans="14:36" x14ac:dyDescent="0.2">
      <c r="AF58" s="200">
        <f>_xll.qlCalendarAdvance(Calendar,AF57,"1d","mf",,Trigger)</f>
        <v>42447</v>
      </c>
      <c r="AG58" s="25">
        <f>_xll.qlDayCounterYearFraction(DayCounter,SettlementDate,AF58,,,Trigger)</f>
        <v>0.21666666666666667</v>
      </c>
      <c r="AH58" s="21">
        <f t="shared" si="11"/>
        <v>3.8212420219172669E-3</v>
      </c>
      <c r="AI58" s="21">
        <f t="shared" si="12"/>
        <v>3.794765841197725E-3</v>
      </c>
      <c r="AJ58" s="21">
        <f t="shared" si="13"/>
        <v>3.8936796897698286E-3</v>
      </c>
    </row>
    <row r="59" spans="14:36" x14ac:dyDescent="0.2">
      <c r="AF59" s="200">
        <f>_xll.qlCalendarAdvance(Calendar,AF58,"1d","mf",,Trigger)</f>
        <v>42450</v>
      </c>
      <c r="AG59" s="25">
        <f>_xll.qlDayCounterYearFraction(DayCounter,SettlementDate,AF59,,,Trigger)</f>
        <v>0.22500000000000001</v>
      </c>
      <c r="AH59" s="21">
        <f t="shared" si="11"/>
        <v>3.8212420219172669E-3</v>
      </c>
      <c r="AI59" s="21">
        <f t="shared" si="12"/>
        <v>3.8008757290560798E-3</v>
      </c>
      <c r="AJ59" s="21">
        <f t="shared" si="13"/>
        <v>3.9067580679385469E-3</v>
      </c>
    </row>
    <row r="60" spans="14:36" x14ac:dyDescent="0.2">
      <c r="N60" s="111"/>
      <c r="AF60" s="200">
        <f>_xll.qlCalendarAdvance(Calendar,AF59,"1d","mf",,Trigger)</f>
        <v>42451</v>
      </c>
      <c r="AG60" s="25">
        <f>_xll.qlDayCounterYearFraction(DayCounter,SettlementDate,AF60,,,Trigger)</f>
        <v>0.22777777777777777</v>
      </c>
      <c r="AH60" s="21">
        <f t="shared" si="11"/>
        <v>3.8212420219172669E-3</v>
      </c>
      <c r="AI60" s="21">
        <f t="shared" si="12"/>
        <v>3.8029123583421982E-3</v>
      </c>
      <c r="AJ60" s="21">
        <f t="shared" si="13"/>
        <v>3.9109388480893931E-3</v>
      </c>
    </row>
    <row r="61" spans="14:36" x14ac:dyDescent="0.2">
      <c r="N61" s="111"/>
      <c r="AF61" s="200">
        <f>_xll.qlCalendarAdvance(Calendar,AF60,"1d","mf",,Trigger)</f>
        <v>42452</v>
      </c>
      <c r="AG61" s="25">
        <f>_xll.qlDayCounterYearFraction(DayCounter,SettlementDate,AF61,,,Trigger)</f>
        <v>0.23055555555555557</v>
      </c>
      <c r="AH61" s="21">
        <f t="shared" si="11"/>
        <v>3.8212420219172669E-3</v>
      </c>
      <c r="AI61" s="21">
        <f t="shared" si="12"/>
        <v>3.8049489876283166E-3</v>
      </c>
      <c r="AJ61" s="21">
        <f t="shared" si="13"/>
        <v>3.9150302886208745E-3</v>
      </c>
    </row>
    <row r="62" spans="14:36" x14ac:dyDescent="0.2">
      <c r="N62" s="111"/>
      <c r="AF62" s="200">
        <f>_xll.qlCalendarAdvance(Calendar,AF61,"1d","mf",,Trigger)</f>
        <v>42453</v>
      </c>
      <c r="AG62" s="25">
        <f>_xll.qlDayCounterYearFraction(DayCounter,SettlementDate,AF62,,,Trigger)</f>
        <v>0.23333333333333334</v>
      </c>
      <c r="AH62" s="21">
        <f t="shared" si="11"/>
        <v>3.8212420219172669E-3</v>
      </c>
      <c r="AI62" s="21">
        <f t="shared" si="12"/>
        <v>3.806985616914435E-3</v>
      </c>
      <c r="AJ62" s="21">
        <f t="shared" si="13"/>
        <v>3.9190323895329929E-3</v>
      </c>
    </row>
    <row r="63" spans="14:36" x14ac:dyDescent="0.2">
      <c r="N63" s="111"/>
      <c r="AF63" s="200">
        <f>_xll.qlCalendarAdvance(Calendar,AF62,"1d","mf",,Trigger)</f>
        <v>42458</v>
      </c>
      <c r="AG63" s="25">
        <f>_xll.qlDayCounterYearFraction(DayCounter,SettlementDate,AF63,,,Trigger)</f>
        <v>0.24722222222222223</v>
      </c>
      <c r="AH63" s="21">
        <f t="shared" si="11"/>
        <v>3.8212420219172669E-3</v>
      </c>
      <c r="AI63" s="21">
        <f t="shared" si="12"/>
        <v>3.8171687633450271E-3</v>
      </c>
      <c r="AJ63" s="21">
        <f t="shared" si="13"/>
        <v>3.9377027998031304E-3</v>
      </c>
    </row>
    <row r="64" spans="14:36" x14ac:dyDescent="0.2">
      <c r="N64" s="111"/>
      <c r="AF64" s="200">
        <f>_xll.qlCalendarAdvance(Calendar,AF63,"1d","mf",,Trigger)</f>
        <v>42459</v>
      </c>
      <c r="AG64" s="25">
        <f>_xll.qlDayCounterYearFraction(DayCounter,SettlementDate,AF64,,,Trigger)</f>
        <v>0.25</v>
      </c>
      <c r="AH64" s="21">
        <f t="shared" si="11"/>
        <v>3.8212420219172669E-3</v>
      </c>
      <c r="AI64" s="21">
        <f t="shared" si="12"/>
        <v>3.8192053926311455E-3</v>
      </c>
      <c r="AJ64" s="21">
        <f t="shared" si="13"/>
        <v>3.9411688629990664E-3</v>
      </c>
    </row>
    <row r="65" spans="14:36" x14ac:dyDescent="0.2">
      <c r="N65" s="111"/>
      <c r="AF65" s="200">
        <f>_xll.qlCalendarAdvance(Calendar,AF64,"1d","mf",,Trigger)</f>
        <v>42460</v>
      </c>
      <c r="AG65" s="25">
        <f>_xll.qlDayCounterYearFraction(DayCounter,SettlementDate,AF65,,,Trigger)</f>
        <v>0.25277777777777777</v>
      </c>
      <c r="AH65" s="21">
        <f t="shared" si="11"/>
        <v>3.8212420219172669E-3</v>
      </c>
      <c r="AI65" s="21">
        <f t="shared" si="12"/>
        <v>3.8212420219172639E-3</v>
      </c>
      <c r="AJ65" s="21">
        <f t="shared" si="13"/>
        <v>3.9445455865756386E-3</v>
      </c>
    </row>
    <row r="66" spans="14:36" x14ac:dyDescent="0.2">
      <c r="N66" s="111"/>
      <c r="O66" s="111"/>
      <c r="AF66" s="200">
        <f>_xll.qlCalendarAdvance(Calendar,AF65,"1d","mf",,Trigger)</f>
        <v>42461</v>
      </c>
      <c r="AG66" s="25">
        <f>_xll.qlDayCounterYearFraction(DayCounter,SettlementDate,AF66,,,Trigger)</f>
        <v>0.25555555555555554</v>
      </c>
      <c r="AH66" s="21">
        <f t="shared" si="11"/>
        <v>3.8212420219172669E-3</v>
      </c>
      <c r="AI66" s="21">
        <f t="shared" si="12"/>
        <v>3.8232786512033823E-3</v>
      </c>
      <c r="AJ66" s="21">
        <f t="shared" si="13"/>
        <v>3.9478329705328486E-3</v>
      </c>
    </row>
    <row r="67" spans="14:36" x14ac:dyDescent="0.2">
      <c r="N67" s="111"/>
      <c r="O67" s="111"/>
      <c r="AF67" s="200">
        <f>_xll.qlCalendarAdvance(Calendar,AF66,"1d","mf",,Trigger)</f>
        <v>42464</v>
      </c>
      <c r="AG67" s="25">
        <f>_xll.qlDayCounterYearFraction(DayCounter,SettlementDate,AF67,,,Trigger)</f>
        <v>0.2638888888888889</v>
      </c>
      <c r="AH67" s="21">
        <f t="shared" ref="AH67:AH98" si="14">$W$13</f>
        <v>3.8212420219172669E-3</v>
      </c>
      <c r="AI67" s="21">
        <f t="shared" ref="AI67:AI98" si="15">$W$10+$W$9*AG67</f>
        <v>3.8293885390617375E-3</v>
      </c>
      <c r="AJ67" s="21">
        <f t="shared" ref="AJ67:AJ98" si="16">($W$5+$W$4*AG67+$W$3*AG67^2)</f>
        <v>3.9571590846882946E-3</v>
      </c>
    </row>
    <row r="68" spans="14:36" x14ac:dyDescent="0.2">
      <c r="N68" s="111"/>
      <c r="O68" s="111"/>
      <c r="AF68" s="200">
        <f>_xll.qlCalendarAdvance(Calendar,AF67,"1d","mf",,Trigger)</f>
        <v>42465</v>
      </c>
      <c r="AG68" s="25">
        <f>_xll.qlDayCounterYearFraction(DayCounter,SettlementDate,AF68,,,Trigger)</f>
        <v>0.26666666666666666</v>
      </c>
      <c r="AH68" s="21">
        <f t="shared" si="14"/>
        <v>3.8212420219172669E-3</v>
      </c>
      <c r="AI68" s="21">
        <f t="shared" si="15"/>
        <v>3.8314251683478559E-3</v>
      </c>
      <c r="AJ68" s="21">
        <f t="shared" si="16"/>
        <v>3.9600891101680483E-3</v>
      </c>
    </row>
    <row r="69" spans="14:36" x14ac:dyDescent="0.2">
      <c r="N69" s="111"/>
      <c r="O69" s="111"/>
      <c r="AF69" s="200">
        <f>_xll.qlCalendarAdvance(Calendar,AF68,"1d","mf",,Trigger)</f>
        <v>42466</v>
      </c>
      <c r="AG69" s="25">
        <f>_xll.qlDayCounterYearFraction(DayCounter,SettlementDate,AF69,,,Trigger)</f>
        <v>0.26944444444444443</v>
      </c>
      <c r="AH69" s="21">
        <f t="shared" si="14"/>
        <v>3.8212420219172669E-3</v>
      </c>
      <c r="AI69" s="21">
        <f t="shared" si="15"/>
        <v>3.8334617976339743E-3</v>
      </c>
      <c r="AJ69" s="21">
        <f t="shared" si="16"/>
        <v>3.9629297960284398E-3</v>
      </c>
    </row>
    <row r="70" spans="14:36" x14ac:dyDescent="0.2">
      <c r="N70" s="111"/>
      <c r="O70" s="111"/>
      <c r="AF70" s="200">
        <f>_xll.qlCalendarAdvance(Calendar,AF69,"1d","mf",,Trigger)</f>
        <v>42467</v>
      </c>
      <c r="AG70" s="25">
        <f>_xll.qlDayCounterYearFraction(DayCounter,SettlementDate,AF70,,,Trigger)</f>
        <v>0.2722222222222222</v>
      </c>
      <c r="AH70" s="21">
        <f t="shared" si="14"/>
        <v>3.8212420219172669E-3</v>
      </c>
      <c r="AI70" s="21">
        <f t="shared" si="15"/>
        <v>3.8354984269200927E-3</v>
      </c>
      <c r="AJ70" s="21">
        <f t="shared" si="16"/>
        <v>3.9656811422694666E-3</v>
      </c>
    </row>
    <row r="71" spans="14:36" x14ac:dyDescent="0.2">
      <c r="N71" s="111"/>
      <c r="O71" s="111"/>
      <c r="AF71" s="200">
        <f>_xll.qlCalendarAdvance(Calendar,AF70,"1d","mf",,Trigger)</f>
        <v>42468</v>
      </c>
      <c r="AG71" s="25">
        <f>_xll.qlDayCounterYearFraction(DayCounter,SettlementDate,AF71,,,Trigger)</f>
        <v>0.27500000000000002</v>
      </c>
      <c r="AH71" s="21">
        <f t="shared" si="14"/>
        <v>3.8212420219172669E-3</v>
      </c>
      <c r="AI71" s="21">
        <f t="shared" si="15"/>
        <v>3.8375350562062111E-3</v>
      </c>
      <c r="AJ71" s="21">
        <f t="shared" si="16"/>
        <v>3.9683431488911312E-3</v>
      </c>
    </row>
    <row r="72" spans="14:36" x14ac:dyDescent="0.2">
      <c r="N72" s="111"/>
      <c r="O72" s="111"/>
      <c r="AF72" s="200">
        <f>_xll.qlCalendarAdvance(Calendar,AF71,"1d","mf",,Trigger)</f>
        <v>42471</v>
      </c>
      <c r="AG72" s="25">
        <f>_xll.qlDayCounterYearFraction(DayCounter,SettlementDate,AF72,,,Trigger)</f>
        <v>0.28333333333333333</v>
      </c>
      <c r="AH72" s="21">
        <f t="shared" si="14"/>
        <v>3.8212420219172669E-3</v>
      </c>
      <c r="AI72" s="21">
        <f t="shared" si="15"/>
        <v>3.8436449440645659E-3</v>
      </c>
      <c r="AJ72" s="21">
        <f t="shared" si="16"/>
        <v>3.9757931310399394E-3</v>
      </c>
    </row>
    <row r="73" spans="14:36" x14ac:dyDescent="0.2">
      <c r="N73" s="111"/>
      <c r="O73" s="111"/>
      <c r="AF73" s="200">
        <f>_xll.qlCalendarAdvance(Calendar,AF72,"1d","mf",,Trigger)</f>
        <v>42472</v>
      </c>
      <c r="AG73" s="25">
        <f>_xll.qlDayCounterYearFraction(DayCounter,SettlementDate,AF73,,,Trigger)</f>
        <v>0.28611111111111109</v>
      </c>
      <c r="AH73" s="21">
        <f t="shared" si="14"/>
        <v>3.8212420219172669E-3</v>
      </c>
      <c r="AI73" s="21">
        <f t="shared" si="15"/>
        <v>3.8456815733506843E-3</v>
      </c>
      <c r="AJ73" s="21">
        <f t="shared" si="16"/>
        <v>3.9780977791841494E-3</v>
      </c>
    </row>
    <row r="74" spans="14:36" x14ac:dyDescent="0.2">
      <c r="N74" s="111"/>
      <c r="O74" s="111"/>
      <c r="AF74" s="200">
        <f>_xll.qlCalendarAdvance(Calendar,AF73,"1d","mf",,Trigger)</f>
        <v>42473</v>
      </c>
      <c r="AG74" s="25">
        <f>_xll.qlDayCounterYearFraction(DayCounter,SettlementDate,AF74,,,Trigger)</f>
        <v>0.28888888888888886</v>
      </c>
      <c r="AH74" s="21">
        <f t="shared" si="14"/>
        <v>3.8212420219172669E-3</v>
      </c>
      <c r="AI74" s="21">
        <f t="shared" si="15"/>
        <v>3.8477182026368027E-3</v>
      </c>
      <c r="AJ74" s="21">
        <f t="shared" si="16"/>
        <v>3.9803130877089947E-3</v>
      </c>
    </row>
    <row r="75" spans="14:36" x14ac:dyDescent="0.2">
      <c r="N75" s="111"/>
      <c r="O75" s="111"/>
      <c r="AF75" s="200">
        <f>_xll.qlCalendarAdvance(Calendar,AF74,"1d","mf",,Trigger)</f>
        <v>42474</v>
      </c>
      <c r="AG75" s="25">
        <f>_xll.qlDayCounterYearFraction(DayCounter,SettlementDate,AF75,,,Trigger)</f>
        <v>0.29166666666666669</v>
      </c>
      <c r="AH75" s="21">
        <f t="shared" si="14"/>
        <v>3.8212420219172669E-3</v>
      </c>
      <c r="AI75" s="21">
        <f t="shared" si="15"/>
        <v>3.8497548319229211E-3</v>
      </c>
      <c r="AJ75" s="21">
        <f t="shared" si="16"/>
        <v>3.9824390566144761E-3</v>
      </c>
    </row>
    <row r="76" spans="14:36" x14ac:dyDescent="0.2">
      <c r="N76" s="111"/>
      <c r="O76" s="111"/>
      <c r="AF76" s="200">
        <f>_xll.qlCalendarAdvance(Calendar,AF75,"1d","mf",,Trigger)</f>
        <v>42475</v>
      </c>
      <c r="AG76" s="25">
        <f>_xll.qlDayCounterYearFraction(DayCounter,SettlementDate,AF76,,,Trigger)</f>
        <v>0.29444444444444445</v>
      </c>
      <c r="AH76" s="21">
        <f t="shared" si="14"/>
        <v>3.8212420219172669E-3</v>
      </c>
      <c r="AI76" s="21">
        <f t="shared" si="15"/>
        <v>3.8517914612090395E-3</v>
      </c>
      <c r="AJ76" s="21">
        <f t="shared" si="16"/>
        <v>3.9844756859005945E-3</v>
      </c>
    </row>
    <row r="77" spans="14:36" x14ac:dyDescent="0.2">
      <c r="N77" s="111"/>
      <c r="O77" s="111"/>
      <c r="AF77" s="200">
        <f>_xll.qlCalendarAdvance(Calendar,AF76,"1d","mf",,Trigger)</f>
        <v>42478</v>
      </c>
      <c r="AG77" s="25">
        <f>_xll.qlDayCounterYearFraction(DayCounter,SettlementDate,AF77,,,Trigger)</f>
        <v>0.30277777777777776</v>
      </c>
      <c r="AH77" s="21">
        <f t="shared" si="14"/>
        <v>3.8212420219172669E-3</v>
      </c>
      <c r="AI77" s="21">
        <f t="shared" si="15"/>
        <v>3.8579013490673947E-3</v>
      </c>
      <c r="AJ77" s="21">
        <f t="shared" si="16"/>
        <v>3.9900495360427673E-3</v>
      </c>
    </row>
    <row r="78" spans="14:36" x14ac:dyDescent="0.2">
      <c r="N78" s="111"/>
      <c r="O78" s="111"/>
      <c r="AF78" s="200">
        <f>_xll.qlCalendarAdvance(Calendar,AF77,"1d","mf",,Trigger)</f>
        <v>42479</v>
      </c>
      <c r="AG78" s="25">
        <f>_xll.qlDayCounterYearFraction(DayCounter,SettlementDate,AF78,,,Trigger)</f>
        <v>0.30555555555555558</v>
      </c>
      <c r="AH78" s="21">
        <f t="shared" si="14"/>
        <v>3.8212420219172669E-3</v>
      </c>
      <c r="AI78" s="21">
        <f t="shared" si="15"/>
        <v>3.8599379783535131E-3</v>
      </c>
      <c r="AJ78" s="21">
        <f t="shared" si="16"/>
        <v>3.9917288068514311E-3</v>
      </c>
    </row>
    <row r="79" spans="14:36" x14ac:dyDescent="0.2">
      <c r="N79" s="111"/>
      <c r="O79" s="111"/>
      <c r="AF79" s="200">
        <f>_xll.qlCalendarAdvance(Calendar,AF78,"1d","mf",,Trigger)</f>
        <v>42480</v>
      </c>
      <c r="AG79" s="25">
        <f>_xll.qlDayCounterYearFraction(DayCounter,SettlementDate,AF79,,,Trigger)</f>
        <v>0.30833333333333335</v>
      </c>
      <c r="AH79" s="21">
        <f t="shared" si="14"/>
        <v>3.8212420219172669E-3</v>
      </c>
      <c r="AI79" s="21">
        <f t="shared" si="15"/>
        <v>3.8619746076396315E-3</v>
      </c>
      <c r="AJ79" s="21">
        <f t="shared" si="16"/>
        <v>3.993318738040731E-3</v>
      </c>
    </row>
    <row r="80" spans="14:36" x14ac:dyDescent="0.2">
      <c r="N80" s="111"/>
      <c r="O80" s="111"/>
      <c r="AF80" s="200">
        <f>_xll.qlCalendarAdvance(Calendar,AF79,"1d","mf",,Trigger)</f>
        <v>42481</v>
      </c>
      <c r="AG80" s="25">
        <f>_xll.qlDayCounterYearFraction(DayCounter,SettlementDate,AF80,,,Trigger)</f>
        <v>0.31111111111111112</v>
      </c>
      <c r="AH80" s="21">
        <f t="shared" si="14"/>
        <v>3.8212420219172669E-3</v>
      </c>
      <c r="AI80" s="21">
        <f t="shared" si="15"/>
        <v>3.8640112369257499E-3</v>
      </c>
      <c r="AJ80" s="21">
        <f t="shared" si="16"/>
        <v>3.9948193296106679E-3</v>
      </c>
    </row>
    <row r="81" spans="14:36" x14ac:dyDescent="0.2">
      <c r="N81" s="111"/>
      <c r="O81" s="111"/>
      <c r="AF81" s="200">
        <f>_xll.qlCalendarAdvance(Calendar,AF80,"1d","mf",,Trigger)</f>
        <v>42482</v>
      </c>
      <c r="AG81" s="25">
        <f>_xll.qlDayCounterYearFraction(DayCounter,SettlementDate,AF81,,,Trigger)</f>
        <v>0.31388888888888888</v>
      </c>
      <c r="AH81" s="21">
        <f t="shared" si="14"/>
        <v>3.8212420219172669E-3</v>
      </c>
      <c r="AI81" s="21">
        <f t="shared" si="15"/>
        <v>3.8660478662118684E-3</v>
      </c>
      <c r="AJ81" s="21">
        <f t="shared" si="16"/>
        <v>3.9962305815612401E-3</v>
      </c>
    </row>
    <row r="82" spans="14:36" x14ac:dyDescent="0.2">
      <c r="N82" s="111"/>
      <c r="O82" s="111"/>
      <c r="AF82" s="200">
        <f>_xll.qlCalendarAdvance(Calendar,AF81,"1d","mf",,Trigger)</f>
        <v>42485</v>
      </c>
      <c r="AG82" s="25">
        <f>_xll.qlDayCounterYearFraction(DayCounter,SettlementDate,AF82,,,Trigger)</f>
        <v>0.32222222222222224</v>
      </c>
      <c r="AH82" s="21">
        <f t="shared" si="14"/>
        <v>3.8212420219172669E-3</v>
      </c>
      <c r="AI82" s="21">
        <f t="shared" si="15"/>
        <v>3.8721577540702236E-3</v>
      </c>
      <c r="AJ82" s="21">
        <f t="shared" si="16"/>
        <v>3.9999282996967768E-3</v>
      </c>
    </row>
    <row r="83" spans="14:36" x14ac:dyDescent="0.2">
      <c r="N83" s="111"/>
      <c r="O83" s="111"/>
      <c r="AF83" s="200">
        <f>_xll.qlCalendarAdvance(Calendar,AF82,"1d","mf",,Trigger)</f>
        <v>42486</v>
      </c>
      <c r="AG83" s="25">
        <f>_xll.qlDayCounterYearFraction(DayCounter,SettlementDate,AF83,,,Trigger)</f>
        <v>0.32500000000000001</v>
      </c>
      <c r="AH83" s="21">
        <f t="shared" si="14"/>
        <v>3.8212420219172669E-3</v>
      </c>
      <c r="AI83" s="21">
        <f t="shared" si="15"/>
        <v>3.874194383356342E-3</v>
      </c>
      <c r="AJ83" s="21">
        <f t="shared" si="16"/>
        <v>4.0009821931698943E-3</v>
      </c>
    </row>
    <row r="84" spans="14:36" x14ac:dyDescent="0.2">
      <c r="N84" s="111"/>
      <c r="O84" s="111"/>
      <c r="AF84" s="200">
        <f>_xll.qlCalendarAdvance(Calendar,AF83,"1d","mf",,Trigger)</f>
        <v>42487</v>
      </c>
      <c r="AG84" s="25">
        <f>_xll.qlDayCounterYearFraction(DayCounter,SettlementDate,AF84,,,Trigger)</f>
        <v>0.32777777777777778</v>
      </c>
      <c r="AH84" s="21">
        <f t="shared" si="14"/>
        <v>3.8212420219172669E-3</v>
      </c>
      <c r="AI84" s="21">
        <f t="shared" si="15"/>
        <v>3.8762310126424604E-3</v>
      </c>
      <c r="AJ84" s="21">
        <f t="shared" si="16"/>
        <v>4.0019467470236488E-3</v>
      </c>
    </row>
    <row r="85" spans="14:36" x14ac:dyDescent="0.2">
      <c r="N85" s="111"/>
      <c r="O85" s="111"/>
      <c r="AF85" s="200">
        <f>_xll.qlCalendarAdvance(Calendar,AF84,"1d","mf",,Trigger)</f>
        <v>42488</v>
      </c>
      <c r="AG85" s="25">
        <f>_xll.qlDayCounterYearFraction(DayCounter,SettlementDate,AF85,,,Trigger)</f>
        <v>0.33055555555555555</v>
      </c>
      <c r="AH85" s="21">
        <f t="shared" si="14"/>
        <v>3.8212420219172669E-3</v>
      </c>
      <c r="AI85" s="21">
        <f t="shared" si="15"/>
        <v>3.8782676419285788E-3</v>
      </c>
      <c r="AJ85" s="21">
        <f t="shared" si="16"/>
        <v>4.0028219612580403E-3</v>
      </c>
    </row>
    <row r="86" spans="14:36" x14ac:dyDescent="0.2">
      <c r="N86" s="111"/>
      <c r="O86" s="111"/>
      <c r="AF86" s="200">
        <f>_xll.qlCalendarAdvance(Calendar,AF85,"1d","mf",,Trigger)</f>
        <v>42489</v>
      </c>
      <c r="AG86" s="25">
        <f>_xll.qlDayCounterYearFraction(DayCounter,SettlementDate,AF86,,,Trigger)</f>
        <v>0.33333333333333331</v>
      </c>
      <c r="AH86" s="21">
        <f t="shared" si="14"/>
        <v>3.8212420219172669E-3</v>
      </c>
      <c r="AI86" s="21">
        <f t="shared" si="15"/>
        <v>3.8803042712146972E-3</v>
      </c>
      <c r="AJ86" s="21">
        <f t="shared" si="16"/>
        <v>4.0036078358730671E-3</v>
      </c>
    </row>
    <row r="87" spans="14:36" x14ac:dyDescent="0.2">
      <c r="N87" s="111"/>
      <c r="O87" s="111"/>
      <c r="AF87" s="200">
        <f>_xll.qlCalendarAdvance(Calendar,AF86,"1d","mf",,Trigger)</f>
        <v>42493</v>
      </c>
      <c r="AG87" s="25">
        <f>_xll.qlDayCounterYearFraction(DayCounter,SettlementDate,AF87,,,Trigger)</f>
        <v>0.34444444444444444</v>
      </c>
      <c r="AH87" s="21">
        <f t="shared" si="14"/>
        <v>3.8212420219172669E-3</v>
      </c>
      <c r="AI87" s="21">
        <f t="shared" si="15"/>
        <v>3.8884507883591704E-3</v>
      </c>
      <c r="AJ87" s="21">
        <f t="shared" si="16"/>
        <v>4.0058579381395398E-3</v>
      </c>
    </row>
    <row r="88" spans="14:36" x14ac:dyDescent="0.2">
      <c r="N88" s="111"/>
      <c r="O88" s="111"/>
      <c r="AF88" s="200">
        <f>_xll.qlCalendarAdvance(Calendar,AF87,"1d","mf",,Trigger)</f>
        <v>42494</v>
      </c>
      <c r="AG88" s="25">
        <f>_xll.qlDayCounterYearFraction(DayCounter,SettlementDate,AF88,,,Trigger)</f>
        <v>0.34722222222222221</v>
      </c>
      <c r="AH88" s="21">
        <f t="shared" si="14"/>
        <v>3.8212420219172669E-3</v>
      </c>
      <c r="AI88" s="21">
        <f t="shared" si="15"/>
        <v>3.8904874176452888E-3</v>
      </c>
      <c r="AJ88" s="21">
        <f t="shared" si="16"/>
        <v>4.0061971146577481E-3</v>
      </c>
    </row>
    <row r="89" spans="14:36" x14ac:dyDescent="0.2">
      <c r="N89" s="111"/>
      <c r="O89" s="111"/>
      <c r="AF89" s="200">
        <f>_xll.qlCalendarAdvance(Calendar,AF88,"1d","mf",,Trigger)</f>
        <v>42495</v>
      </c>
      <c r="AG89" s="25">
        <f>_xll.qlDayCounterYearFraction(DayCounter,SettlementDate,AF89,,,Trigger)</f>
        <v>0.35</v>
      </c>
      <c r="AH89" s="21">
        <f t="shared" si="14"/>
        <v>3.8212420219172669E-3</v>
      </c>
      <c r="AI89" s="21">
        <f t="shared" si="15"/>
        <v>3.8925240469314072E-3</v>
      </c>
      <c r="AJ89" s="21">
        <f t="shared" si="16"/>
        <v>4.0064469515565942E-3</v>
      </c>
    </row>
    <row r="90" spans="14:36" x14ac:dyDescent="0.2">
      <c r="N90" s="111"/>
      <c r="O90" s="111"/>
      <c r="AF90" s="200">
        <f>_xll.qlCalendarAdvance(Calendar,AF89,"1d","mf",,Trigger)</f>
        <v>42496</v>
      </c>
      <c r="AG90" s="25">
        <f>_xll.qlDayCounterYearFraction(DayCounter,SettlementDate,AF90,,,Trigger)</f>
        <v>0.3527777777777778</v>
      </c>
      <c r="AH90" s="21">
        <f t="shared" si="14"/>
        <v>3.8212420219172669E-3</v>
      </c>
      <c r="AI90" s="21">
        <f t="shared" si="15"/>
        <v>3.8945606762175256E-3</v>
      </c>
      <c r="AJ90" s="21">
        <f t="shared" si="16"/>
        <v>4.0066074488360756E-3</v>
      </c>
    </row>
    <row r="91" spans="14:36" x14ac:dyDescent="0.2">
      <c r="N91" s="111"/>
      <c r="O91" s="111"/>
      <c r="AF91" s="200">
        <f>_xll.qlCalendarAdvance(Calendar,AF90,"1d","mf",,Trigger)</f>
        <v>42499</v>
      </c>
      <c r="AG91" s="25">
        <f>_xll.qlDayCounterYearFraction(DayCounter,SettlementDate,AF91,,,Trigger)</f>
        <v>0.3611111111111111</v>
      </c>
      <c r="AH91" s="21">
        <f t="shared" si="14"/>
        <v>3.8212420219172669E-3</v>
      </c>
      <c r="AI91" s="21">
        <f t="shared" si="15"/>
        <v>3.9006705640758808E-3</v>
      </c>
      <c r="AJ91" s="21">
        <f t="shared" si="16"/>
        <v>4.0065529029583392E-3</v>
      </c>
    </row>
    <row r="92" spans="14:36" x14ac:dyDescent="0.2">
      <c r="N92" s="111"/>
      <c r="O92" s="111"/>
      <c r="AF92" s="200">
        <f>_xll.qlCalendarAdvance(Calendar,AF91,"1d","mf",,Trigger)</f>
        <v>42500</v>
      </c>
      <c r="AG92" s="25">
        <f>_xll.qlDayCounterYearFraction(DayCounter,SettlementDate,AF92,,,Trigger)</f>
        <v>0.36388888888888887</v>
      </c>
      <c r="AH92" s="21">
        <f t="shared" si="14"/>
        <v>3.8212420219172669E-3</v>
      </c>
      <c r="AI92" s="21">
        <f t="shared" si="15"/>
        <v>3.9027071933619992E-3</v>
      </c>
      <c r="AJ92" s="21">
        <f t="shared" si="16"/>
        <v>4.0063560417603668E-3</v>
      </c>
    </row>
    <row r="93" spans="14:36" x14ac:dyDescent="0.2">
      <c r="N93" s="111"/>
      <c r="O93" s="111"/>
      <c r="AF93" s="200">
        <f>_xll.qlCalendarAdvance(Calendar,AF92,"1d","mf",,Trigger)</f>
        <v>42501</v>
      </c>
      <c r="AG93" s="25">
        <f>_xll.qlDayCounterYearFraction(DayCounter,SettlementDate,AF93,,,Trigger)</f>
        <v>0.36666666666666664</v>
      </c>
      <c r="AH93" s="21">
        <f t="shared" si="14"/>
        <v>3.8212420219172669E-3</v>
      </c>
      <c r="AI93" s="21">
        <f t="shared" si="15"/>
        <v>3.9047438226481176E-3</v>
      </c>
      <c r="AJ93" s="21">
        <f t="shared" si="16"/>
        <v>4.0060698409430297E-3</v>
      </c>
    </row>
    <row r="94" spans="14:36" x14ac:dyDescent="0.2">
      <c r="N94" s="111"/>
      <c r="O94" s="111"/>
      <c r="AF94" s="200">
        <f>_xll.qlCalendarAdvance(Calendar,AF93,"1d","mf",,Trigger)</f>
        <v>42502</v>
      </c>
      <c r="AG94" s="25">
        <f>_xll.qlDayCounterYearFraction(DayCounter,SettlementDate,AF94,,,Trigger)</f>
        <v>0.36944444444444446</v>
      </c>
      <c r="AH94" s="21">
        <f t="shared" si="14"/>
        <v>3.8212420219172669E-3</v>
      </c>
      <c r="AI94" s="21">
        <f t="shared" si="15"/>
        <v>3.906780451934236E-3</v>
      </c>
      <c r="AJ94" s="21">
        <f t="shared" si="16"/>
        <v>4.0056943005063296E-3</v>
      </c>
    </row>
    <row r="95" spans="14:36" x14ac:dyDescent="0.2">
      <c r="N95" s="111"/>
      <c r="O95" s="111"/>
      <c r="AF95" s="200">
        <f>_xll.qlCalendarAdvance(Calendar,AF94,"1d","mf",,Trigger)</f>
        <v>42503</v>
      </c>
      <c r="AG95" s="25">
        <f>_xll.qlDayCounterYearFraction(DayCounter,SettlementDate,AF95,,,Trigger)</f>
        <v>0.37222222222222223</v>
      </c>
      <c r="AH95" s="21">
        <f t="shared" si="14"/>
        <v>3.8212420219172669E-3</v>
      </c>
      <c r="AI95" s="21">
        <f t="shared" si="15"/>
        <v>3.9088170812203544E-3</v>
      </c>
      <c r="AJ95" s="21">
        <f t="shared" si="16"/>
        <v>4.0052294204502665E-3</v>
      </c>
    </row>
    <row r="96" spans="14:36" x14ac:dyDescent="0.2">
      <c r="N96" s="111"/>
      <c r="O96" s="111"/>
      <c r="AF96" s="200">
        <f>_xll.qlCalendarAdvance(Calendar,AF95,"1d","mf",,Trigger)</f>
        <v>42506</v>
      </c>
      <c r="AG96" s="25">
        <f>_xll.qlDayCounterYearFraction(DayCounter,SettlementDate,AF96,,,Trigger)</f>
        <v>0.38055555555555554</v>
      </c>
      <c r="AH96" s="21">
        <f t="shared" si="14"/>
        <v>3.8212420219172669E-3</v>
      </c>
      <c r="AI96" s="21">
        <f t="shared" si="15"/>
        <v>3.9149269690787096E-3</v>
      </c>
      <c r="AJ96" s="21">
        <f t="shared" si="16"/>
        <v>4.0032987425658931E-3</v>
      </c>
    </row>
    <row r="97" spans="14:36" x14ac:dyDescent="0.2">
      <c r="N97" s="111"/>
      <c r="O97" s="111"/>
      <c r="AF97" s="200">
        <f>_xll.qlCalendarAdvance(Calendar,AF96,"1d","mf",,Trigger)</f>
        <v>42507</v>
      </c>
      <c r="AG97" s="25">
        <f>_xll.qlDayCounterYearFraction(DayCounter,SettlementDate,AF97,,,Trigger)</f>
        <v>0.38333333333333336</v>
      </c>
      <c r="AH97" s="21">
        <f t="shared" si="14"/>
        <v>3.8212420219172669E-3</v>
      </c>
      <c r="AI97" s="21">
        <f t="shared" si="15"/>
        <v>3.916963598364828E-3</v>
      </c>
      <c r="AJ97" s="21">
        <f t="shared" si="16"/>
        <v>4.0024765040323745E-3</v>
      </c>
    </row>
    <row r="98" spans="14:36" x14ac:dyDescent="0.2">
      <c r="N98" s="111"/>
      <c r="O98" s="111"/>
      <c r="AF98" s="200">
        <f>_xll.qlCalendarAdvance(Calendar,AF97,"1d","mf",,Trigger)</f>
        <v>42508</v>
      </c>
      <c r="AG98" s="25">
        <f>_xll.qlDayCounterYearFraction(DayCounter,SettlementDate,AF98,,,Trigger)</f>
        <v>0.38611111111111113</v>
      </c>
      <c r="AH98" s="21">
        <f t="shared" si="14"/>
        <v>3.8212420219172669E-3</v>
      </c>
      <c r="AI98" s="21">
        <f t="shared" si="15"/>
        <v>3.9190002276509464E-3</v>
      </c>
      <c r="AJ98" s="21">
        <f t="shared" si="16"/>
        <v>4.0015649258794929E-3</v>
      </c>
    </row>
    <row r="99" spans="14:36" x14ac:dyDescent="0.2">
      <c r="N99" s="111"/>
      <c r="O99" s="111"/>
      <c r="AF99" s="200">
        <f>_xll.qlCalendarAdvance(Calendar,AF98,"1d","mf",,Trigger)</f>
        <v>42509</v>
      </c>
      <c r="AG99" s="25">
        <f>_xll.qlDayCounterYearFraction(DayCounter,SettlementDate,AF99,,,Trigger)</f>
        <v>0.3888888888888889</v>
      </c>
      <c r="AH99" s="21">
        <f t="shared" ref="AH99:AH132" si="17">$W$13</f>
        <v>3.8212420219172669E-3</v>
      </c>
      <c r="AI99" s="21">
        <f t="shared" ref="AI99:AI132" si="18">$W$10+$W$9*AG99</f>
        <v>3.9210368569370649E-3</v>
      </c>
      <c r="AJ99" s="21">
        <f t="shared" ref="AJ99:AJ132" si="19">($W$5+$W$4*AG99+$W$3*AG99^2)</f>
        <v>4.0005640081072474E-3</v>
      </c>
    </row>
    <row r="100" spans="14:36" x14ac:dyDescent="0.2">
      <c r="N100" s="111"/>
      <c r="O100" s="111"/>
      <c r="AF100" s="200">
        <f>_xll.qlCalendarAdvance(Calendar,AF99,"1d","mf",,Trigger)</f>
        <v>42510</v>
      </c>
      <c r="AG100" s="25">
        <f>_xll.qlDayCounterYearFraction(DayCounter,SettlementDate,AF100,,,Trigger)</f>
        <v>0.39166666666666666</v>
      </c>
      <c r="AH100" s="21">
        <f t="shared" si="17"/>
        <v>3.8212420219172669E-3</v>
      </c>
      <c r="AI100" s="21">
        <f t="shared" si="18"/>
        <v>3.9230734862231833E-3</v>
      </c>
      <c r="AJ100" s="21">
        <f t="shared" si="19"/>
        <v>3.999473750715638E-3</v>
      </c>
    </row>
    <row r="101" spans="14:36" x14ac:dyDescent="0.2">
      <c r="N101" s="111"/>
      <c r="O101" s="111"/>
      <c r="AF101" s="200">
        <f>_xll.qlCalendarAdvance(Calendar,AF100,"1d","mf",,Trigger)</f>
        <v>42513</v>
      </c>
      <c r="AG101" s="25">
        <f>_xll.qlDayCounterYearFraction(DayCounter,SettlementDate,AF101,,,Trigger)</f>
        <v>0.4</v>
      </c>
      <c r="AH101" s="21">
        <f t="shared" si="17"/>
        <v>3.8212420219172669E-3</v>
      </c>
      <c r="AI101" s="21">
        <f t="shared" si="18"/>
        <v>3.9291833740815385E-3</v>
      </c>
      <c r="AJ101" s="21">
        <f t="shared" si="19"/>
        <v>3.9956669408246284E-3</v>
      </c>
    </row>
    <row r="102" spans="14:36" x14ac:dyDescent="0.2">
      <c r="N102" s="111"/>
      <c r="O102" s="111"/>
      <c r="AF102" s="200">
        <f>_xll.qlCalendarAdvance(Calendar,AF101,"1d","mf",,Trigger)</f>
        <v>42514</v>
      </c>
      <c r="AG102" s="25">
        <f>_xll.qlDayCounterYearFraction(DayCounter,SettlementDate,AF102,,,Trigger)</f>
        <v>0.40277777777777779</v>
      </c>
      <c r="AH102" s="21">
        <f t="shared" si="17"/>
        <v>3.8212420219172669E-3</v>
      </c>
      <c r="AI102" s="21">
        <f t="shared" si="18"/>
        <v>3.9312200033676569E-3</v>
      </c>
      <c r="AJ102" s="21">
        <f t="shared" si="19"/>
        <v>3.9942193249555653E-3</v>
      </c>
    </row>
    <row r="103" spans="14:36" x14ac:dyDescent="0.2">
      <c r="N103" s="111"/>
      <c r="O103" s="111"/>
      <c r="AF103" s="200">
        <f>_xll.qlCalendarAdvance(Calendar,AF102,"1d","mf",,Trigger)</f>
        <v>42515</v>
      </c>
      <c r="AG103" s="25">
        <f>_xll.qlDayCounterYearFraction(DayCounter,SettlementDate,AF103,,,Trigger)</f>
        <v>0.40555555555555556</v>
      </c>
      <c r="AH103" s="21">
        <f t="shared" si="17"/>
        <v>3.8212420219172669E-3</v>
      </c>
      <c r="AI103" s="21">
        <f t="shared" si="18"/>
        <v>3.9332566326537753E-3</v>
      </c>
      <c r="AJ103" s="21">
        <f t="shared" si="19"/>
        <v>3.9926823694671374E-3</v>
      </c>
    </row>
    <row r="104" spans="14:36" x14ac:dyDescent="0.2">
      <c r="N104" s="111"/>
      <c r="O104" s="111"/>
      <c r="AF104" s="200">
        <f>_xll.qlCalendarAdvance(Calendar,AF103,"1d","mf",,Trigger)</f>
        <v>42516</v>
      </c>
      <c r="AG104" s="25">
        <f>_xll.qlDayCounterYearFraction(DayCounter,SettlementDate,AF104,,,Trigger)</f>
        <v>0.40833333333333333</v>
      </c>
      <c r="AH104" s="21">
        <f t="shared" si="17"/>
        <v>3.8212420219172669E-3</v>
      </c>
      <c r="AI104" s="21">
        <f t="shared" si="18"/>
        <v>3.9352932619398937E-3</v>
      </c>
      <c r="AJ104" s="21">
        <f t="shared" si="19"/>
        <v>3.9910560743593457E-3</v>
      </c>
    </row>
    <row r="105" spans="14:36" x14ac:dyDescent="0.2">
      <c r="N105" s="111"/>
      <c r="O105" s="111"/>
      <c r="AF105" s="200">
        <f>_xll.qlCalendarAdvance(Calendar,AF104,"1d","mf",,Trigger)</f>
        <v>42517</v>
      </c>
      <c r="AG105" s="25">
        <f>_xll.qlDayCounterYearFraction(DayCounter,SettlementDate,AF105,,,Trigger)</f>
        <v>0.41111111111111109</v>
      </c>
      <c r="AH105" s="21">
        <f t="shared" si="17"/>
        <v>3.8212420219172669E-3</v>
      </c>
      <c r="AI105" s="21">
        <f t="shared" si="18"/>
        <v>3.9373298912260121E-3</v>
      </c>
      <c r="AJ105" s="21">
        <f t="shared" si="19"/>
        <v>3.989340439632191E-3</v>
      </c>
    </row>
    <row r="106" spans="14:36" x14ac:dyDescent="0.2">
      <c r="N106" s="111"/>
      <c r="O106" s="111"/>
      <c r="AF106" s="200">
        <f>_xll.qlCalendarAdvance(Calendar,AF105,"1d","mf",,Trigger)</f>
        <v>42521</v>
      </c>
      <c r="AG106" s="25">
        <f>_xll.qlDayCounterYearFraction(DayCounter,SettlementDate,AF106,,,Trigger)</f>
        <v>0.42222222222222222</v>
      </c>
      <c r="AH106" s="21">
        <f t="shared" si="17"/>
        <v>3.8212420219172669E-3</v>
      </c>
      <c r="AI106" s="21">
        <f t="shared" si="18"/>
        <v>3.9454764083704857E-3</v>
      </c>
      <c r="AJ106" s="21">
        <f t="shared" si="19"/>
        <v>3.9815845045299359E-3</v>
      </c>
    </row>
    <row r="107" spans="14:36" x14ac:dyDescent="0.2">
      <c r="N107" s="111"/>
      <c r="O107" s="111"/>
      <c r="AF107" s="200">
        <f>_xll.qlCalendarAdvance(Calendar,AF106,"1d","mf",,Trigger)</f>
        <v>42522</v>
      </c>
      <c r="AG107" s="25">
        <f>_xll.qlDayCounterYearFraction(DayCounter,SettlementDate,AF107,,,Trigger)</f>
        <v>0.42499999999999999</v>
      </c>
      <c r="AH107" s="21">
        <f t="shared" si="17"/>
        <v>3.8212420219172669E-3</v>
      </c>
      <c r="AI107" s="21">
        <f t="shared" si="18"/>
        <v>3.9475130376566041E-3</v>
      </c>
      <c r="AJ107" s="21">
        <f t="shared" si="19"/>
        <v>3.9794221717059635E-3</v>
      </c>
    </row>
    <row r="108" spans="14:36" x14ac:dyDescent="0.2">
      <c r="N108" s="111"/>
      <c r="O108" s="111"/>
      <c r="AF108" s="200">
        <f>_xll.qlCalendarAdvance(Calendar,AF107,"1d","mf",,Trigger)</f>
        <v>42523</v>
      </c>
      <c r="AG108" s="25">
        <f>_xll.qlDayCounterYearFraction(DayCounter,SettlementDate,AF108,,,Trigger)</f>
        <v>0.42777777777777776</v>
      </c>
      <c r="AH108" s="21">
        <f t="shared" si="17"/>
        <v>3.8212420219172669E-3</v>
      </c>
      <c r="AI108" s="21">
        <f t="shared" si="18"/>
        <v>3.9495496669427225E-3</v>
      </c>
      <c r="AJ108" s="21">
        <f t="shared" si="19"/>
        <v>3.9771704992626264E-3</v>
      </c>
    </row>
    <row r="109" spans="14:36" x14ac:dyDescent="0.2">
      <c r="N109" s="111"/>
      <c r="O109" s="111"/>
      <c r="AF109" s="200">
        <f>_xll.qlCalendarAdvance(Calendar,AF108,"1d","mf",,Trigger)</f>
        <v>42524</v>
      </c>
      <c r="AG109" s="25">
        <f>_xll.qlDayCounterYearFraction(DayCounter,SettlementDate,AF109,,,Trigger)</f>
        <v>0.43055555555555558</v>
      </c>
      <c r="AH109" s="21">
        <f t="shared" si="17"/>
        <v>3.8212420219172669E-3</v>
      </c>
      <c r="AI109" s="21">
        <f t="shared" si="18"/>
        <v>3.9515862962288409E-3</v>
      </c>
      <c r="AJ109" s="21">
        <f t="shared" si="19"/>
        <v>3.9748294871999263E-3</v>
      </c>
    </row>
    <row r="110" spans="14:36" x14ac:dyDescent="0.2">
      <c r="N110" s="111"/>
      <c r="O110" s="111"/>
      <c r="AF110" s="200">
        <f>_xll.qlCalendarAdvance(Calendar,AF109,"1d","mf",,Trigger)</f>
        <v>42527</v>
      </c>
      <c r="AG110" s="25">
        <f>_xll.qlDayCounterYearFraction(DayCounter,SettlementDate,AF110,,,Trigger)</f>
        <v>0.43888888888888888</v>
      </c>
      <c r="AH110" s="21">
        <f t="shared" si="17"/>
        <v>3.8212420219172669E-3</v>
      </c>
      <c r="AI110" s="21">
        <f t="shared" si="18"/>
        <v>3.9576961840871953E-3</v>
      </c>
      <c r="AJ110" s="21">
        <f t="shared" si="19"/>
        <v>3.9672704132956435E-3</v>
      </c>
    </row>
    <row r="111" spans="14:36" x14ac:dyDescent="0.2">
      <c r="N111" s="111"/>
      <c r="O111" s="111"/>
      <c r="AF111" s="200">
        <f>_xll.qlCalendarAdvance(Calendar,AF110,"1d","mf",,Trigger)</f>
        <v>42528</v>
      </c>
      <c r="AG111" s="25">
        <f>_xll.qlDayCounterYearFraction(DayCounter,SettlementDate,AF111,,,Trigger)</f>
        <v>0.44166666666666665</v>
      </c>
      <c r="AH111" s="21">
        <f t="shared" si="17"/>
        <v>3.8212420219172669E-3</v>
      </c>
      <c r="AI111" s="21">
        <f t="shared" si="18"/>
        <v>3.9597328133733137E-3</v>
      </c>
      <c r="AJ111" s="21">
        <f t="shared" si="19"/>
        <v>3.9645720427554888E-3</v>
      </c>
    </row>
    <row r="112" spans="14:36" x14ac:dyDescent="0.2">
      <c r="N112" s="111"/>
      <c r="O112" s="111"/>
      <c r="AF112" s="200">
        <f>_xll.qlCalendarAdvance(Calendar,AF111,"1d","mf",,Trigger)</f>
        <v>42529</v>
      </c>
      <c r="AG112" s="25">
        <f>_xll.qlDayCounterYearFraction(DayCounter,SettlementDate,AF112,,,Trigger)</f>
        <v>0.44444444444444442</v>
      </c>
      <c r="AH112" s="21">
        <f t="shared" si="17"/>
        <v>3.8212420219172669E-3</v>
      </c>
      <c r="AI112" s="21">
        <f t="shared" si="18"/>
        <v>3.9617694426594321E-3</v>
      </c>
      <c r="AJ112" s="21">
        <f t="shared" si="19"/>
        <v>3.9617843325959702E-3</v>
      </c>
    </row>
    <row r="113" spans="14:36" x14ac:dyDescent="0.2">
      <c r="N113" s="112"/>
      <c r="O113" s="111"/>
      <c r="AF113" s="200">
        <f>_xll.qlCalendarAdvance(Calendar,AF112,"1d","mf",,Trigger)</f>
        <v>42530</v>
      </c>
      <c r="AG113" s="25">
        <f>_xll.qlDayCounterYearFraction(DayCounter,SettlementDate,AF113,,,Trigger)</f>
        <v>0.44722222222222224</v>
      </c>
      <c r="AH113" s="21">
        <f t="shared" si="17"/>
        <v>3.8212420219172669E-3</v>
      </c>
      <c r="AI113" s="21">
        <f t="shared" si="18"/>
        <v>3.9638060719455505E-3</v>
      </c>
      <c r="AJ113" s="21">
        <f t="shared" si="19"/>
        <v>3.9589072828170885E-3</v>
      </c>
    </row>
    <row r="114" spans="14:36" x14ac:dyDescent="0.2">
      <c r="N114" s="112"/>
      <c r="O114" s="111"/>
      <c r="AF114" s="200">
        <f>_xll.qlCalendarAdvance(Calendar,AF113,"1d","mf",,Trigger)</f>
        <v>42531</v>
      </c>
      <c r="AG114" s="25">
        <f>_xll.qlDayCounterYearFraction(DayCounter,SettlementDate,AF114,,,Trigger)</f>
        <v>0.45</v>
      </c>
      <c r="AH114" s="21">
        <f t="shared" si="17"/>
        <v>3.8212420219172669E-3</v>
      </c>
      <c r="AI114" s="21">
        <f t="shared" si="18"/>
        <v>3.9658427012316689E-3</v>
      </c>
      <c r="AJ114" s="21">
        <f t="shared" si="19"/>
        <v>3.9559408934188422E-3</v>
      </c>
    </row>
    <row r="115" spans="14:36" x14ac:dyDescent="0.2">
      <c r="N115" s="112"/>
      <c r="O115" s="111"/>
      <c r="AF115" s="200">
        <f>_xll.qlCalendarAdvance(Calendar,AF114,"1d","mf",,Trigger)</f>
        <v>42534</v>
      </c>
      <c r="AG115" s="25">
        <f>_xll.qlDayCounterYearFraction(DayCounter,SettlementDate,AF115,,,Trigger)</f>
        <v>0.45833333333333331</v>
      </c>
      <c r="AH115" s="21">
        <f t="shared" si="17"/>
        <v>3.8212420219172669E-3</v>
      </c>
      <c r="AI115" s="21">
        <f t="shared" si="18"/>
        <v>3.9719525890900241E-3</v>
      </c>
      <c r="AJ115" s="21">
        <f t="shared" si="19"/>
        <v>3.9465056875079233E-3</v>
      </c>
    </row>
    <row r="116" spans="14:36" x14ac:dyDescent="0.2">
      <c r="N116" s="112"/>
      <c r="O116" s="111"/>
      <c r="AF116" s="200">
        <f>_xll.qlCalendarAdvance(Calendar,AF115,"1d","mf",,Trigger)</f>
        <v>42535</v>
      </c>
      <c r="AG116" s="25">
        <f>_xll.qlDayCounterYearFraction(DayCounter,SettlementDate,AF116,,,Trigger)</f>
        <v>0.46111111111111114</v>
      </c>
      <c r="AH116" s="21">
        <f t="shared" si="17"/>
        <v>3.8212420219172669E-3</v>
      </c>
      <c r="AI116" s="21">
        <f t="shared" si="18"/>
        <v>3.9739892183761425E-3</v>
      </c>
      <c r="AJ116" s="21">
        <f t="shared" si="19"/>
        <v>3.9431819396322232E-3</v>
      </c>
    </row>
    <row r="117" spans="14:36" x14ac:dyDescent="0.2">
      <c r="N117" s="112"/>
      <c r="O117" s="111"/>
      <c r="AF117" s="200">
        <f>_xll.qlCalendarAdvance(Calendar,AF116,"1d","mf",,Trigger)</f>
        <v>42536</v>
      </c>
      <c r="AG117" s="25">
        <f>_xll.qlDayCounterYearFraction(DayCounter,SettlementDate,AF117,,,Trigger)</f>
        <v>0.46388888888888891</v>
      </c>
      <c r="AH117" s="21">
        <f t="shared" si="17"/>
        <v>3.8212420219172669E-3</v>
      </c>
      <c r="AI117" s="21">
        <f t="shared" si="18"/>
        <v>3.9760258476622609E-3</v>
      </c>
      <c r="AJ117" s="21">
        <f t="shared" si="19"/>
        <v>3.9397688521371592E-3</v>
      </c>
    </row>
    <row r="118" spans="14:36" x14ac:dyDescent="0.2">
      <c r="N118" s="112"/>
      <c r="O118" s="111"/>
      <c r="AF118" s="200">
        <f>_xll.qlCalendarAdvance(Calendar,AF117,"1d","mf",,Trigger)</f>
        <v>42537</v>
      </c>
      <c r="AG118" s="25">
        <f>_xll.qlDayCounterYearFraction(DayCounter,SettlementDate,AF118,,,Trigger)</f>
        <v>0.46666666666666667</v>
      </c>
      <c r="AH118" s="21">
        <f t="shared" si="17"/>
        <v>3.8212420219172669E-3</v>
      </c>
      <c r="AI118" s="21">
        <f t="shared" si="18"/>
        <v>3.9780624769483793E-3</v>
      </c>
      <c r="AJ118" s="21">
        <f t="shared" si="19"/>
        <v>3.9362664250227322E-3</v>
      </c>
    </row>
    <row r="119" spans="14:36" x14ac:dyDescent="0.2">
      <c r="N119" s="112"/>
      <c r="O119" s="112"/>
      <c r="AF119" s="200">
        <f>_xll.qlCalendarAdvance(Calendar,AF118,"1d","mf",,Trigger)</f>
        <v>42538</v>
      </c>
      <c r="AG119" s="25">
        <f>_xll.qlDayCounterYearFraction(DayCounter,SettlementDate,AF119,,,Trigger)</f>
        <v>0.46944444444444444</v>
      </c>
      <c r="AH119" s="21">
        <f t="shared" si="17"/>
        <v>3.8212420219172669E-3</v>
      </c>
      <c r="AI119" s="21">
        <f t="shared" si="18"/>
        <v>3.9800991062344977E-3</v>
      </c>
      <c r="AJ119" s="21">
        <f t="shared" si="19"/>
        <v>3.9326746582889404E-3</v>
      </c>
    </row>
    <row r="120" spans="14:36" x14ac:dyDescent="0.2">
      <c r="N120" s="112"/>
      <c r="O120" s="112"/>
      <c r="AF120" s="200">
        <f>_xll.qlCalendarAdvance(Calendar,AF119,"1d","mf",,Trigger)</f>
        <v>42541</v>
      </c>
      <c r="AG120" s="25">
        <f>_xll.qlDayCounterYearFraction(DayCounter,SettlementDate,AF120,,,Trigger)</f>
        <v>0.4777777777777778</v>
      </c>
      <c r="AH120" s="21">
        <f t="shared" si="17"/>
        <v>3.8212420219172669E-3</v>
      </c>
      <c r="AI120" s="21">
        <f t="shared" si="18"/>
        <v>3.9862089940928529E-3</v>
      </c>
      <c r="AJ120" s="21">
        <f t="shared" si="19"/>
        <v>3.9213633203713854E-3</v>
      </c>
    </row>
    <row r="121" spans="14:36" x14ac:dyDescent="0.2">
      <c r="N121" s="112"/>
      <c r="O121" s="112"/>
      <c r="AF121" s="200">
        <f>_xll.qlCalendarAdvance(Calendar,AF120,"1d","mf",,Trigger)</f>
        <v>42542</v>
      </c>
      <c r="AG121" s="25">
        <f>_xll.qlDayCounterYearFraction(DayCounter,SettlementDate,AF121,,,Trigger)</f>
        <v>0.48055555555555557</v>
      </c>
      <c r="AH121" s="21">
        <f t="shared" si="17"/>
        <v>3.8212420219172669E-3</v>
      </c>
      <c r="AI121" s="21">
        <f t="shared" si="18"/>
        <v>3.9882456233789713E-3</v>
      </c>
      <c r="AJ121" s="21">
        <f t="shared" si="19"/>
        <v>3.9174141951601391E-3</v>
      </c>
    </row>
    <row r="122" spans="14:36" x14ac:dyDescent="0.2">
      <c r="N122" s="112"/>
      <c r="O122" s="112"/>
      <c r="AF122" s="200">
        <f>_xll.qlCalendarAdvance(Calendar,AF121,"1d","mf",,Trigger)</f>
        <v>42543</v>
      </c>
      <c r="AG122" s="25">
        <f>_xll.qlDayCounterYearFraction(DayCounter,SettlementDate,AF122,,,Trigger)</f>
        <v>0.48333333333333334</v>
      </c>
      <c r="AH122" s="21">
        <f t="shared" si="17"/>
        <v>3.8212420219172669E-3</v>
      </c>
      <c r="AI122" s="21">
        <f t="shared" si="18"/>
        <v>3.9902822526650897E-3</v>
      </c>
      <c r="AJ122" s="21">
        <f t="shared" si="19"/>
        <v>3.9133757303295305E-3</v>
      </c>
    </row>
    <row r="123" spans="14:36" x14ac:dyDescent="0.2">
      <c r="N123" s="112"/>
      <c r="O123" s="112"/>
      <c r="AF123" s="200">
        <f>_xll.qlCalendarAdvance(Calendar,AF122,"1d","mf",,Trigger)</f>
        <v>42544</v>
      </c>
      <c r="AG123" s="25">
        <f>_xll.qlDayCounterYearFraction(DayCounter,SettlementDate,AF123,,,Trigger)</f>
        <v>0.4861111111111111</v>
      </c>
      <c r="AH123" s="21">
        <f t="shared" si="17"/>
        <v>3.8212420219172669E-3</v>
      </c>
      <c r="AI123" s="21">
        <f t="shared" si="18"/>
        <v>3.9923188819512082E-3</v>
      </c>
      <c r="AJ123" s="21">
        <f t="shared" si="19"/>
        <v>3.9092479258795582E-3</v>
      </c>
    </row>
    <row r="124" spans="14:36" x14ac:dyDescent="0.2">
      <c r="N124" s="112"/>
      <c r="O124" s="112"/>
      <c r="AF124" s="200">
        <f>_xll.qlCalendarAdvance(Calendar,AF123,"1d","mf",,Trigger)</f>
        <v>42545</v>
      </c>
      <c r="AG124" s="25">
        <f>_xll.qlDayCounterYearFraction(DayCounter,SettlementDate,AF124,,,Trigger)</f>
        <v>0.48888888888888887</v>
      </c>
      <c r="AH124" s="21">
        <f t="shared" si="17"/>
        <v>3.8212420219172669E-3</v>
      </c>
      <c r="AI124" s="21">
        <f t="shared" si="18"/>
        <v>3.9943555112373266E-3</v>
      </c>
      <c r="AJ124" s="21">
        <f t="shared" si="19"/>
        <v>3.9050307818102206E-3</v>
      </c>
    </row>
    <row r="125" spans="14:36" x14ac:dyDescent="0.2">
      <c r="N125" s="112"/>
      <c r="O125" s="112"/>
      <c r="AF125" s="200">
        <f>_xll.qlCalendarAdvance(Calendar,AF124,"1d","mf",,Trigger)</f>
        <v>42548</v>
      </c>
      <c r="AG125" s="25">
        <f>_xll.qlDayCounterYearFraction(DayCounter,SettlementDate,AF125,,,Trigger)</f>
        <v>0.49722222222222223</v>
      </c>
      <c r="AH125" s="21">
        <f t="shared" si="17"/>
        <v>3.8212420219172669E-3</v>
      </c>
      <c r="AI125" s="21">
        <f t="shared" si="18"/>
        <v>4.0004653990956818E-3</v>
      </c>
      <c r="AJ125" s="21">
        <f t="shared" si="19"/>
        <v>3.891843311886029E-3</v>
      </c>
    </row>
    <row r="126" spans="14:36" x14ac:dyDescent="0.2">
      <c r="N126" s="112"/>
      <c r="O126" s="112"/>
      <c r="AF126" s="200">
        <f>_xll.qlCalendarAdvance(Calendar,AF125,"1d","mf",,Trigger)</f>
        <v>42549</v>
      </c>
      <c r="AG126" s="25">
        <f>_xll.qlDayCounterYearFraction(DayCounter,SettlementDate,AF126,,,Trigger)</f>
        <v>0.5</v>
      </c>
      <c r="AH126" s="21">
        <f t="shared" si="17"/>
        <v>3.8212420219172669E-3</v>
      </c>
      <c r="AI126" s="21">
        <f t="shared" si="18"/>
        <v>4.0025020283818002E-3</v>
      </c>
      <c r="AJ126" s="21">
        <f t="shared" si="19"/>
        <v>3.8872688093392373E-3</v>
      </c>
    </row>
    <row r="127" spans="14:36" x14ac:dyDescent="0.2">
      <c r="N127" s="112"/>
      <c r="O127" s="112"/>
      <c r="AF127" s="200">
        <f>_xll.qlCalendarAdvance(Calendar,AF126,"1d","mf",,Trigger)</f>
        <v>42550</v>
      </c>
      <c r="AG127" s="25">
        <f>_xll.qlDayCounterYearFraction(DayCounter,SettlementDate,AF127,,,Trigger)</f>
        <v>0.50277777777777777</v>
      </c>
      <c r="AH127" s="21">
        <f t="shared" si="17"/>
        <v>3.8212420219172669E-3</v>
      </c>
      <c r="AI127" s="21">
        <f t="shared" si="18"/>
        <v>4.0045386576679186E-3</v>
      </c>
      <c r="AJ127" s="21">
        <f t="shared" si="19"/>
        <v>3.8826049671730821E-3</v>
      </c>
    </row>
    <row r="128" spans="14:36" x14ac:dyDescent="0.2">
      <c r="N128" s="112"/>
      <c r="O128" s="112"/>
      <c r="AF128" s="200">
        <f>_xll.qlCalendarAdvance(Calendar,AF127,"1d","mf",,Trigger)</f>
        <v>42551</v>
      </c>
      <c r="AG128" s="25">
        <f>_xll.qlDayCounterYearFraction(DayCounter,SettlementDate,AF128,,,Trigger)</f>
        <v>0.50555555555555554</v>
      </c>
      <c r="AH128" s="21">
        <f t="shared" si="17"/>
        <v>3.8212420219172669E-3</v>
      </c>
      <c r="AI128" s="21">
        <f t="shared" si="18"/>
        <v>4.006575286954037E-3</v>
      </c>
      <c r="AJ128" s="21">
        <f t="shared" si="19"/>
        <v>3.8778517853875639E-3</v>
      </c>
    </row>
    <row r="129" spans="15:36" x14ac:dyDescent="0.2">
      <c r="O129" s="112"/>
      <c r="AF129" s="200">
        <f>_xll.qlCalendarAdvance(Calendar,AF128,"1d","mf",,Trigger)</f>
        <v>42552</v>
      </c>
      <c r="AG129" s="25">
        <f>_xll.qlDayCounterYearFraction(DayCounter,SettlementDate,AF129,,,Trigger)</f>
        <v>0.5083333333333333</v>
      </c>
      <c r="AH129" s="21">
        <f t="shared" si="17"/>
        <v>3.8212420219172669E-3</v>
      </c>
      <c r="AI129" s="21">
        <f t="shared" si="18"/>
        <v>4.0086119162401554E-3</v>
      </c>
      <c r="AJ129" s="21">
        <f t="shared" si="19"/>
        <v>3.8730092639826822E-3</v>
      </c>
    </row>
    <row r="130" spans="15:36" x14ac:dyDescent="0.2">
      <c r="O130" s="112"/>
      <c r="AF130" s="200">
        <f>_xll.qlCalendarAdvance(Calendar,AF129,"1d","mf",,Trigger)</f>
        <v>42555</v>
      </c>
      <c r="AG130" s="25">
        <f>_xll.qlDayCounterYearFraction(DayCounter,SettlementDate,AF130,,,Trigger)</f>
        <v>0.51666666666666672</v>
      </c>
      <c r="AH130" s="21">
        <f t="shared" si="17"/>
        <v>3.8212420219172669E-3</v>
      </c>
      <c r="AI130" s="21">
        <f t="shared" si="18"/>
        <v>4.0147218040985106E-3</v>
      </c>
      <c r="AJ130" s="21">
        <f t="shared" si="19"/>
        <v>3.8579456620518537E-3</v>
      </c>
    </row>
    <row r="131" spans="15:36" x14ac:dyDescent="0.2">
      <c r="O131" s="112"/>
      <c r="AF131" s="200">
        <f>_xll.qlCalendarAdvance(Calendar,AF130,"1d","mf",,Trigger)</f>
        <v>42556</v>
      </c>
      <c r="AG131" s="25">
        <f>_xll.qlDayCounterYearFraction(DayCounter,SettlementDate,AF131,,,Trigger)</f>
        <v>0.51944444444444449</v>
      </c>
      <c r="AH131" s="21">
        <f t="shared" si="17"/>
        <v>3.8212420219172669E-3</v>
      </c>
      <c r="AI131" s="21">
        <f t="shared" si="18"/>
        <v>4.016758433384629E-3</v>
      </c>
      <c r="AJ131" s="21">
        <f t="shared" si="19"/>
        <v>3.852745782169517E-3</v>
      </c>
    </row>
    <row r="132" spans="15:36" x14ac:dyDescent="0.2">
      <c r="O132" s="112"/>
      <c r="AF132" s="201">
        <f>_xll.qlCalendarAdvance(Calendar,AF131,"1d","mf",,Trigger)</f>
        <v>42557</v>
      </c>
      <c r="AG132" s="180">
        <f>_xll.qlDayCounterYearFraction(DayCounter,SettlementDate,AF132,,,Trigger)</f>
        <v>0.52222222222222225</v>
      </c>
      <c r="AH132" s="26">
        <f t="shared" si="17"/>
        <v>3.8212420219172669E-3</v>
      </c>
      <c r="AI132" s="26">
        <f t="shared" si="18"/>
        <v>4.0187950626707474E-3</v>
      </c>
      <c r="AJ132" s="26">
        <f t="shared" si="19"/>
        <v>3.847456562667816E-3</v>
      </c>
    </row>
    <row r="133" spans="15:36" x14ac:dyDescent="0.2">
      <c r="O133" s="112"/>
    </row>
    <row r="134" spans="15:36" x14ac:dyDescent="0.2">
      <c r="O134" s="112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customWidth="1"/>
    <col min="30" max="31" width="9.5" style="84"/>
    <col min="32" max="32" width="20.33203125" style="15" bestFit="1" customWidth="1"/>
    <col min="33" max="33" width="8.1640625" style="15" bestFit="1" customWidth="1"/>
    <col min="34" max="35" width="9.5" style="15" bestFit="1" customWidth="1"/>
    <col min="36" max="36" width="11.6640625" style="15" bestFit="1" customWidth="1"/>
    <col min="37" max="16384" width="9.5" style="84"/>
  </cols>
  <sheetData>
    <row r="1" spans="1:36" x14ac:dyDescent="0.2">
      <c r="AF1" s="84"/>
      <c r="AG1" s="84"/>
      <c r="AH1" s="84"/>
      <c r="AI1" s="84"/>
      <c r="AJ1" s="84"/>
    </row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121</v>
      </c>
      <c r="G2" s="171" t="s">
        <v>122</v>
      </c>
      <c r="H2" s="171" t="s">
        <v>120</v>
      </c>
      <c r="I2" s="171" t="s">
        <v>123</v>
      </c>
      <c r="J2" s="171" t="s">
        <v>124</v>
      </c>
      <c r="K2" s="171" t="s">
        <v>128</v>
      </c>
      <c r="L2" s="171" t="s">
        <v>129</v>
      </c>
      <c r="M2" s="171" t="s">
        <v>94</v>
      </c>
      <c r="N2" s="171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120</v>
      </c>
      <c r="AH2" s="171" t="s">
        <v>30</v>
      </c>
      <c r="AI2" s="171" t="s">
        <v>85</v>
      </c>
      <c r="AJ2" s="171" t="s">
        <v>86</v>
      </c>
    </row>
    <row r="3" spans="1:36" ht="12" customHeight="1" x14ac:dyDescent="0.2">
      <c r="C3" s="173" t="str">
        <f>$D$10&amp;"LastFixing"&amp;QuoteSuffix</f>
        <v>UsdLibor1YLastFixing_Quote</v>
      </c>
      <c r="D3" s="47">
        <f>_xll.qlCalendarAdvance(Calendar,_xll.qlLastFixingQuoteReferenceDate($C$3),_xll.qlInterestRateIndexFixingDays($D$10)&amp;"D","f",,LastFixingsTrigger)</f>
        <v>42367</v>
      </c>
      <c r="E3" s="47">
        <f>_xll.qlInterestRateIndexMaturity($D$10,D3)</f>
        <v>42733</v>
      </c>
      <c r="F3" s="75">
        <f>_xll.qlYieldTSDiscount(Discounting,D3,,AllTriggers)</f>
        <v>0.99998500022511916</v>
      </c>
      <c r="G3" s="75">
        <f>_xll.qlYieldTSDiscount(Discounting,E3,,AllTriggers)</f>
        <v>0.99412400185421712</v>
      </c>
      <c r="H3" s="77">
        <f>_xll.qlDayCounterYearFraction(DayCounter,D3,E3,,,Trigger)</f>
        <v>1.0166666666666666</v>
      </c>
      <c r="I3" s="79">
        <f>(F3/G3-1)/H3</f>
        <v>5.7989912924774579E-3</v>
      </c>
      <c r="J3" s="69">
        <f>'Delta 1Y'!P3</f>
        <v>5.6542421579978278E-3</v>
      </c>
      <c r="K3" s="53">
        <f>_xll.qlDayCounterYearFraction(DayCounter,SettlementDate,D3,,,Trigger)</f>
        <v>-5.5555555555555558E-3</v>
      </c>
      <c r="L3" s="53">
        <f>_xll.qlDayCounterYearFraction(DayCounter,SettlementDate,E3,,,Trigger)</f>
        <v>1.0111111111111111</v>
      </c>
      <c r="M3" s="53">
        <f>L3-K3</f>
        <v>1.0166666666666666</v>
      </c>
      <c r="N3" s="53">
        <f>(L3^2-K3^2)/2</f>
        <v>0.51115740740740734</v>
      </c>
      <c r="O3" s="53">
        <f>(L3^3-K3^3)/3</f>
        <v>0.34456841563785995</v>
      </c>
      <c r="P3" s="174" t="b">
        <f>IF(D12="fixing",TRUE,FALSE)</f>
        <v>0</v>
      </c>
      <c r="R3" s="379" t="s">
        <v>88</v>
      </c>
      <c r="S3" s="96">
        <f t="array" ref="S3:S5">_xll.ohFilter(O3:O7,P3:P7)</f>
        <v>0.34741601651806114</v>
      </c>
      <c r="T3" s="97">
        <f t="array" ref="T3:T5">_xll.ohFilter(N3:N7,P3:P7)</f>
        <v>0.51398533950617276</v>
      </c>
      <c r="U3" s="98">
        <f t="array" ref="U3:U5">_xll.ohFilter(M3:M7,P3:P7)</f>
        <v>1.0138888888888888</v>
      </c>
      <c r="V3" s="99"/>
      <c r="W3" s="100">
        <f t="array" ref="W3:W5">MMULT(AA3:AC5,Y3:Y5)</f>
        <v>-5.4619114561910154E-4</v>
      </c>
      <c r="X3" s="101"/>
      <c r="Y3" s="117">
        <f t="array" ref="Y3:Y5">_xll.ohFilter(J3:J7,P3:P7)</f>
        <v>5.6542421579978278E-3</v>
      </c>
      <c r="AA3" s="96">
        <f t="array" ref="AA3:AC5">MINVERSE(S3:U5)</f>
        <v>87.714059019781601</v>
      </c>
      <c r="AB3" s="97">
        <v>-176.94711611396582</v>
      </c>
      <c r="AC3" s="98">
        <v>90.687416952655184</v>
      </c>
      <c r="AF3" s="23">
        <f>SettlementDate</f>
        <v>42369</v>
      </c>
      <c r="AG3" s="25">
        <f>_xll.qlDayCounterYearFraction(DayCounter,SettlementDate,AF3,,,Trigger)</f>
        <v>0</v>
      </c>
      <c r="AH3" s="20">
        <f t="shared" ref="AH3:AH66" si="0">$W$13</f>
        <v>5.5767867859704608E-3</v>
      </c>
      <c r="AI3" s="20">
        <f t="shared" ref="AI3:AI66" si="1">$W$10+$W$9*AG3</f>
        <v>6.2861147448070379E-3</v>
      </c>
      <c r="AJ3" s="20">
        <f t="shared" ref="AJ3:AJ66" si="2">($W$5+$W$4*AG3+$W$3*AG3^2)</f>
        <v>6.1644569358088319E-3</v>
      </c>
    </row>
    <row r="4" spans="1:36" ht="12" customHeight="1" x14ac:dyDescent="0.2">
      <c r="A4" s="84">
        <v>0</v>
      </c>
      <c r="B4" s="197">
        <f>A4+12</f>
        <v>12</v>
      </c>
      <c r="C4" s="175" t="str">
        <f>"Delta("&amp;A4&amp;"M,"&amp;B4&amp;"M)extrap"</f>
        <v>Delta(0M,12M)extrap</v>
      </c>
      <c r="D4" s="16">
        <f>SettlementDate</f>
        <v>42369</v>
      </c>
      <c r="E4" s="16">
        <f>_xll.qlInterestRateIndexMaturity($D$10,D4)</f>
        <v>42734</v>
      </c>
      <c r="F4" s="76">
        <f>_xll.qlYieldTSDiscount(Discounting,D4,,AllTriggers)</f>
        <v>0.99996012451818017</v>
      </c>
      <c r="G4" s="76">
        <f>_xll.qlYieldTSDiscount(Discounting,E4,,AllTriggers)</f>
        <v>0.99409970395916814</v>
      </c>
      <c r="H4" s="78">
        <f>_xll.qlDayCounterYearFraction(DayCounter,D4,E4,,,Trigger)</f>
        <v>1.0138888888888888</v>
      </c>
      <c r="I4" s="17">
        <f t="shared" ref="I4:I7" si="3">(F4/G4-1)/H4</f>
        <v>5.8144477885936612E-3</v>
      </c>
      <c r="J4" s="70">
        <f>LN((1+(_xll.qlInterpolationInterpolate(B12MInterpolation,D4,TRUE,AllTriggers)+I4)*H4)/(1+I4*H4))</f>
        <v>5.6542421579978278E-3</v>
      </c>
      <c r="K4" s="25">
        <f>_xll.qlDayCounterYearFraction(DayCounter,SettlementDate,D4,,,Trigger)</f>
        <v>0</v>
      </c>
      <c r="L4" s="25">
        <f>_xll.qlDayCounterYearFraction(DayCounter,SettlementDate,E4,,,Trigger)</f>
        <v>1.0138888888888888</v>
      </c>
      <c r="M4" s="25">
        <f>L4-K4</f>
        <v>1.0138888888888888</v>
      </c>
      <c r="N4" s="25">
        <f>(L4^2-K4^2)/2</f>
        <v>0.51398533950617276</v>
      </c>
      <c r="O4" s="25">
        <f>(L4^3-K4^3)/3</f>
        <v>0.34741601651806114</v>
      </c>
      <c r="P4" s="176" t="b">
        <f>IF(D12="fixing",FALSE,TRUE)</f>
        <v>1</v>
      </c>
      <c r="R4" s="379"/>
      <c r="S4" s="96">
        <v>0.44686202560585281</v>
      </c>
      <c r="T4" s="97">
        <v>0.60481481481481481</v>
      </c>
      <c r="U4" s="98">
        <v>1.0222222222222224</v>
      </c>
      <c r="V4" s="103" t="s">
        <v>28</v>
      </c>
      <c r="W4" s="100">
        <v>-7.9005499179118921E-4</v>
      </c>
      <c r="X4" s="103" t="s">
        <v>29</v>
      </c>
      <c r="Y4" s="117">
        <v>5.579535822462625E-3</v>
      </c>
      <c r="AA4" s="96">
        <v>-109.46912789530911</v>
      </c>
      <c r="AB4" s="97">
        <v>208.89590096787629</v>
      </c>
      <c r="AC4" s="98">
        <v>-101.14372568326205</v>
      </c>
      <c r="AF4" s="24">
        <f>_xll.qlCalendarAdvance(Calendar,AF3,"1d","mf",,Trigger)</f>
        <v>42373</v>
      </c>
      <c r="AG4" s="25">
        <f>_xll.qlDayCounterYearFraction(DayCounter,SettlementDate,AF4,,,Trigger)</f>
        <v>1.1111111111111112E-2</v>
      </c>
      <c r="AH4" s="21">
        <f t="shared" si="0"/>
        <v>5.5767867859704608E-3</v>
      </c>
      <c r="AI4" s="21">
        <f t="shared" si="1"/>
        <v>6.270567830640757E-3</v>
      </c>
      <c r="AJ4" s="21">
        <f t="shared" si="2"/>
        <v>6.1556111160055204E-3</v>
      </c>
    </row>
    <row r="5" spans="1:36" ht="12" customHeight="1" x14ac:dyDescent="0.2">
      <c r="A5" s="86">
        <v>1</v>
      </c>
      <c r="B5" s="197">
        <f t="shared" ref="B5:B7" si="4">A5+12</f>
        <v>13</v>
      </c>
      <c r="C5" s="175" t="str">
        <f>"Delta("&amp;A5&amp;"M,"&amp;B5&amp;"M)"</f>
        <v>Delta(1M,13M)</v>
      </c>
      <c r="D5" s="16">
        <f>_xll.qlCalendarAdvance(Calendar,SettlementDate,A5&amp;"M","mf")</f>
        <v>42398</v>
      </c>
      <c r="E5" s="16">
        <f>_xll.qlInterestRateIndexMaturity($D$10,D5)</f>
        <v>42766</v>
      </c>
      <c r="F5" s="76">
        <f>_xll.qlYieldTSDiscount(Discounting,D5,,AllTriggers)</f>
        <v>0.99968677449654142</v>
      </c>
      <c r="G5" s="76">
        <f>_xll.qlYieldTSDiscount(Discounting,E5,,AllTriggers)</f>
        <v>0.99331102490278078</v>
      </c>
      <c r="H5" s="78">
        <f>_xll.qlDayCounterYearFraction(DayCounter,D5,E5,,,Trigger)</f>
        <v>1.0222222222222221</v>
      </c>
      <c r="I5" s="17">
        <f t="shared" si="3"/>
        <v>6.2791474023283639E-3</v>
      </c>
      <c r="J5" s="70">
        <f>LN((1+(_xll.qlInterpolationInterpolate(B12MInterpolation,D5,TRUE,AllTriggers)+I5)*H5)/(1+I5*H5))</f>
        <v>5.579535822462625E-3</v>
      </c>
      <c r="K5" s="25">
        <f>_xll.qlDayCounterYearFraction(DayCounter,SettlementDate,D5,,,Trigger)</f>
        <v>8.0555555555555561E-2</v>
      </c>
      <c r="L5" s="25">
        <f>_xll.qlDayCounterYearFraction(DayCounter,SettlementDate,E5,,,Trigger)</f>
        <v>1.1027777777777779</v>
      </c>
      <c r="M5" s="25">
        <f>L5-K5</f>
        <v>1.0222222222222224</v>
      </c>
      <c r="N5" s="25">
        <f>(L5^2-K5^2)/2</f>
        <v>0.60481481481481481</v>
      </c>
      <c r="O5" s="25">
        <f>(L5^3-K5^3)/3</f>
        <v>0.44686202560585281</v>
      </c>
      <c r="P5" s="176" t="b">
        <v>1</v>
      </c>
      <c r="R5" s="379"/>
      <c r="S5" s="96">
        <v>0.54690804326703246</v>
      </c>
      <c r="T5" s="97">
        <v>0.68296682098765438</v>
      </c>
      <c r="U5" s="98">
        <v>1.0138888888888888</v>
      </c>
      <c r="V5" s="86"/>
      <c r="W5" s="100">
        <v>6.1644569358088319E-3</v>
      </c>
      <c r="X5" s="103"/>
      <c r="Y5" s="117">
        <v>5.4117767164012136E-3</v>
      </c>
      <c r="AA5" s="96">
        <v>26.425240658070376</v>
      </c>
      <c r="AB5" s="97">
        <v>-45.266467429231781</v>
      </c>
      <c r="AC5" s="98">
        <v>20.199581297977016</v>
      </c>
      <c r="AF5" s="24">
        <f>_xll.qlCalendarAdvance(Calendar,AF4,"1d","mf",,Trigger)</f>
        <v>42374</v>
      </c>
      <c r="AG5" s="25">
        <f>_xll.qlDayCounterYearFraction(DayCounter,SettlementDate,AF5,,,Trigger)</f>
        <v>1.3888888888888888E-2</v>
      </c>
      <c r="AH5" s="21">
        <f t="shared" si="0"/>
        <v>5.5767867859704608E-3</v>
      </c>
      <c r="AI5" s="21">
        <f t="shared" si="1"/>
        <v>6.2666811020991864E-3</v>
      </c>
      <c r="AJ5" s="21">
        <f t="shared" si="2"/>
        <v>6.1533785888654323E-3</v>
      </c>
    </row>
    <row r="6" spans="1:36" ht="12" customHeight="1" x14ac:dyDescent="0.2">
      <c r="A6" s="86">
        <v>2</v>
      </c>
      <c r="B6" s="197">
        <f t="shared" si="4"/>
        <v>14</v>
      </c>
      <c r="C6" s="175" t="str">
        <f>"Delta("&amp;A6&amp;"M,"&amp;B6&amp;"M)"</f>
        <v>Delta(2M,14M)</v>
      </c>
      <c r="D6" s="16">
        <f>_xll.qlCalendarAdvance(Calendar,SettlementDate,A6&amp;"M","mf")</f>
        <v>42429</v>
      </c>
      <c r="E6" s="16">
        <f>_xll.qlInterestRateIndexMaturity($D$10,D6)</f>
        <v>42794</v>
      </c>
      <c r="F6" s="76">
        <f>_xll.qlYieldTSDiscount(Discounting,D6,,AllTriggers)</f>
        <v>0.99937053608941584</v>
      </c>
      <c r="G6" s="76">
        <f>_xll.qlYieldTSDiscount(Discounting,E6,,AllTriggers)</f>
        <v>0.99259621402549536</v>
      </c>
      <c r="H6" s="78">
        <f>_xll.qlDayCounterYearFraction(DayCounter,D6,E6,,,Trigger)</f>
        <v>1.0138888888888888</v>
      </c>
      <c r="I6" s="17">
        <f t="shared" si="3"/>
        <v>6.7313606853697631E-3</v>
      </c>
      <c r="J6" s="70">
        <f>LN((1+(_xll.qlInterpolationInterpolate(B12MInterpolation,D6,TRUE,AllTriggers)+I6)*H6)/(1+I6*H6))</f>
        <v>5.4117767164012136E-3</v>
      </c>
      <c r="K6" s="25">
        <f>_xll.qlDayCounterYearFraction(DayCounter,SettlementDate,D6,,,Trigger)</f>
        <v>0.16666666666666666</v>
      </c>
      <c r="L6" s="25">
        <f>_xll.qlDayCounterYearFraction(DayCounter,SettlementDate,E6,,,Trigger)</f>
        <v>1.1805555555555556</v>
      </c>
      <c r="M6" s="25">
        <f>L6-K6</f>
        <v>1.0138888888888888</v>
      </c>
      <c r="N6" s="25">
        <f>(L6^2-K6^2)/2</f>
        <v>0.68296682098765438</v>
      </c>
      <c r="O6" s="25">
        <f>(L6^3-K6^3)/3</f>
        <v>0.54690804326703246</v>
      </c>
      <c r="P6" s="176" t="b">
        <v>1</v>
      </c>
      <c r="W6" s="104"/>
      <c r="X6" s="93"/>
      <c r="Y6" s="94"/>
      <c r="AF6" s="24">
        <f>_xll.qlCalendarAdvance(Calendar,AF5,"1d","mf",,Trigger)</f>
        <v>42375</v>
      </c>
      <c r="AG6" s="25">
        <f>_xll.qlDayCounterYearFraction(DayCounter,SettlementDate,AF6,,,Trigger)</f>
        <v>1.6666666666666666E-2</v>
      </c>
      <c r="AH6" s="21">
        <f t="shared" si="0"/>
        <v>5.5767867859704608E-3</v>
      </c>
      <c r="AI6" s="21">
        <f t="shared" si="1"/>
        <v>6.2627943735576157E-3</v>
      </c>
      <c r="AJ6" s="21">
        <f t="shared" si="2"/>
        <v>6.1511376328496408E-3</v>
      </c>
    </row>
    <row r="7" spans="1:36" ht="12" customHeight="1" x14ac:dyDescent="0.2">
      <c r="A7" s="86">
        <v>3</v>
      </c>
      <c r="B7" s="197">
        <f t="shared" si="4"/>
        <v>15</v>
      </c>
      <c r="C7" s="177" t="str">
        <f>"Delta("&amp;A7&amp;"M,"&amp;B7&amp;"M)"</f>
        <v>Delta(3M,15M)</v>
      </c>
      <c r="D7" s="178">
        <f>_xll.qlCalendarAdvance(Calendar,SettlementDate,A7&amp;"M","mf")</f>
        <v>42460</v>
      </c>
      <c r="E7" s="178">
        <f>_xll.qlInterestRateIndexMaturity($D$10,D7)</f>
        <v>42825</v>
      </c>
      <c r="F7" s="192">
        <f>_xll.qlYieldTSDiscount(Discounting,D7,,AllTriggers)</f>
        <v>0.9990118879961678</v>
      </c>
      <c r="G7" s="192">
        <f>_xll.qlYieldTSDiscount(Discounting,E7,,AllTriggers)</f>
        <v>0.99176652302594492</v>
      </c>
      <c r="H7" s="193">
        <f>_xll.qlDayCounterYearFraction(DayCounter,D7,E7,,,Trigger)</f>
        <v>1.0138888888888888</v>
      </c>
      <c r="I7" s="194">
        <f t="shared" si="3"/>
        <v>7.2054392131376196E-3</v>
      </c>
      <c r="J7" s="179">
        <f>LN((1+(_xll.qlInterpolationInterpolate(B12MInterpolation,D7,TRUE,AllTriggers)+I7)*H7)/(1+I7*H7))</f>
        <v>5.2949901185499098E-3</v>
      </c>
      <c r="K7" s="180">
        <f>_xll.qlDayCounterYearFraction(DayCounter,SettlementDate,D7,,,Trigger)</f>
        <v>0.25277777777777777</v>
      </c>
      <c r="L7" s="180">
        <f>_xll.qlDayCounterYearFraction(DayCounter,SettlementDate,E7,,,Trigger)</f>
        <v>1.2666666666666666</v>
      </c>
      <c r="M7" s="180">
        <f>L7-K7</f>
        <v>1.0138888888888888</v>
      </c>
      <c r="N7" s="180">
        <f>(L7^2-K7^2)/2</f>
        <v>0.77027391975308634</v>
      </c>
      <c r="O7" s="180">
        <f>(L7^3-K7^3)/3</f>
        <v>0.67204821816415172</v>
      </c>
      <c r="P7" s="181" t="b">
        <v>0</v>
      </c>
      <c r="W7" s="104"/>
      <c r="X7" s="93"/>
      <c r="Y7" s="94"/>
      <c r="AF7" s="24">
        <f>_xll.qlCalendarAdvance(Calendar,AF6,"1d","mf",,Trigger)</f>
        <v>42376</v>
      </c>
      <c r="AG7" s="25">
        <f>_xll.qlDayCounterYearFraction(DayCounter,SettlementDate,AF7,,,Trigger)</f>
        <v>1.9444444444444445E-2</v>
      </c>
      <c r="AH7" s="21">
        <f t="shared" si="0"/>
        <v>5.5767867859704608E-3</v>
      </c>
      <c r="AI7" s="21">
        <f t="shared" si="1"/>
        <v>6.258907645016046E-3</v>
      </c>
      <c r="AJ7" s="21">
        <f t="shared" si="2"/>
        <v>6.1488882479581435E-3</v>
      </c>
    </row>
    <row r="8" spans="1:36" ht="12" customHeight="1" x14ac:dyDescent="0.2">
      <c r="B8" s="87"/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4">
        <f>_xll.qlCalendarAdvance(Calendar,AF7,"1d","mf",,Trigger)</f>
        <v>42377</v>
      </c>
      <c r="AG8" s="25">
        <f>_xll.qlDayCounterYearFraction(DayCounter,SettlementDate,AF8,,,Trigger)</f>
        <v>2.2222222222222223E-2</v>
      </c>
      <c r="AH8" s="21">
        <f t="shared" si="0"/>
        <v>5.5767867859704608E-3</v>
      </c>
      <c r="AI8" s="21">
        <f t="shared" si="1"/>
        <v>6.2550209164744753E-3</v>
      </c>
      <c r="AJ8" s="21">
        <f t="shared" si="2"/>
        <v>6.1466304341909438E-3</v>
      </c>
    </row>
    <row r="9" spans="1:36" ht="12" customHeight="1" x14ac:dyDescent="0.2">
      <c r="C9" s="171" t="s">
        <v>135</v>
      </c>
      <c r="D9" s="190" t="s">
        <v>19</v>
      </c>
      <c r="R9" s="376" t="s">
        <v>89</v>
      </c>
      <c r="S9" s="105"/>
      <c r="T9" s="96">
        <f t="array" ref="T9:T10">_xll.ohFilter(N3:N7,P3:P7)</f>
        <v>0.51398533950617276</v>
      </c>
      <c r="U9" s="98">
        <f t="array" ref="U9:U10">_xll.ohFilter(M3:M7,P3:P7)</f>
        <v>1.0138888888888888</v>
      </c>
      <c r="V9" s="378" t="s">
        <v>28</v>
      </c>
      <c r="W9" s="100">
        <f t="array" ref="W9:W10">MMULT(AA9:AB10,Y9:Y10)</f>
        <v>-1.399222274965306E-3</v>
      </c>
      <c r="X9" s="378" t="s">
        <v>29</v>
      </c>
      <c r="Y9" s="117">
        <f t="array" ref="Y9:Y10">_xll.ohFilter(J3:J7,P3:P7)</f>
        <v>5.6542421579978278E-3</v>
      </c>
      <c r="AA9" s="96">
        <f t="array" ref="AA9:AB10">MINVERSE(T9:U10)</f>
        <v>-11.641589939366721</v>
      </c>
      <c r="AB9" s="98">
        <v>11.546685673556665</v>
      </c>
      <c r="AF9" s="24">
        <f>_xll.qlCalendarAdvance(Calendar,AF8,"1d","mf",,Trigger)</f>
        <v>42380</v>
      </c>
      <c r="AG9" s="25">
        <f>_xll.qlDayCounterYearFraction(DayCounter,SettlementDate,AF9,,,Trigger)</f>
        <v>3.0555555555555555E-2</v>
      </c>
      <c r="AH9" s="21">
        <f t="shared" si="0"/>
        <v>5.5767867859704608E-3</v>
      </c>
      <c r="AI9" s="21">
        <f t="shared" si="1"/>
        <v>6.2433607308497643E-3</v>
      </c>
      <c r="AJ9" s="21">
        <f t="shared" si="2"/>
        <v>6.1398064196351203E-3</v>
      </c>
    </row>
    <row r="10" spans="1:36" ht="12" customHeight="1" x14ac:dyDescent="0.2">
      <c r="C10" s="171" t="s">
        <v>101</v>
      </c>
      <c r="D10" s="190" t="str">
        <f>PROPER(Currency)&amp;IborType&amp;$D$9</f>
        <v>UsdLibor1Y</v>
      </c>
      <c r="R10" s="376"/>
      <c r="S10" s="105"/>
      <c r="T10" s="96">
        <v>0.60481481481481481</v>
      </c>
      <c r="U10" s="98">
        <v>1.0222222222222224</v>
      </c>
      <c r="V10" s="378"/>
      <c r="W10" s="100">
        <v>6.2861147448070379E-3</v>
      </c>
      <c r="X10" s="378"/>
      <c r="Y10" s="117">
        <v>5.579535822462625E-3</v>
      </c>
      <c r="AA10" s="96">
        <v>6.8879407141253086</v>
      </c>
      <c r="AB10" s="98">
        <v>-5.8535281539558079</v>
      </c>
      <c r="AF10" s="24">
        <f>_xll.qlCalendarAdvance(Calendar,AF9,"1d","mf",,Trigger)</f>
        <v>42381</v>
      </c>
      <c r="AG10" s="25">
        <f>_xll.qlDayCounterYearFraction(DayCounter,SettlementDate,AF10,,,Trigger)</f>
        <v>3.3333333333333333E-2</v>
      </c>
      <c r="AH10" s="21">
        <f t="shared" si="0"/>
        <v>5.5767867859704608E-3</v>
      </c>
      <c r="AI10" s="21">
        <f t="shared" si="1"/>
        <v>6.2394740023081945E-3</v>
      </c>
      <c r="AJ10" s="21">
        <f t="shared" si="2"/>
        <v>6.1375148903651047E-3</v>
      </c>
    </row>
    <row r="11" spans="1:36" ht="12" customHeight="1" x14ac:dyDescent="0.2">
      <c r="C11" s="171" t="s">
        <v>127</v>
      </c>
      <c r="D11" s="191" t="s">
        <v>81</v>
      </c>
      <c r="W11" s="104"/>
      <c r="X11" s="93"/>
      <c r="Y11" s="94"/>
      <c r="AF11" s="24">
        <f>_xll.qlCalendarAdvance(Calendar,AF10,"1d","mf",,Trigger)</f>
        <v>42382</v>
      </c>
      <c r="AG11" s="25">
        <f>_xll.qlDayCounterYearFraction(DayCounter,SettlementDate,AF11,,,Trigger)</f>
        <v>3.6111111111111108E-2</v>
      </c>
      <c r="AH11" s="21">
        <f t="shared" si="0"/>
        <v>5.5767867859704608E-3</v>
      </c>
      <c r="AI11" s="21">
        <f t="shared" si="1"/>
        <v>6.2355872737666239E-3</v>
      </c>
      <c r="AJ11" s="21">
        <f t="shared" si="2"/>
        <v>6.135214932219385E-3</v>
      </c>
    </row>
    <row r="12" spans="1:36" ht="12" customHeight="1" x14ac:dyDescent="0.2">
      <c r="C12" s="171" t="s">
        <v>126</v>
      </c>
      <c r="D12" s="190" t="s">
        <v>131</v>
      </c>
      <c r="Q12" s="111"/>
      <c r="W12" s="95" t="s">
        <v>26</v>
      </c>
      <c r="X12" s="93"/>
      <c r="Y12" s="94"/>
      <c r="AF12" s="24">
        <f>_xll.qlCalendarAdvance(Calendar,AF11,"1d","mf",,Trigger)</f>
        <v>42383</v>
      </c>
      <c r="AG12" s="25">
        <f>_xll.qlDayCounterYearFraction(DayCounter,SettlementDate,AF12,,,Trigger)</f>
        <v>3.888888888888889E-2</v>
      </c>
      <c r="AH12" s="21">
        <f t="shared" si="0"/>
        <v>5.5767867859704608E-3</v>
      </c>
      <c r="AI12" s="21">
        <f t="shared" si="1"/>
        <v>6.2317005452250541E-3</v>
      </c>
      <c r="AJ12" s="21">
        <f t="shared" si="2"/>
        <v>6.132906545197961E-3</v>
      </c>
    </row>
    <row r="13" spans="1:36" ht="12" customHeight="1" x14ac:dyDescent="0.2">
      <c r="N13" s="188" t="str">
        <f>"Synthetic Deposits "&amp;D9</f>
        <v>Synthetic Deposits 1Y</v>
      </c>
      <c r="O13" s="188"/>
      <c r="P13" s="188"/>
      <c r="Q13" s="111"/>
      <c r="R13" s="106" t="s">
        <v>90</v>
      </c>
      <c r="U13" s="107">
        <f t="array" ref="U13">_xll.ohFilter(M3:M7,P3:P7)</f>
        <v>1.0138888888888888</v>
      </c>
      <c r="V13" s="106" t="s">
        <v>28</v>
      </c>
      <c r="W13" s="100">
        <f>MMULT(AA13,Y13)</f>
        <v>5.5767867859704608E-3</v>
      </c>
      <c r="X13" s="106" t="s">
        <v>29</v>
      </c>
      <c r="Y13" s="117">
        <f t="array" ref="Y13">_xll.ohFilter(J3:J7,P3:P7)</f>
        <v>5.6542421579978278E-3</v>
      </c>
      <c r="AA13" s="107">
        <f>MINVERSE(U13)</f>
        <v>0.98630136986301375</v>
      </c>
      <c r="AF13" s="24">
        <f>_xll.qlCalendarAdvance(Calendar,AF12,"1d","mf",,Trigger)</f>
        <v>42384</v>
      </c>
      <c r="AG13" s="25">
        <f>_xll.qlDayCounterYearFraction(DayCounter,SettlementDate,AF13,,,Trigger)</f>
        <v>4.1666666666666664E-2</v>
      </c>
      <c r="AH13" s="21">
        <f t="shared" si="0"/>
        <v>5.5767867859704608E-3</v>
      </c>
      <c r="AI13" s="21">
        <f t="shared" si="1"/>
        <v>6.2278138166834834E-3</v>
      </c>
      <c r="AJ13" s="21">
        <f t="shared" si="2"/>
        <v>6.1305897293008321E-3</v>
      </c>
    </row>
    <row r="14" spans="1:36" ht="12" customHeight="1" x14ac:dyDescent="0.2">
      <c r="C14" s="171" t="s">
        <v>97</v>
      </c>
      <c r="D14" s="171" t="s">
        <v>78</v>
      </c>
      <c r="E14" s="171" t="s">
        <v>79</v>
      </c>
      <c r="F14" s="202"/>
      <c r="G14" s="202"/>
      <c r="H14" s="202"/>
      <c r="I14" s="202"/>
      <c r="J14" s="171" t="s">
        <v>120</v>
      </c>
      <c r="K14" s="171" t="s">
        <v>121</v>
      </c>
      <c r="L14" s="171" t="s">
        <v>122</v>
      </c>
      <c r="M14" s="172" t="s">
        <v>123</v>
      </c>
      <c r="N14" s="189" t="s">
        <v>90</v>
      </c>
      <c r="O14" s="189" t="s">
        <v>89</v>
      </c>
      <c r="P14" s="189" t="s">
        <v>115</v>
      </c>
      <c r="Q14" s="111"/>
      <c r="AF14" s="24">
        <f>_xll.qlCalendarAdvance(Calendar,AF13,"1d","mf",,Trigger)</f>
        <v>42387</v>
      </c>
      <c r="AG14" s="25">
        <f>_xll.qlDayCounterYearFraction(DayCounter,SettlementDate,AF14,,,Trigger)</f>
        <v>0.05</v>
      </c>
      <c r="AH14" s="21">
        <f t="shared" si="0"/>
        <v>5.5767867859704608E-3</v>
      </c>
      <c r="AI14" s="21">
        <f t="shared" si="1"/>
        <v>6.2161536310587724E-3</v>
      </c>
      <c r="AJ14" s="21">
        <f t="shared" si="2"/>
        <v>6.1235887083552253E-3</v>
      </c>
    </row>
    <row r="15" spans="1:36" ht="12" customHeight="1" x14ac:dyDescent="0.2">
      <c r="C15" s="182" t="s">
        <v>34</v>
      </c>
      <c r="D15" s="22">
        <f t="shared" ref="D15:D30" si="5">SettlementDate</f>
        <v>42369</v>
      </c>
      <c r="E15" s="23">
        <f>_xll.qlCalendarAdvance(Calendar,SettlementDate,C15,"Following",,Trigger)</f>
        <v>42373</v>
      </c>
      <c r="F15" s="203"/>
      <c r="G15" s="203"/>
      <c r="H15" s="203"/>
      <c r="I15" s="203"/>
      <c r="J15" s="55">
        <f>_xll.qlDayCounterYearFraction(DayCounter,D15,E15,,,Trigger)</f>
        <v>1.1111111111111112E-2</v>
      </c>
      <c r="K15" s="66">
        <f>_xll.qlYieldTSDiscount(Discounting,D15,,AllTriggers)</f>
        <v>0.99996012451818017</v>
      </c>
      <c r="L15" s="66">
        <f>_xll.qlYieldTSDiscount(Discounting,E15,,AllTriggers)</f>
        <v>0.99992474050624691</v>
      </c>
      <c r="M15" s="204">
        <f>(K15/L15-1)/J15</f>
        <v>3.1848007604939887E-3</v>
      </c>
      <c r="N15" s="21">
        <f t="shared" ref="N15:N22" si="6">((1+M15*J15)*EXP($W$13*J15)-1)/J15</f>
        <v>8.761957680922805E-3</v>
      </c>
      <c r="O15" s="21">
        <f>((1+J15*M15)*EXP($W$10*J15+0.5*$W$9*J15^2)-1)/J15</f>
        <v>9.4635832171729994E-3</v>
      </c>
      <c r="P15" s="21">
        <f>((1+J15*M15)*EXP($W$5*J15+0.5*$W$4*J15^2+1/3*$W$3*J15^3)-1)/J15</f>
        <v>9.3452748326838808E-3</v>
      </c>
      <c r="Q15" s="111"/>
      <c r="AF15" s="24">
        <f>_xll.qlCalendarAdvance(Calendar,AF14,"1d","mf",,Trigger)</f>
        <v>42388</v>
      </c>
      <c r="AG15" s="25">
        <f>_xll.qlDayCounterYearFraction(DayCounter,SettlementDate,AF15,,,Trigger)</f>
        <v>5.2777777777777778E-2</v>
      </c>
      <c r="AH15" s="21">
        <f t="shared" si="0"/>
        <v>5.5767867859704608E-3</v>
      </c>
      <c r="AI15" s="21">
        <f t="shared" si="1"/>
        <v>6.2122669025172026E-3</v>
      </c>
      <c r="AJ15" s="21">
        <f t="shared" si="2"/>
        <v>6.1212381769552805E-3</v>
      </c>
    </row>
    <row r="16" spans="1:36" ht="12" customHeight="1" x14ac:dyDescent="0.2">
      <c r="C16" s="81" t="s">
        <v>35</v>
      </c>
      <c r="D16" s="16">
        <f>SettlementDate</f>
        <v>42369</v>
      </c>
      <c r="E16" s="24">
        <f>_xll.qlCalendarAdvance(Calendar,SettlementDate,C16,"Following",,Trigger)</f>
        <v>42376</v>
      </c>
      <c r="F16" s="203"/>
      <c r="G16" s="203"/>
      <c r="H16" s="203"/>
      <c r="I16" s="203"/>
      <c r="J16" s="25">
        <f>_xll.qlDayCounterYearFraction(DayCounter,D16,E16,,,Trigger)</f>
        <v>1.9444444444444445E-2</v>
      </c>
      <c r="K16" s="67">
        <f>_xll.qlYieldTSDiscount(Discounting,D16,,AllTriggers)</f>
        <v>0.99996012451818017</v>
      </c>
      <c r="L16" s="67">
        <f>_xll.qlYieldTSDiscount(Discounting,E16,,AllTriggers)</f>
        <v>0.99990032205579082</v>
      </c>
      <c r="M16" s="176">
        <f t="shared" ref="M16:M22" si="7">(K16/L16-1)/J16</f>
        <v>3.0758618041724717E-3</v>
      </c>
      <c r="N16" s="21">
        <f t="shared" si="6"/>
        <v>8.6532845244491341E-3</v>
      </c>
      <c r="O16" s="21">
        <f t="shared" ref="O16:O22" si="8">((1+J16*M16)*EXP($W$10*J16+0.5*$W$9*J16^2)-1)/J16</f>
        <v>9.3491307014824179E-3</v>
      </c>
      <c r="P16" s="21">
        <f t="shared" ref="P16:P22" si="9">((1+J16*M16)*EXP($W$5*J16+0.5*$W$4*J16^2+1/3*$W$3*J16^3)-1)/J16</f>
        <v>9.2333055948908994E-3</v>
      </c>
      <c r="Q16" s="111"/>
      <c r="AF16" s="24">
        <f>_xll.qlCalendarAdvance(Calendar,AF15,"1d","mf",,Trigger)</f>
        <v>42389</v>
      </c>
      <c r="AG16" s="25">
        <f>_xll.qlDayCounterYearFraction(DayCounter,SettlementDate,AF16,,,Trigger)</f>
        <v>5.5555555555555552E-2</v>
      </c>
      <c r="AH16" s="21">
        <f t="shared" si="0"/>
        <v>5.5767867859704608E-3</v>
      </c>
      <c r="AI16" s="21">
        <f t="shared" si="1"/>
        <v>6.208380173975632E-3</v>
      </c>
      <c r="AJ16" s="21">
        <f t="shared" si="2"/>
        <v>6.1188792166796324E-3</v>
      </c>
    </row>
    <row r="17" spans="3:36" ht="12" customHeight="1" x14ac:dyDescent="0.2">
      <c r="C17" s="81" t="s">
        <v>36</v>
      </c>
      <c r="D17" s="16">
        <f t="shared" si="5"/>
        <v>42369</v>
      </c>
      <c r="E17" s="24">
        <f>_xll.qlCalendarAdvance(Calendar,SettlementDate,C17,"Following",,Trigger)</f>
        <v>42383</v>
      </c>
      <c r="F17" s="203"/>
      <c r="G17" s="203"/>
      <c r="H17" s="203"/>
      <c r="I17" s="203"/>
      <c r="J17" s="25">
        <f>_xll.qlDayCounterYearFraction(DayCounter,D17,E17,,,Trigger)</f>
        <v>3.888888888888889E-2</v>
      </c>
      <c r="K17" s="67">
        <f>_xll.qlYieldTSDiscount(Discounting,D17,,AllTriggers)</f>
        <v>0.99996012451818017</v>
      </c>
      <c r="L17" s="67">
        <f>_xll.qlYieldTSDiscount(Discounting,E17,,AllTriggers)</f>
        <v>0.99983345935946277</v>
      </c>
      <c r="M17" s="176">
        <f t="shared" si="7"/>
        <v>3.2576466118592962E-3</v>
      </c>
      <c r="N17" s="21">
        <f t="shared" si="6"/>
        <v>8.8357447533463484E-3</v>
      </c>
      <c r="O17" s="21">
        <f t="shared" si="8"/>
        <v>9.518109047974883E-3</v>
      </c>
      <c r="P17" s="21">
        <f t="shared" si="9"/>
        <v>9.4079803018295594E-3</v>
      </c>
      <c r="Q17" s="111"/>
      <c r="AF17" s="24">
        <f>_xll.qlCalendarAdvance(Calendar,AF16,"1d","mf",,Trigger)</f>
        <v>42390</v>
      </c>
      <c r="AG17" s="25">
        <f>_xll.qlDayCounterYearFraction(DayCounter,SettlementDate,AF17,,,Trigger)</f>
        <v>5.8333333333333334E-2</v>
      </c>
      <c r="AH17" s="21">
        <f t="shared" si="0"/>
        <v>5.5767867859704608E-3</v>
      </c>
      <c r="AI17" s="21">
        <f t="shared" si="1"/>
        <v>6.2044934454340613E-3</v>
      </c>
      <c r="AJ17" s="21">
        <f t="shared" si="2"/>
        <v>6.116511827528281E-3</v>
      </c>
    </row>
    <row r="18" spans="3:36" ht="12" customHeight="1" x14ac:dyDescent="0.2">
      <c r="C18" s="81" t="s">
        <v>37</v>
      </c>
      <c r="D18" s="16">
        <f t="shared" si="5"/>
        <v>42369</v>
      </c>
      <c r="E18" s="24">
        <f>_xll.qlCalendarAdvance(Calendar,SettlementDate,C18,"Following",,Trigger)</f>
        <v>42390</v>
      </c>
      <c r="F18" s="203"/>
      <c r="G18" s="203"/>
      <c r="H18" s="203"/>
      <c r="I18" s="203"/>
      <c r="J18" s="25">
        <f>_xll.qlDayCounterYearFraction(DayCounter,D18,E18,,,Trigger)</f>
        <v>5.8333333333333334E-2</v>
      </c>
      <c r="K18" s="67">
        <f>_xll.qlYieldTSDiscount(Discounting,D18,,AllTriggers)</f>
        <v>0.99996012451818017</v>
      </c>
      <c r="L18" s="67">
        <f>_xll.qlYieldTSDiscount(Discounting,E18,,AllTriggers)</f>
        <v>0.99976782970082889</v>
      </c>
      <c r="M18" s="176">
        <f t="shared" si="7"/>
        <v>3.2972481062440041E-3</v>
      </c>
      <c r="N18" s="21">
        <f t="shared" si="6"/>
        <v>8.8760149007059488E-3</v>
      </c>
      <c r="O18" s="21">
        <f t="shared" si="8"/>
        <v>9.544891388366037E-3</v>
      </c>
      <c r="P18" s="21">
        <f t="shared" si="9"/>
        <v>9.4403235652342123E-3</v>
      </c>
      <c r="Q18" s="111"/>
      <c r="AF18" s="24">
        <f>_xll.qlCalendarAdvance(Calendar,AF17,"1d","mf",,Trigger)</f>
        <v>42391</v>
      </c>
      <c r="AG18" s="25">
        <f>_xll.qlDayCounterYearFraction(DayCounter,SettlementDate,AF18,,,Trigger)</f>
        <v>6.1111111111111109E-2</v>
      </c>
      <c r="AH18" s="21">
        <f t="shared" si="0"/>
        <v>5.5767867859704608E-3</v>
      </c>
      <c r="AI18" s="21">
        <f t="shared" si="1"/>
        <v>6.2006067168924916E-3</v>
      </c>
      <c r="AJ18" s="21">
        <f t="shared" si="2"/>
        <v>6.1141360095012254E-3</v>
      </c>
    </row>
    <row r="19" spans="3:36" ht="12" customHeight="1" x14ac:dyDescent="0.2">
      <c r="C19" s="81" t="s">
        <v>31</v>
      </c>
      <c r="D19" s="16">
        <f t="shared" si="5"/>
        <v>42369</v>
      </c>
      <c r="E19" s="24">
        <f>_xll.qlCalendarAdvance(Calendar,SettlementDate,C19,"mf",TRUE,Trigger)</f>
        <v>42398</v>
      </c>
      <c r="F19" s="203"/>
      <c r="G19" s="203"/>
      <c r="H19" s="203"/>
      <c r="I19" s="203"/>
      <c r="J19" s="25">
        <f>_xll.qlDayCounterYearFraction(DayCounter,D19,E19,,,Trigger)</f>
        <v>8.0555555555555561E-2</v>
      </c>
      <c r="K19" s="67">
        <f>_xll.qlYieldTSDiscount(Discounting,D19,,AllTriggers)</f>
        <v>0.99996012451818017</v>
      </c>
      <c r="L19" s="67">
        <f>_xll.qlYieldTSDiscount(Discounting,E19,,AllTriggers)</f>
        <v>0.99968677449654142</v>
      </c>
      <c r="M19" s="176">
        <f t="shared" si="7"/>
        <v>3.3943738178951943E-3</v>
      </c>
      <c r="N19" s="21">
        <f t="shared" si="6"/>
        <v>8.9739386875440277E-3</v>
      </c>
      <c r="O19" s="21">
        <f t="shared" si="8"/>
        <v>9.6273983011914369E-3</v>
      </c>
      <c r="P19" s="21">
        <f t="shared" si="9"/>
        <v>9.529019100548956E-3</v>
      </c>
      <c r="Q19" s="111"/>
      <c r="AF19" s="24">
        <f>_xll.qlCalendarAdvance(Calendar,AF18,"1d","mf",,Trigger)</f>
        <v>42394</v>
      </c>
      <c r="AG19" s="25">
        <f>_xll.qlDayCounterYearFraction(DayCounter,SettlementDate,AF19,,,Trigger)</f>
        <v>6.9444444444444448E-2</v>
      </c>
      <c r="AH19" s="21">
        <f t="shared" si="0"/>
        <v>5.5767867859704608E-3</v>
      </c>
      <c r="AI19" s="21">
        <f t="shared" si="1"/>
        <v>6.1889465312677805E-3</v>
      </c>
      <c r="AJ19" s="21">
        <f t="shared" si="2"/>
        <v>6.1069579821658336E-3</v>
      </c>
    </row>
    <row r="20" spans="3:36" ht="12" customHeight="1" x14ac:dyDescent="0.2">
      <c r="C20" s="81" t="s">
        <v>38</v>
      </c>
      <c r="D20" s="16">
        <f t="shared" si="5"/>
        <v>42369</v>
      </c>
      <c r="E20" s="24">
        <f>_xll.qlCalendarAdvance(Calendar,SettlementDate,C20,"mf",TRUE,Trigger)</f>
        <v>42429</v>
      </c>
      <c r="F20" s="203"/>
      <c r="G20" s="203"/>
      <c r="H20" s="203"/>
      <c r="I20" s="203"/>
      <c r="J20" s="25">
        <f>_xll.qlDayCounterYearFraction(DayCounter,D20,E20,,,Trigger)</f>
        <v>0.16666666666666666</v>
      </c>
      <c r="K20" s="67">
        <f>_xll.qlYieldTSDiscount(Discounting,D20,,AllTriggers)</f>
        <v>0.99996012451818017</v>
      </c>
      <c r="L20" s="67">
        <f>_xll.qlYieldTSDiscount(Discounting,E20,,AllTriggers)</f>
        <v>0.99937053608941584</v>
      </c>
      <c r="M20" s="176">
        <f t="shared" si="7"/>
        <v>3.5397587229542005E-3</v>
      </c>
      <c r="N20" s="21">
        <f t="shared" si="6"/>
        <v>9.12242963407639E-3</v>
      </c>
      <c r="O20" s="21">
        <f t="shared" si="8"/>
        <v>9.716086242857358E-3</v>
      </c>
      <c r="P20" s="21">
        <f t="shared" si="9"/>
        <v>9.6400125387998692E-3</v>
      </c>
      <c r="Q20" s="111"/>
      <c r="AF20" s="24">
        <f>_xll.qlCalendarAdvance(Calendar,AF19,"1d","mf",,Trigger)</f>
        <v>42395</v>
      </c>
      <c r="AG20" s="25">
        <f>_xll.qlDayCounterYearFraction(DayCounter,SettlementDate,AF20,,,Trigger)</f>
        <v>7.2222222222222215E-2</v>
      </c>
      <c r="AH20" s="21">
        <f t="shared" si="0"/>
        <v>5.5767867859704608E-3</v>
      </c>
      <c r="AI20" s="21">
        <f t="shared" si="1"/>
        <v>6.1850598027262099E-3</v>
      </c>
      <c r="AJ20" s="21">
        <f t="shared" si="2"/>
        <v>6.1045484486359613E-3</v>
      </c>
    </row>
    <row r="21" spans="3:36" ht="12" customHeight="1" x14ac:dyDescent="0.2">
      <c r="C21" s="81" t="s">
        <v>32</v>
      </c>
      <c r="D21" s="16">
        <f t="shared" si="5"/>
        <v>42369</v>
      </c>
      <c r="E21" s="24">
        <f>_xll.qlCalendarAdvance(Calendar,SettlementDate,C21,"mf",TRUE,Trigger)</f>
        <v>42460</v>
      </c>
      <c r="F21" s="203"/>
      <c r="G21" s="203"/>
      <c r="H21" s="203"/>
      <c r="I21" s="203"/>
      <c r="J21" s="25">
        <f>_xll.qlDayCounterYearFraction(DayCounter,D21,E21,,,Trigger)</f>
        <v>0.25277777777777777</v>
      </c>
      <c r="K21" s="67">
        <f>_xll.qlYieldTSDiscount(Discounting,D21,,AllTriggers)</f>
        <v>0.99996012451818017</v>
      </c>
      <c r="L21" s="67">
        <f>_xll.qlYieldTSDiscount(Discounting,E21,,AllTriggers)</f>
        <v>0.9990118879961678</v>
      </c>
      <c r="M21" s="176">
        <f t="shared" si="7"/>
        <v>3.7549756983691206E-3</v>
      </c>
      <c r="N21" s="21">
        <f t="shared" si="6"/>
        <v>9.340992172163819E-3</v>
      </c>
      <c r="O21" s="21">
        <f t="shared" si="8"/>
        <v>9.8747671980144187E-3</v>
      </c>
      <c r="P21" s="21">
        <f t="shared" si="9"/>
        <v>9.8183279840272364E-3</v>
      </c>
      <c r="Q21" s="111"/>
      <c r="AF21" s="24">
        <f>_xll.qlCalendarAdvance(Calendar,AF20,"1d","mf",,Trigger)</f>
        <v>42396</v>
      </c>
      <c r="AG21" s="25">
        <f>_xll.qlDayCounterYearFraction(DayCounter,SettlementDate,AF21,,,Trigger)</f>
        <v>7.4999999999999997E-2</v>
      </c>
      <c r="AH21" s="21">
        <f t="shared" si="0"/>
        <v>5.5767867859704608E-3</v>
      </c>
      <c r="AI21" s="21">
        <f t="shared" si="1"/>
        <v>6.1811730741846401E-3</v>
      </c>
      <c r="AJ21" s="21">
        <f t="shared" si="2"/>
        <v>6.1021304862303848E-3</v>
      </c>
    </row>
    <row r="22" spans="3:36" ht="12" customHeight="1" x14ac:dyDescent="0.2">
      <c r="C22" s="81" t="s">
        <v>39</v>
      </c>
      <c r="D22" s="16">
        <f t="shared" si="5"/>
        <v>42369</v>
      </c>
      <c r="E22" s="24">
        <f>_xll.qlCalendarAdvance(Calendar,SettlementDate,C22,"mf",TRUE,Trigger)</f>
        <v>42489</v>
      </c>
      <c r="F22" s="203"/>
      <c r="G22" s="203"/>
      <c r="H22" s="203"/>
      <c r="I22" s="203"/>
      <c r="J22" s="25">
        <f>_xll.qlDayCounterYearFraction(DayCounter,D22,E22,,,Trigger)</f>
        <v>0.33333333333333331</v>
      </c>
      <c r="K22" s="67">
        <f>_xll.qlYieldTSDiscount(Discounting,D22,,AllTriggers)</f>
        <v>0.99996012451818017</v>
      </c>
      <c r="L22" s="67">
        <f>_xll.qlYieldTSDiscount(Discounting,E22,,AllTriggers)</f>
        <v>0.99861567609632995</v>
      </c>
      <c r="M22" s="176">
        <f t="shared" si="7"/>
        <v>4.0389364618402812E-3</v>
      </c>
      <c r="N22" s="21">
        <f t="shared" si="6"/>
        <v>9.6284249649840614E-3</v>
      </c>
      <c r="O22" s="21">
        <f t="shared" si="8"/>
        <v>1.0106115225836598E-2</v>
      </c>
      <c r="P22" s="21">
        <f t="shared" si="9"/>
        <v>1.006562030972491E-2</v>
      </c>
      <c r="Q22" s="111"/>
      <c r="AF22" s="24">
        <f>_xll.qlCalendarAdvance(Calendar,AF21,"1d","mf",,Trigger)</f>
        <v>42397</v>
      </c>
      <c r="AG22" s="25">
        <f>_xll.qlDayCounterYearFraction(DayCounter,SettlementDate,AF22,,,Trigger)</f>
        <v>7.7777777777777779E-2</v>
      </c>
      <c r="AH22" s="21">
        <f t="shared" si="0"/>
        <v>5.5767867859704608E-3</v>
      </c>
      <c r="AI22" s="21">
        <f t="shared" si="1"/>
        <v>6.1772863456430694E-3</v>
      </c>
      <c r="AJ22" s="21">
        <f t="shared" si="2"/>
        <v>6.0997040949491051E-3</v>
      </c>
    </row>
    <row r="23" spans="3:36" ht="12" customHeight="1" x14ac:dyDescent="0.2">
      <c r="C23" s="81" t="s">
        <v>40</v>
      </c>
      <c r="D23" s="16">
        <f t="shared" si="5"/>
        <v>42369</v>
      </c>
      <c r="E23" s="24">
        <f>_xll.qlCalendarAdvance(Calendar,SettlementDate,C23,"mf",TRUE,Trigger)</f>
        <v>42521</v>
      </c>
      <c r="F23" s="203"/>
      <c r="G23" s="203"/>
      <c r="H23" s="203"/>
      <c r="I23" s="203"/>
      <c r="J23" s="25">
        <f>_xll.qlDayCounterYearFraction(DayCounter,D23,E23,,,Trigger)</f>
        <v>0.42222222222222222</v>
      </c>
      <c r="K23" s="67">
        <f>_xll.qlYieldTSDiscount(Discounting,D23,,AllTriggers)</f>
        <v>0.99996012451818017</v>
      </c>
      <c r="L23" s="67">
        <f>_xll.qlYieldTSDiscount(Discounting,E23,,AllTriggers)</f>
        <v>0.99816874293523461</v>
      </c>
      <c r="M23" s="176">
        <f t="shared" ref="M23:M30" si="10">(K23/L23-1)/J23</f>
        <v>4.2505296668261588E-3</v>
      </c>
      <c r="N23" s="21">
        <f t="shared" ref="N23:N30" si="11">((1+M23*J23)*EXP($W$13*J23)-1)/J23</f>
        <v>9.8439075546489993E-3</v>
      </c>
      <c r="O23" s="21">
        <f t="shared" ref="O23:O30" si="12">((1+J23*M23)*EXP($W$10*J23+0.5*$W$9*J23^2)-1)/J23</f>
        <v>1.0259600920790327E-2</v>
      </c>
      <c r="P23" s="21">
        <f t="shared" ref="P23:P30" si="13">((1+J23*M23)*EXP($W$5*J23+0.5*$W$4*J23^2+1/3*$W$3*J23^3)-1)/J23</f>
        <v>1.0233977924729635E-2</v>
      </c>
      <c r="Q23" s="111"/>
      <c r="AF23" s="24">
        <f>_xll.qlCalendarAdvance(Calendar,AF22,"1d","mf",,Trigger)</f>
        <v>42398</v>
      </c>
      <c r="AG23" s="25">
        <f>_xll.qlDayCounterYearFraction(DayCounter,SettlementDate,AF23,,,Trigger)</f>
        <v>8.0555555555555561E-2</v>
      </c>
      <c r="AH23" s="21">
        <f t="shared" si="0"/>
        <v>5.5767867859704608E-3</v>
      </c>
      <c r="AI23" s="21">
        <f t="shared" si="1"/>
        <v>6.1733996171014997E-3</v>
      </c>
      <c r="AJ23" s="21">
        <f t="shared" si="2"/>
        <v>6.0972692747921211E-3</v>
      </c>
    </row>
    <row r="24" spans="3:36" ht="12" customHeight="1" x14ac:dyDescent="0.2">
      <c r="C24" s="81" t="s">
        <v>33</v>
      </c>
      <c r="D24" s="16">
        <f t="shared" si="5"/>
        <v>42369</v>
      </c>
      <c r="E24" s="24">
        <f>_xll.qlCalendarAdvance(Calendar,SettlementDate,C24,"mf",TRUE,Trigger)</f>
        <v>42551</v>
      </c>
      <c r="F24" s="203"/>
      <c r="G24" s="203"/>
      <c r="H24" s="203"/>
      <c r="I24" s="203"/>
      <c r="J24" s="25">
        <f>_xll.qlDayCounterYearFraction(DayCounter,D24,E24,,,Trigger)</f>
        <v>0.50555555555555554</v>
      </c>
      <c r="K24" s="67">
        <f>_xll.qlYieldTSDiscount(Discounting,D24,,AllTriggers)</f>
        <v>0.99996012451818017</v>
      </c>
      <c r="L24" s="67">
        <f>_xll.qlYieldTSDiscount(Discounting,E24,,AllTriggers)</f>
        <v>0.9977198315673238</v>
      </c>
      <c r="M24" s="176">
        <f t="shared" si="10"/>
        <v>4.4414760073879728E-3</v>
      </c>
      <c r="N24" s="21">
        <f t="shared" si="11"/>
        <v>1.0038671572704166E-2</v>
      </c>
      <c r="O24" s="21">
        <f t="shared" si="12"/>
        <v>1.039614425768825E-2</v>
      </c>
      <c r="P24" s="21">
        <f t="shared" si="13"/>
        <v>1.0381862770104508E-2</v>
      </c>
      <c r="Q24" s="111"/>
      <c r="AF24" s="24">
        <f>_xll.qlCalendarAdvance(Calendar,AF23,"1d","mf",,Trigger)</f>
        <v>42401</v>
      </c>
      <c r="AG24" s="25">
        <f>_xll.qlDayCounterYearFraction(DayCounter,SettlementDate,AF24,,,Trigger)</f>
        <v>8.8888888888888892E-2</v>
      </c>
      <c r="AH24" s="21">
        <f t="shared" si="0"/>
        <v>5.5767867859704608E-3</v>
      </c>
      <c r="AI24" s="21">
        <f t="shared" si="1"/>
        <v>6.1617394314767886E-3</v>
      </c>
      <c r="AJ24" s="21">
        <f t="shared" si="2"/>
        <v>6.0899142410669451E-3</v>
      </c>
    </row>
    <row r="25" spans="3:36" ht="12" customHeight="1" x14ac:dyDescent="0.2">
      <c r="C25" s="81" t="s">
        <v>41</v>
      </c>
      <c r="D25" s="16">
        <f t="shared" si="5"/>
        <v>42369</v>
      </c>
      <c r="E25" s="24">
        <f>_xll.qlCalendarAdvance(Calendar,SettlementDate,C25,"mf",TRUE,Trigger)</f>
        <v>42580</v>
      </c>
      <c r="F25" s="203"/>
      <c r="G25" s="203"/>
      <c r="H25" s="203"/>
      <c r="I25" s="203"/>
      <c r="J25" s="25">
        <f>_xll.qlDayCounterYearFraction(DayCounter,D25,E25,,,Trigger)</f>
        <v>0.58611111111111114</v>
      </c>
      <c r="K25" s="67">
        <f>_xll.qlYieldTSDiscount(Discounting,D25,,AllTriggers)</f>
        <v>0.99996012451818017</v>
      </c>
      <c r="L25" s="67">
        <f>_xll.qlYieldTSDiscount(Discounting,E25,,AllTriggers)</f>
        <v>0.99725847732985418</v>
      </c>
      <c r="M25" s="176">
        <f t="shared" si="10"/>
        <v>4.6221170785528797E-3</v>
      </c>
      <c r="N25" s="21">
        <f t="shared" si="11"/>
        <v>1.0223160639124993E-2</v>
      </c>
      <c r="O25" s="21">
        <f t="shared" si="12"/>
        <v>1.0524258390704748E-2</v>
      </c>
      <c r="P25" s="21">
        <f t="shared" si="13"/>
        <v>1.0518541738898789E-2</v>
      </c>
      <c r="Q25" s="111"/>
      <c r="AF25" s="24">
        <f>_xll.qlCalendarAdvance(Calendar,AF24,"1d","mf",,Trigger)</f>
        <v>42402</v>
      </c>
      <c r="AG25" s="25">
        <f>_xll.qlDayCounterYearFraction(DayCounter,SettlementDate,AF25,,,Trigger)</f>
        <v>9.166666666666666E-2</v>
      </c>
      <c r="AH25" s="21">
        <f t="shared" si="0"/>
        <v>5.5767867859704608E-3</v>
      </c>
      <c r="AI25" s="21">
        <f t="shared" si="1"/>
        <v>6.157852702935218E-3</v>
      </c>
      <c r="AJ25" s="21">
        <f t="shared" si="2"/>
        <v>6.0874457054071454E-3</v>
      </c>
    </row>
    <row r="26" spans="3:36" ht="12" customHeight="1" x14ac:dyDescent="0.2">
      <c r="C26" s="81" t="s">
        <v>42</v>
      </c>
      <c r="D26" s="16">
        <f t="shared" si="5"/>
        <v>42369</v>
      </c>
      <c r="E26" s="24">
        <f>_xll.qlCalendarAdvance(Calendar,SettlementDate,C26,"mf",TRUE,Trigger)</f>
        <v>42613</v>
      </c>
      <c r="F26" s="203"/>
      <c r="G26" s="203"/>
      <c r="H26" s="203"/>
      <c r="I26" s="203"/>
      <c r="J26" s="25">
        <f>_xll.qlDayCounterYearFraction(DayCounter,D26,E26,,,Trigger)</f>
        <v>0.67777777777777781</v>
      </c>
      <c r="K26" s="67">
        <f>_xll.qlYieldTSDiscount(Discounting,D26,,AllTriggers)</f>
        <v>0.99996012451818017</v>
      </c>
      <c r="L26" s="67">
        <f>_xll.qlYieldTSDiscount(Discounting,E26,,AllTriggers)</f>
        <v>0.99665654922135349</v>
      </c>
      <c r="M26" s="176">
        <f t="shared" si="10"/>
        <v>4.8904785614754922E-3</v>
      </c>
      <c r="N26" s="21">
        <f t="shared" si="11"/>
        <v>1.0496338388980026E-2</v>
      </c>
      <c r="O26" s="21">
        <f t="shared" si="12"/>
        <v>1.073317721841419E-2</v>
      </c>
      <c r="P26" s="21">
        <f t="shared" si="13"/>
        <v>1.0734330841277655E-2</v>
      </c>
      <c r="Q26" s="111"/>
      <c r="AF26" s="24">
        <f>_xll.qlCalendarAdvance(Calendar,AF25,"1d","mf",,Trigger)</f>
        <v>42403</v>
      </c>
      <c r="AG26" s="25">
        <f>_xll.qlDayCounterYearFraction(DayCounter,SettlementDate,AF26,,,Trigger)</f>
        <v>9.4444444444444442E-2</v>
      </c>
      <c r="AH26" s="21">
        <f t="shared" si="0"/>
        <v>5.5767867859704608E-3</v>
      </c>
      <c r="AI26" s="21">
        <f t="shared" si="1"/>
        <v>6.1539659743936482E-3</v>
      </c>
      <c r="AJ26" s="21">
        <f t="shared" si="2"/>
        <v>6.0849687408716423E-3</v>
      </c>
    </row>
    <row r="27" spans="3:36" ht="12" customHeight="1" x14ac:dyDescent="0.2">
      <c r="C27" s="81" t="s">
        <v>43</v>
      </c>
      <c r="D27" s="16">
        <f t="shared" si="5"/>
        <v>42369</v>
      </c>
      <c r="E27" s="24">
        <f>_xll.qlCalendarAdvance(Calendar,SettlementDate,C27,"mf",TRUE,Trigger)</f>
        <v>42643</v>
      </c>
      <c r="F27" s="203"/>
      <c r="G27" s="203"/>
      <c r="H27" s="203"/>
      <c r="I27" s="203"/>
      <c r="J27" s="25">
        <f>_xll.qlDayCounterYearFraction(DayCounter,D27,E27,,,Trigger)</f>
        <v>0.76111111111111107</v>
      </c>
      <c r="K27" s="67">
        <f>_xll.qlYieldTSDiscount(Discounting,D27,,AllTriggers)</f>
        <v>0.99996012451818017</v>
      </c>
      <c r="L27" s="67">
        <f>_xll.qlYieldTSDiscount(Discounting,E27,,AllTriggers)</f>
        <v>0.99608350095019316</v>
      </c>
      <c r="M27" s="176">
        <f t="shared" si="10"/>
        <v>5.113400659757193E-3</v>
      </c>
      <c r="N27" s="21">
        <f t="shared" si="11"/>
        <v>1.0723789930953164E-2</v>
      </c>
      <c r="O27" s="21">
        <f t="shared" si="12"/>
        <v>1.0902091496481922E-2</v>
      </c>
      <c r="P27" s="21">
        <f t="shared" si="13"/>
        <v>1.0906826947699353E-2</v>
      </c>
      <c r="Q27" s="111"/>
      <c r="AF27" s="24">
        <f>_xll.qlCalendarAdvance(Calendar,AF26,"1d","mf",,Trigger)</f>
        <v>42404</v>
      </c>
      <c r="AG27" s="25">
        <f>_xll.qlDayCounterYearFraction(DayCounter,SettlementDate,AF27,,,Trigger)</f>
        <v>9.7222222222222224E-2</v>
      </c>
      <c r="AH27" s="21">
        <f t="shared" si="0"/>
        <v>5.5767867859704608E-3</v>
      </c>
      <c r="AI27" s="21">
        <f t="shared" si="1"/>
        <v>6.1500792458520775E-3</v>
      </c>
      <c r="AJ27" s="21">
        <f t="shared" si="2"/>
        <v>6.0824833474604333E-3</v>
      </c>
    </row>
    <row r="28" spans="3:36" ht="12" customHeight="1" x14ac:dyDescent="0.2">
      <c r="C28" s="81" t="s">
        <v>44</v>
      </c>
      <c r="D28" s="16">
        <f t="shared" si="5"/>
        <v>42369</v>
      </c>
      <c r="E28" s="24">
        <f>_xll.qlCalendarAdvance(Calendar,SettlementDate,C28,"mf",TRUE,Trigger)</f>
        <v>42674</v>
      </c>
      <c r="F28" s="203"/>
      <c r="G28" s="203"/>
      <c r="H28" s="203"/>
      <c r="I28" s="203"/>
      <c r="J28" s="25">
        <f>_xll.qlDayCounterYearFraction(DayCounter,D28,E28,,,Trigger)</f>
        <v>0.84722222222222221</v>
      </c>
      <c r="K28" s="67">
        <f>_xll.qlYieldTSDiscount(Discounting,D28,,AllTriggers)</f>
        <v>0.99996012451818017</v>
      </c>
      <c r="L28" s="67">
        <f>_xll.qlYieldTSDiscount(Discounting,E28,,AllTriggers)</f>
        <v>0.99541963125344413</v>
      </c>
      <c r="M28" s="176">
        <f t="shared" si="10"/>
        <v>5.3839311285799E-3</v>
      </c>
      <c r="N28" s="21">
        <f t="shared" si="11"/>
        <v>1.0999411293523897E-2</v>
      </c>
      <c r="O28" s="21">
        <f t="shared" si="12"/>
        <v>1.1117105569412061E-2</v>
      </c>
      <c r="P28" s="21">
        <f t="shared" si="13"/>
        <v>1.1122868886390604E-2</v>
      </c>
      <c r="Q28" s="111"/>
      <c r="AF28" s="24">
        <f>_xll.qlCalendarAdvance(Calendar,AF27,"1d","mf",,Trigger)</f>
        <v>42405</v>
      </c>
      <c r="AG28" s="25">
        <f>_xll.qlDayCounterYearFraction(DayCounter,SettlementDate,AF28,,,Trigger)</f>
        <v>0.1</v>
      </c>
      <c r="AH28" s="21">
        <f t="shared" si="0"/>
        <v>5.5767867859704608E-3</v>
      </c>
      <c r="AI28" s="21">
        <f t="shared" si="1"/>
        <v>6.1461925173105069E-3</v>
      </c>
      <c r="AJ28" s="21">
        <f t="shared" si="2"/>
        <v>6.0799895251735219E-3</v>
      </c>
    </row>
    <row r="29" spans="3:36" ht="12" customHeight="1" x14ac:dyDescent="0.2">
      <c r="C29" s="81" t="s">
        <v>45</v>
      </c>
      <c r="D29" s="16">
        <f t="shared" si="5"/>
        <v>42369</v>
      </c>
      <c r="E29" s="24">
        <f>_xll.qlCalendarAdvance(Calendar,SettlementDate,C29,"mf",TRUE,Trigger)</f>
        <v>42704</v>
      </c>
      <c r="F29" s="203"/>
      <c r="G29" s="203"/>
      <c r="H29" s="203"/>
      <c r="I29" s="203"/>
      <c r="J29" s="25">
        <f>_xll.qlDayCounterYearFraction(DayCounter,D29,E29,,,Trigger)</f>
        <v>0.93055555555555558</v>
      </c>
      <c r="K29" s="67">
        <f>_xll.qlYieldTSDiscount(Discounting,D29,,AllTriggers)</f>
        <v>0.99996012451818017</v>
      </c>
      <c r="L29" s="67">
        <f>_xll.qlYieldTSDiscount(Discounting,E29,,AllTriggers)</f>
        <v>0.99480005136016658</v>
      </c>
      <c r="M29" s="176">
        <f t="shared" si="10"/>
        <v>5.5741384782307174E-3</v>
      </c>
      <c r="N29" s="21">
        <f t="shared" si="11"/>
        <v>1.1194422958887014E-2</v>
      </c>
      <c r="O29" s="21">
        <f t="shared" si="12"/>
        <v>1.1253332807654002E-2</v>
      </c>
      <c r="P29" s="21">
        <f t="shared" si="13"/>
        <v>1.1257495045011643E-2</v>
      </c>
      <c r="Q29" s="111"/>
      <c r="AF29" s="24">
        <f>_xll.qlCalendarAdvance(Calendar,AF28,"1d","mf",,Trigger)</f>
        <v>42408</v>
      </c>
      <c r="AG29" s="25">
        <f>_xll.qlDayCounterYearFraction(DayCounter,SettlementDate,AF29,,,Trigger)</f>
        <v>0.10833333333333334</v>
      </c>
      <c r="AH29" s="21">
        <f t="shared" si="0"/>
        <v>5.5767867859704608E-3</v>
      </c>
      <c r="AI29" s="21">
        <f t="shared" si="1"/>
        <v>6.1345323316857967E-3</v>
      </c>
      <c r="AJ29" s="21">
        <f t="shared" si="2"/>
        <v>6.0724574850585617E-3</v>
      </c>
    </row>
    <row r="30" spans="3:36" ht="12" customHeight="1" x14ac:dyDescent="0.2">
      <c r="C30" s="183" t="s">
        <v>19</v>
      </c>
      <c r="D30" s="178">
        <f t="shared" si="5"/>
        <v>42369</v>
      </c>
      <c r="E30" s="184">
        <f>_xll.qlCalendarAdvance(Calendar,SettlementDate,C30,"mf",TRUE,Trigger)</f>
        <v>42734</v>
      </c>
      <c r="F30" s="205"/>
      <c r="G30" s="205"/>
      <c r="H30" s="205"/>
      <c r="I30" s="205"/>
      <c r="J30" s="180">
        <f>_xll.qlDayCounterYearFraction(DayCounter,D30,E30,,,Trigger)</f>
        <v>1.0138888888888888</v>
      </c>
      <c r="K30" s="196">
        <f>_xll.qlYieldTSDiscount(Discounting,D30,,AllTriggers)</f>
        <v>0.99996012451818017</v>
      </c>
      <c r="L30" s="196">
        <f>_xll.qlYieldTSDiscount(Discounting,E30,,AllTriggers)</f>
        <v>0.99409970395916814</v>
      </c>
      <c r="M30" s="181">
        <f t="shared" si="10"/>
        <v>5.8144477885936612E-3</v>
      </c>
      <c r="N30" s="26">
        <f t="shared" si="11"/>
        <v>1.1440000000000047E-2</v>
      </c>
      <c r="O30" s="26">
        <f t="shared" si="12"/>
        <v>1.1440000000000047E-2</v>
      </c>
      <c r="P30" s="26">
        <f t="shared" si="13"/>
        <v>1.1440000000000047E-2</v>
      </c>
      <c r="AF30" s="24">
        <f>_xll.qlCalendarAdvance(Calendar,AF29,"1d","mf",,Trigger)</f>
        <v>42409</v>
      </c>
      <c r="AG30" s="25">
        <f>_xll.qlDayCounterYearFraction(DayCounter,SettlementDate,AF30,,,Trigger)</f>
        <v>0.1111111111111111</v>
      </c>
      <c r="AH30" s="21">
        <f t="shared" si="0"/>
        <v>5.5767867859704608E-3</v>
      </c>
      <c r="AI30" s="21">
        <f t="shared" si="1"/>
        <v>6.1306456031442261E-3</v>
      </c>
      <c r="AJ30" s="21">
        <f t="shared" si="2"/>
        <v>6.0699299472688345E-3</v>
      </c>
    </row>
    <row r="31" spans="3:36" ht="12" customHeight="1" x14ac:dyDescent="0.2">
      <c r="AF31" s="24">
        <f>_xll.qlCalendarAdvance(Calendar,AF30,"1d","mf",,Trigger)</f>
        <v>42410</v>
      </c>
      <c r="AG31" s="25">
        <f>_xll.qlDayCounterYearFraction(DayCounter,SettlementDate,AF31,,,Trigger)</f>
        <v>0.11388888888888889</v>
      </c>
      <c r="AH31" s="21">
        <f t="shared" si="0"/>
        <v>5.5767867859704608E-3</v>
      </c>
      <c r="AI31" s="21">
        <f t="shared" si="1"/>
        <v>6.1267588746026554E-3</v>
      </c>
      <c r="AJ31" s="21">
        <f t="shared" si="2"/>
        <v>6.0673939806034022E-3</v>
      </c>
    </row>
    <row r="32" spans="3:36" ht="12" customHeight="1" x14ac:dyDescent="0.2">
      <c r="C32" s="171" t="s">
        <v>103</v>
      </c>
      <c r="AF32" s="24">
        <f>_xll.qlCalendarAdvance(Calendar,AF31,"1d","mf",,Trigger)</f>
        <v>42411</v>
      </c>
      <c r="AG32" s="25">
        <f>_xll.qlDayCounterYearFraction(DayCounter,SettlementDate,AF32,,,Trigger)</f>
        <v>0.11666666666666667</v>
      </c>
      <c r="AH32" s="21">
        <f t="shared" si="0"/>
        <v>5.5767867859704608E-3</v>
      </c>
      <c r="AI32" s="21">
        <f t="shared" si="1"/>
        <v>6.1228721460610857E-3</v>
      </c>
      <c r="AJ32" s="21">
        <f t="shared" si="2"/>
        <v>6.0648495850622666E-3</v>
      </c>
    </row>
    <row r="33" spans="3:36" ht="12" customHeight="1" x14ac:dyDescent="0.2">
      <c r="C33" s="113" t="s">
        <v>89</v>
      </c>
      <c r="AF33" s="24">
        <f>_xll.qlCalendarAdvance(Calendar,AF32,"1d","mf",,Trigger)</f>
        <v>42412</v>
      </c>
      <c r="AG33" s="25">
        <f>_xll.qlDayCounterYearFraction(DayCounter,SettlementDate,AF33,,,Trigger)</f>
        <v>0.11944444444444445</v>
      </c>
      <c r="AH33" s="21">
        <f t="shared" si="0"/>
        <v>5.5767867859704608E-3</v>
      </c>
      <c r="AI33" s="21">
        <f t="shared" si="1"/>
        <v>6.118985417519515E-3</v>
      </c>
      <c r="AJ33" s="21">
        <f t="shared" si="2"/>
        <v>6.062296760645426E-3</v>
      </c>
    </row>
    <row r="34" spans="3:36" ht="12" customHeight="1" x14ac:dyDescent="0.2">
      <c r="C34" s="21">
        <f>IF($C$33="FLAT",N15,IF($C$33="linear",O15,P15))</f>
        <v>9.4635832171729994E-3</v>
      </c>
      <c r="AF34" s="24">
        <f>_xll.qlCalendarAdvance(Calendar,AF33,"1d","mf",,Trigger)</f>
        <v>42415</v>
      </c>
      <c r="AG34" s="25">
        <f>_xll.qlDayCounterYearFraction(DayCounter,SettlementDate,AF34,,,Trigger)</f>
        <v>0.12777777777777777</v>
      </c>
      <c r="AH34" s="21">
        <f t="shared" si="0"/>
        <v>5.5767867859704608E-3</v>
      </c>
      <c r="AI34" s="21">
        <f t="shared" si="1"/>
        <v>6.107325231894804E-3</v>
      </c>
      <c r="AJ34" s="21">
        <f t="shared" si="2"/>
        <v>6.0545877141406834E-3</v>
      </c>
    </row>
    <row r="35" spans="3:36" ht="12" customHeight="1" x14ac:dyDescent="0.2">
      <c r="C35" s="21">
        <f>IF($C$33="FLAT",N16,IF($C$33="linear",O16,P16))</f>
        <v>9.3491307014824179E-3</v>
      </c>
      <c r="AF35" s="24">
        <f>_xll.qlCalendarAdvance(Calendar,AF34,"1d","mf",,Trigger)</f>
        <v>42416</v>
      </c>
      <c r="AG35" s="25">
        <f>_xll.qlDayCounterYearFraction(DayCounter,SettlementDate,AF35,,,Trigger)</f>
        <v>0.13055555555555556</v>
      </c>
      <c r="AH35" s="21">
        <f t="shared" si="0"/>
        <v>5.5767867859704608E-3</v>
      </c>
      <c r="AI35" s="21">
        <f t="shared" si="1"/>
        <v>6.1034385033532342E-3</v>
      </c>
      <c r="AJ35" s="21">
        <f t="shared" si="2"/>
        <v>6.0520011742210278E-3</v>
      </c>
    </row>
    <row r="36" spans="3:36" ht="12" customHeight="1" x14ac:dyDescent="0.2">
      <c r="C36" s="21">
        <f>IF($C$33="FLAT",N17,IF($C$33="linear",O17,P17))</f>
        <v>9.518109047974883E-3</v>
      </c>
      <c r="AF36" s="24">
        <f>_xll.qlCalendarAdvance(Calendar,AF35,"1d","mf",,Trigger)</f>
        <v>42417</v>
      </c>
      <c r="AG36" s="25">
        <f>_xll.qlDayCounterYearFraction(DayCounter,SettlementDate,AF36,,,Trigger)</f>
        <v>0.13333333333333333</v>
      </c>
      <c r="AH36" s="21">
        <f t="shared" si="0"/>
        <v>5.5767867859704608E-3</v>
      </c>
      <c r="AI36" s="21">
        <f t="shared" si="1"/>
        <v>6.0995517748116635E-3</v>
      </c>
      <c r="AJ36" s="21">
        <f t="shared" si="2"/>
        <v>6.0494062054256672E-3</v>
      </c>
    </row>
    <row r="37" spans="3:36" ht="12" customHeight="1" x14ac:dyDescent="0.2">
      <c r="C37" s="21">
        <f t="shared" ref="C37:C49" si="14">IF($C$33="FLAT",N18,IF($C$33="linear",O18,P18))</f>
        <v>9.544891388366037E-3</v>
      </c>
      <c r="AF37" s="24">
        <f>_xll.qlCalendarAdvance(Calendar,AF36,"1d","mf",,Trigger)</f>
        <v>42418</v>
      </c>
      <c r="AG37" s="25">
        <f>_xll.qlDayCounterYearFraction(DayCounter,SettlementDate,AF37,,,Trigger)</f>
        <v>0.1361111111111111</v>
      </c>
      <c r="AH37" s="21">
        <f t="shared" si="0"/>
        <v>5.5767867859704608E-3</v>
      </c>
      <c r="AI37" s="21">
        <f t="shared" si="1"/>
        <v>6.0956650462700938E-3</v>
      </c>
      <c r="AJ37" s="21">
        <f t="shared" si="2"/>
        <v>6.0468028077546032E-3</v>
      </c>
    </row>
    <row r="38" spans="3:36" x14ac:dyDescent="0.2">
      <c r="C38" s="21">
        <f t="shared" si="14"/>
        <v>9.6273983011914369E-3</v>
      </c>
      <c r="AF38" s="24">
        <f>_xll.qlCalendarAdvance(Calendar,AF37,"1d","mf",,Trigger)</f>
        <v>42419</v>
      </c>
      <c r="AG38" s="25">
        <f>_xll.qlDayCounterYearFraction(DayCounter,SettlementDate,AF38,,,Trigger)</f>
        <v>0.1388888888888889</v>
      </c>
      <c r="AH38" s="21">
        <f t="shared" si="0"/>
        <v>5.5767867859704608E-3</v>
      </c>
      <c r="AI38" s="21">
        <f t="shared" si="1"/>
        <v>6.0917783177285231E-3</v>
      </c>
      <c r="AJ38" s="21">
        <f t="shared" si="2"/>
        <v>6.0441909812078351E-3</v>
      </c>
    </row>
    <row r="39" spans="3:36" x14ac:dyDescent="0.2">
      <c r="C39" s="21">
        <f t="shared" si="14"/>
        <v>9.716086242857358E-3</v>
      </c>
      <c r="AF39" s="24">
        <f>_xll.qlCalendarAdvance(Calendar,AF38,"1d","mf",,Trigger)</f>
        <v>42422</v>
      </c>
      <c r="AG39" s="25">
        <f>_xll.qlDayCounterYearFraction(DayCounter,SettlementDate,AF39,,,Trigger)</f>
        <v>0.14722222222222223</v>
      </c>
      <c r="AH39" s="21">
        <f t="shared" si="0"/>
        <v>5.5767867859704608E-3</v>
      </c>
      <c r="AI39" s="21">
        <f t="shared" si="1"/>
        <v>6.0801181321038121E-3</v>
      </c>
      <c r="AJ39" s="21">
        <f t="shared" si="2"/>
        <v>6.0363049283133074E-3</v>
      </c>
    </row>
    <row r="40" spans="3:36" x14ac:dyDescent="0.2">
      <c r="C40" s="21">
        <f t="shared" si="14"/>
        <v>9.8747671980144187E-3</v>
      </c>
      <c r="AF40" s="24">
        <f>_xll.qlCalendarAdvance(Calendar,AF39,"1d","mf",,Trigger)</f>
        <v>42423</v>
      </c>
      <c r="AG40" s="25">
        <f>_xll.qlDayCounterYearFraction(DayCounter,SettlementDate,AF40,,,Trigger)</f>
        <v>0.15</v>
      </c>
      <c r="AH40" s="21">
        <f t="shared" si="0"/>
        <v>5.5767867859704608E-3</v>
      </c>
      <c r="AI40" s="21">
        <f t="shared" si="1"/>
        <v>6.0762314035622423E-3</v>
      </c>
      <c r="AJ40" s="21">
        <f t="shared" si="2"/>
        <v>6.0336593862637235E-3</v>
      </c>
    </row>
    <row r="41" spans="3:36" x14ac:dyDescent="0.2">
      <c r="C41" s="21">
        <f t="shared" si="14"/>
        <v>1.0106115225836598E-2</v>
      </c>
      <c r="AF41" s="24">
        <f>_xll.qlCalendarAdvance(Calendar,AF40,"1d","mf",,Trigger)</f>
        <v>42424</v>
      </c>
      <c r="AG41" s="25">
        <f>_xll.qlDayCounterYearFraction(DayCounter,SettlementDate,AF41,,,Trigger)</f>
        <v>0.15277777777777779</v>
      </c>
      <c r="AH41" s="21">
        <f t="shared" si="0"/>
        <v>5.5767867859704608E-3</v>
      </c>
      <c r="AI41" s="21">
        <f t="shared" si="1"/>
        <v>6.0723446750206717E-3</v>
      </c>
      <c r="AJ41" s="21">
        <f t="shared" si="2"/>
        <v>6.0310054153384363E-3</v>
      </c>
    </row>
    <row r="42" spans="3:36" x14ac:dyDescent="0.2">
      <c r="C42" s="21">
        <f t="shared" si="14"/>
        <v>1.0259600920790327E-2</v>
      </c>
      <c r="AF42" s="24">
        <f>_xll.qlCalendarAdvance(Calendar,AF41,"1d","mf",,Trigger)</f>
        <v>42425</v>
      </c>
      <c r="AG42" s="25">
        <f>_xll.qlDayCounterYearFraction(DayCounter,SettlementDate,AF42,,,Trigger)</f>
        <v>0.15555555555555556</v>
      </c>
      <c r="AH42" s="21">
        <f t="shared" si="0"/>
        <v>5.5767867859704608E-3</v>
      </c>
      <c r="AI42" s="21">
        <f t="shared" si="1"/>
        <v>6.068457946479101E-3</v>
      </c>
      <c r="AJ42" s="21">
        <f t="shared" si="2"/>
        <v>6.028343015537444E-3</v>
      </c>
    </row>
    <row r="43" spans="3:36" ht="11.25" customHeight="1" x14ac:dyDescent="0.2">
      <c r="C43" s="21">
        <f t="shared" si="14"/>
        <v>1.039614425768825E-2</v>
      </c>
      <c r="AF43" s="24">
        <f>_xll.qlCalendarAdvance(Calendar,AF42,"1d","mf",,Trigger)</f>
        <v>42426</v>
      </c>
      <c r="AG43" s="25">
        <f>_xll.qlDayCounterYearFraction(DayCounter,SettlementDate,AF43,,,Trigger)</f>
        <v>0.15833333333333333</v>
      </c>
      <c r="AH43" s="21">
        <f t="shared" si="0"/>
        <v>5.5767867859704608E-3</v>
      </c>
      <c r="AI43" s="21">
        <f t="shared" si="1"/>
        <v>6.0645712179375312E-3</v>
      </c>
      <c r="AJ43" s="21">
        <f t="shared" si="2"/>
        <v>6.0256721868607484E-3</v>
      </c>
    </row>
    <row r="44" spans="3:36" x14ac:dyDescent="0.2">
      <c r="C44" s="21">
        <f t="shared" si="14"/>
        <v>1.0524258390704748E-2</v>
      </c>
      <c r="AF44" s="24">
        <f>_xll.qlCalendarAdvance(Calendar,AF43,"1d","mf",,Trigger)</f>
        <v>42429</v>
      </c>
      <c r="AG44" s="25">
        <f>_xll.qlDayCounterYearFraction(DayCounter,SettlementDate,AF44,,,Trigger)</f>
        <v>0.16666666666666666</v>
      </c>
      <c r="AH44" s="21">
        <f t="shared" si="0"/>
        <v>5.5767867859704608E-3</v>
      </c>
      <c r="AI44" s="21">
        <f t="shared" si="1"/>
        <v>6.0529110323128202E-3</v>
      </c>
      <c r="AJ44" s="21">
        <f t="shared" si="2"/>
        <v>6.0176091275764365E-3</v>
      </c>
    </row>
    <row r="45" spans="3:36" x14ac:dyDescent="0.2">
      <c r="C45" s="21">
        <f t="shared" si="14"/>
        <v>1.073317721841419E-2</v>
      </c>
      <c r="AF45" s="24">
        <f>_xll.qlCalendarAdvance(Calendar,AF44,"1d","mf",,Trigger)</f>
        <v>42430</v>
      </c>
      <c r="AG45" s="25">
        <f>_xll.qlDayCounterYearFraction(DayCounter,SettlementDate,AF45,,,Trigger)</f>
        <v>0.16944444444444445</v>
      </c>
      <c r="AH45" s="21">
        <f t="shared" si="0"/>
        <v>5.5767867859704608E-3</v>
      </c>
      <c r="AI45" s="21">
        <f t="shared" si="1"/>
        <v>6.0490243037712495E-3</v>
      </c>
      <c r="AJ45" s="21">
        <f t="shared" si="2"/>
        <v>6.0149045833969243E-3</v>
      </c>
    </row>
    <row r="46" spans="3:36" x14ac:dyDescent="0.2">
      <c r="C46" s="21">
        <f t="shared" si="14"/>
        <v>1.0902091496481922E-2</v>
      </c>
      <c r="AF46" s="24">
        <f>_xll.qlCalendarAdvance(Calendar,AF45,"1d","mf",,Trigger)</f>
        <v>42431</v>
      </c>
      <c r="AG46" s="25">
        <f>_xll.qlDayCounterYearFraction(DayCounter,SettlementDate,AF46,,,Trigger)</f>
        <v>0.17222222222222222</v>
      </c>
      <c r="AH46" s="21">
        <f t="shared" si="0"/>
        <v>5.5767867859704608E-3</v>
      </c>
      <c r="AI46" s="21">
        <f t="shared" si="1"/>
        <v>6.0451375752296798E-3</v>
      </c>
      <c r="AJ46" s="21">
        <f t="shared" si="2"/>
        <v>6.0121916103417087E-3</v>
      </c>
    </row>
    <row r="47" spans="3:36" x14ac:dyDescent="0.2">
      <c r="C47" s="21">
        <f t="shared" si="14"/>
        <v>1.1117105569412061E-2</v>
      </c>
      <c r="N47" s="111"/>
      <c r="O47" s="111"/>
      <c r="AF47" s="24">
        <f>_xll.qlCalendarAdvance(Calendar,AF46,"1d","mf",,Trigger)</f>
        <v>42432</v>
      </c>
      <c r="AG47" s="25">
        <f>_xll.qlDayCounterYearFraction(DayCounter,SettlementDate,AF47,,,Trigger)</f>
        <v>0.17499999999999999</v>
      </c>
      <c r="AH47" s="21">
        <f t="shared" si="0"/>
        <v>5.5767867859704608E-3</v>
      </c>
      <c r="AI47" s="21">
        <f t="shared" si="1"/>
        <v>6.0412508466881091E-3</v>
      </c>
      <c r="AJ47" s="21">
        <f t="shared" si="2"/>
        <v>6.0094702084107889E-3</v>
      </c>
    </row>
    <row r="48" spans="3:36" x14ac:dyDescent="0.2">
      <c r="C48" s="21">
        <f t="shared" si="14"/>
        <v>1.1253332807654002E-2</v>
      </c>
      <c r="AF48" s="24">
        <f>_xll.qlCalendarAdvance(Calendar,AF47,"1d","mf",,Trigger)</f>
        <v>42433</v>
      </c>
      <c r="AG48" s="25">
        <f>_xll.qlDayCounterYearFraction(DayCounter,SettlementDate,AF48,,,Trigger)</f>
        <v>0.17777777777777778</v>
      </c>
      <c r="AH48" s="21">
        <f t="shared" si="0"/>
        <v>5.5767867859704608E-3</v>
      </c>
      <c r="AI48" s="21">
        <f t="shared" si="1"/>
        <v>6.0373641181465394E-3</v>
      </c>
      <c r="AJ48" s="21">
        <f t="shared" si="2"/>
        <v>6.0067403776041649E-3</v>
      </c>
    </row>
    <row r="49" spans="3:36" x14ac:dyDescent="0.2">
      <c r="C49" s="26">
        <f t="shared" si="14"/>
        <v>1.1440000000000047E-2</v>
      </c>
      <c r="AF49" s="24">
        <f>_xll.qlCalendarAdvance(Calendar,AF48,"1d","mf",,Trigger)</f>
        <v>42436</v>
      </c>
      <c r="AG49" s="25">
        <f>_xll.qlDayCounterYearFraction(DayCounter,SettlementDate,AF49,,,Trigger)</f>
        <v>0.18611111111111112</v>
      </c>
      <c r="AH49" s="21">
        <f t="shared" si="0"/>
        <v>5.5767867859704608E-3</v>
      </c>
      <c r="AI49" s="21">
        <f t="shared" si="1"/>
        <v>6.0257039325218283E-3</v>
      </c>
      <c r="AJ49" s="21">
        <f t="shared" si="2"/>
        <v>5.9985003119300698E-3</v>
      </c>
    </row>
    <row r="50" spans="3:36" x14ac:dyDescent="0.2">
      <c r="AF50" s="24">
        <f>_xll.qlCalendarAdvance(Calendar,AF49,"1d","mf",,Trigger)</f>
        <v>42437</v>
      </c>
      <c r="AG50" s="25">
        <f>_xll.qlDayCounterYearFraction(DayCounter,SettlementDate,AF50,,,Trigger)</f>
        <v>0.18888888888888888</v>
      </c>
      <c r="AH50" s="21">
        <f t="shared" si="0"/>
        <v>5.5767867859704608E-3</v>
      </c>
      <c r="AI50" s="21">
        <f t="shared" si="1"/>
        <v>6.0218172039802577E-3</v>
      </c>
      <c r="AJ50" s="21">
        <f t="shared" si="2"/>
        <v>5.9957367656206292E-3</v>
      </c>
    </row>
    <row r="51" spans="3:36" x14ac:dyDescent="0.2">
      <c r="AF51" s="24">
        <f>_xll.qlCalendarAdvance(Calendar,AF50,"1d","mf",,Trigger)</f>
        <v>42438</v>
      </c>
      <c r="AG51" s="25">
        <f>_xll.qlDayCounterYearFraction(DayCounter,SettlementDate,AF51,,,Trigger)</f>
        <v>0.19166666666666668</v>
      </c>
      <c r="AH51" s="21">
        <f t="shared" si="0"/>
        <v>5.5767867859704608E-3</v>
      </c>
      <c r="AI51" s="21">
        <f t="shared" si="1"/>
        <v>6.0179304754386879E-3</v>
      </c>
      <c r="AJ51" s="21">
        <f t="shared" si="2"/>
        <v>5.9929647904354852E-3</v>
      </c>
    </row>
    <row r="52" spans="3:36" x14ac:dyDescent="0.2">
      <c r="AF52" s="24">
        <f>_xll.qlCalendarAdvance(Calendar,AF51,"1d","mf",,Trigger)</f>
        <v>42439</v>
      </c>
      <c r="AG52" s="25">
        <f>_xll.qlDayCounterYearFraction(DayCounter,SettlementDate,AF52,,,Trigger)</f>
        <v>0.19444444444444445</v>
      </c>
      <c r="AH52" s="21">
        <f t="shared" si="0"/>
        <v>5.5767867859704608E-3</v>
      </c>
      <c r="AI52" s="21">
        <f t="shared" si="1"/>
        <v>6.0140437468971172E-3</v>
      </c>
      <c r="AJ52" s="21">
        <f t="shared" si="2"/>
        <v>5.990184386374638E-3</v>
      </c>
    </row>
    <row r="53" spans="3:36" x14ac:dyDescent="0.2">
      <c r="AF53" s="24">
        <f>_xll.qlCalendarAdvance(Calendar,AF52,"1d","mf",,Trigger)</f>
        <v>42440</v>
      </c>
      <c r="AG53" s="25">
        <f>_xll.qlDayCounterYearFraction(DayCounter,SettlementDate,AF53,,,Trigger)</f>
        <v>0.19722222222222222</v>
      </c>
      <c r="AH53" s="21">
        <f t="shared" si="0"/>
        <v>5.5767867859704608E-3</v>
      </c>
      <c r="AI53" s="21">
        <f t="shared" si="1"/>
        <v>6.0101570183555466E-3</v>
      </c>
      <c r="AJ53" s="21">
        <f t="shared" si="2"/>
        <v>5.9873955534380865E-3</v>
      </c>
    </row>
    <row r="54" spans="3:36" x14ac:dyDescent="0.2">
      <c r="AF54" s="24">
        <f>_xll.qlCalendarAdvance(Calendar,AF53,"1d","mf",,Trigger)</f>
        <v>42443</v>
      </c>
      <c r="AG54" s="25">
        <f>_xll.qlDayCounterYearFraction(DayCounter,SettlementDate,AF54,,,Trigger)</f>
        <v>0.20555555555555555</v>
      </c>
      <c r="AH54" s="21">
        <f t="shared" si="0"/>
        <v>5.5767867859704608E-3</v>
      </c>
      <c r="AI54" s="21">
        <f t="shared" si="1"/>
        <v>5.9984968327308364E-3</v>
      </c>
      <c r="AJ54" s="21">
        <f t="shared" si="2"/>
        <v>5.9789784813742064E-3</v>
      </c>
    </row>
    <row r="55" spans="3:36" x14ac:dyDescent="0.2">
      <c r="AF55" s="24">
        <f>_xll.qlCalendarAdvance(Calendar,AF54,"1d","mf",,Trigger)</f>
        <v>42444</v>
      </c>
      <c r="AG55" s="25">
        <f>_xll.qlDayCounterYearFraction(DayCounter,SettlementDate,AF55,,,Trigger)</f>
        <v>0.20833333333333334</v>
      </c>
      <c r="AH55" s="21">
        <f t="shared" si="0"/>
        <v>5.5767867859704608E-3</v>
      </c>
      <c r="AI55" s="21">
        <f t="shared" si="1"/>
        <v>5.9946101041892658E-3</v>
      </c>
      <c r="AJ55" s="21">
        <f t="shared" si="2"/>
        <v>5.9761559329348391E-3</v>
      </c>
    </row>
    <row r="56" spans="3:36" x14ac:dyDescent="0.2">
      <c r="AF56" s="24">
        <f>_xll.qlCalendarAdvance(Calendar,AF55,"1d","mf",,Trigger)</f>
        <v>42445</v>
      </c>
      <c r="AG56" s="25">
        <f>_xll.qlDayCounterYearFraction(DayCounter,SettlementDate,AF56,,,Trigger)</f>
        <v>0.21111111111111111</v>
      </c>
      <c r="AH56" s="21">
        <f t="shared" si="0"/>
        <v>5.5767867859704608E-3</v>
      </c>
      <c r="AI56" s="21">
        <f t="shared" si="1"/>
        <v>5.9907233756476951E-3</v>
      </c>
      <c r="AJ56" s="21">
        <f t="shared" si="2"/>
        <v>5.973324955619766E-3</v>
      </c>
    </row>
    <row r="57" spans="3:36" x14ac:dyDescent="0.2">
      <c r="AF57" s="24">
        <f>_xll.qlCalendarAdvance(Calendar,AF56,"1d","mf",,Trigger)</f>
        <v>42446</v>
      </c>
      <c r="AG57" s="25">
        <f>_xll.qlDayCounterYearFraction(DayCounter,SettlementDate,AF57,,,Trigger)</f>
        <v>0.21388888888888888</v>
      </c>
      <c r="AH57" s="21">
        <f t="shared" si="0"/>
        <v>5.5767867859704608E-3</v>
      </c>
      <c r="AI57" s="21">
        <f t="shared" si="1"/>
        <v>5.9868366471061253E-3</v>
      </c>
      <c r="AJ57" s="21">
        <f t="shared" si="2"/>
        <v>5.9704855494289904E-3</v>
      </c>
    </row>
    <row r="58" spans="3:36" x14ac:dyDescent="0.2">
      <c r="AF58" s="24">
        <f>_xll.qlCalendarAdvance(Calendar,AF57,"1d","mf",,Trigger)</f>
        <v>42447</v>
      </c>
      <c r="AG58" s="25">
        <f>_xll.qlDayCounterYearFraction(DayCounter,SettlementDate,AF58,,,Trigger)</f>
        <v>0.21666666666666667</v>
      </c>
      <c r="AH58" s="21">
        <f t="shared" si="0"/>
        <v>5.5767867859704608E-3</v>
      </c>
      <c r="AI58" s="21">
        <f t="shared" si="1"/>
        <v>5.9829499185645547E-3</v>
      </c>
      <c r="AJ58" s="21">
        <f t="shared" si="2"/>
        <v>5.9676377143625106E-3</v>
      </c>
    </row>
    <row r="59" spans="3:36" x14ac:dyDescent="0.2">
      <c r="AF59" s="24">
        <f>_xll.qlCalendarAdvance(Calendar,AF58,"1d","mf",,Trigger)</f>
        <v>42450</v>
      </c>
      <c r="AG59" s="25">
        <f>_xll.qlDayCounterYearFraction(DayCounter,SettlementDate,AF59,,,Trigger)</f>
        <v>0.22500000000000001</v>
      </c>
      <c r="AH59" s="21">
        <f t="shared" si="0"/>
        <v>5.5767867859704608E-3</v>
      </c>
      <c r="AI59" s="21">
        <f t="shared" si="1"/>
        <v>5.9712897329398437E-3</v>
      </c>
      <c r="AJ59" s="21">
        <f t="shared" si="2"/>
        <v>5.9590436359088471E-3</v>
      </c>
    </row>
    <row r="60" spans="3:36" x14ac:dyDescent="0.2">
      <c r="AF60" s="24">
        <f>_xll.qlCalendarAdvance(Calendar,AF59,"1d","mf",,Trigger)</f>
        <v>42451</v>
      </c>
      <c r="AG60" s="25">
        <f>_xll.qlDayCounterYearFraction(DayCounter,SettlementDate,AF60,,,Trigger)</f>
        <v>0.22777777777777777</v>
      </c>
      <c r="AH60" s="21">
        <f t="shared" si="0"/>
        <v>5.5767867859704608E-3</v>
      </c>
      <c r="AI60" s="21">
        <f t="shared" si="1"/>
        <v>5.9674030043982739E-3</v>
      </c>
      <c r="AJ60" s="21">
        <f t="shared" si="2"/>
        <v>5.9561620853395515E-3</v>
      </c>
    </row>
    <row r="61" spans="3:36" x14ac:dyDescent="0.2">
      <c r="AF61" s="24">
        <f>_xll.qlCalendarAdvance(Calendar,AF60,"1d","mf",,Trigger)</f>
        <v>42452</v>
      </c>
      <c r="AG61" s="25">
        <f>_xll.qlDayCounterYearFraction(DayCounter,SettlementDate,AF61,,,Trigger)</f>
        <v>0.23055555555555557</v>
      </c>
      <c r="AH61" s="21">
        <f t="shared" si="0"/>
        <v>5.5767867859704608E-3</v>
      </c>
      <c r="AI61" s="21">
        <f t="shared" si="1"/>
        <v>5.9635162758567032E-3</v>
      </c>
      <c r="AJ61" s="21">
        <f t="shared" si="2"/>
        <v>5.9532721058945517E-3</v>
      </c>
    </row>
    <row r="62" spans="3:36" x14ac:dyDescent="0.2">
      <c r="AF62" s="24">
        <f>_xll.qlCalendarAdvance(Calendar,AF61,"1d","mf",,Trigger)</f>
        <v>42453</v>
      </c>
      <c r="AG62" s="25">
        <f>_xll.qlDayCounterYearFraction(DayCounter,SettlementDate,AF62,,,Trigger)</f>
        <v>0.23333333333333334</v>
      </c>
      <c r="AH62" s="21">
        <f t="shared" si="0"/>
        <v>5.5767867859704608E-3</v>
      </c>
      <c r="AI62" s="21">
        <f t="shared" si="1"/>
        <v>5.9596295473151335E-3</v>
      </c>
      <c r="AJ62" s="21">
        <f t="shared" si="2"/>
        <v>5.9503736975738478E-3</v>
      </c>
    </row>
    <row r="63" spans="3:36" x14ac:dyDescent="0.2">
      <c r="AF63" s="24">
        <f>_xll.qlCalendarAdvance(Calendar,AF62,"1d","mf",,Trigger)</f>
        <v>42458</v>
      </c>
      <c r="AG63" s="25">
        <f>_xll.qlDayCounterYearFraction(DayCounter,SettlementDate,AF63,,,Trigger)</f>
        <v>0.24722222222222223</v>
      </c>
      <c r="AH63" s="21">
        <f t="shared" si="0"/>
        <v>5.5767867859704608E-3</v>
      </c>
      <c r="AI63" s="21">
        <f t="shared" si="1"/>
        <v>5.940195904607282E-3</v>
      </c>
      <c r="AJ63" s="21">
        <f t="shared" si="2"/>
        <v>5.935755222834768E-3</v>
      </c>
    </row>
    <row r="64" spans="3:36" x14ac:dyDescent="0.2">
      <c r="AF64" s="24">
        <f>_xll.qlCalendarAdvance(Calendar,AF63,"1d","mf",,Trigger)</f>
        <v>42459</v>
      </c>
      <c r="AG64" s="25">
        <f>_xll.qlDayCounterYearFraction(DayCounter,SettlementDate,AF64,,,Trigger)</f>
        <v>0.25</v>
      </c>
      <c r="AH64" s="21">
        <f t="shared" si="0"/>
        <v>5.5767867859704608E-3</v>
      </c>
      <c r="AI64" s="21">
        <f t="shared" si="1"/>
        <v>5.9363091760657113E-3</v>
      </c>
      <c r="AJ64" s="21">
        <f t="shared" si="2"/>
        <v>5.9328062412598408E-3</v>
      </c>
    </row>
    <row r="65" spans="14:36" x14ac:dyDescent="0.2">
      <c r="AF65" s="24">
        <f>_xll.qlCalendarAdvance(Calendar,AF64,"1d","mf",,Trigger)</f>
        <v>42460</v>
      </c>
      <c r="AG65" s="25">
        <f>_xll.qlDayCounterYearFraction(DayCounter,SettlementDate,AF65,,,Trigger)</f>
        <v>0.25277777777777777</v>
      </c>
      <c r="AH65" s="21">
        <f t="shared" si="0"/>
        <v>5.5767867859704608E-3</v>
      </c>
      <c r="AI65" s="21">
        <f t="shared" si="1"/>
        <v>5.9324224475241407E-3</v>
      </c>
      <c r="AJ65" s="21">
        <f t="shared" si="2"/>
        <v>5.9298488308092093E-3</v>
      </c>
    </row>
    <row r="66" spans="14:36" x14ac:dyDescent="0.2">
      <c r="N66" s="111"/>
      <c r="AF66" s="24">
        <f>_xll.qlCalendarAdvance(Calendar,AF65,"1d","mf",,Trigger)</f>
        <v>42461</v>
      </c>
      <c r="AG66" s="25">
        <f>_xll.qlDayCounterYearFraction(DayCounter,SettlementDate,AF66,,,Trigger)</f>
        <v>0.25555555555555554</v>
      </c>
      <c r="AH66" s="21">
        <f t="shared" si="0"/>
        <v>5.5767867859704608E-3</v>
      </c>
      <c r="AI66" s="21">
        <f t="shared" si="1"/>
        <v>5.9285357189825709E-3</v>
      </c>
      <c r="AJ66" s="21">
        <f t="shared" si="2"/>
        <v>5.9268829914828737E-3</v>
      </c>
    </row>
    <row r="67" spans="14:36" x14ac:dyDescent="0.2">
      <c r="N67" s="111"/>
      <c r="AF67" s="24">
        <f>_xll.qlCalendarAdvance(Calendar,AF66,"1d","mf",,Trigger)</f>
        <v>42464</v>
      </c>
      <c r="AG67" s="25">
        <f>_xll.qlDayCounterYearFraction(DayCounter,SettlementDate,AF67,,,Trigger)</f>
        <v>0.2638888888888889</v>
      </c>
      <c r="AH67" s="21">
        <f t="shared" ref="AH67:AH130" si="15">$W$13</f>
        <v>5.5767867859704608E-3</v>
      </c>
      <c r="AI67" s="21">
        <f t="shared" ref="AI67:AI126" si="16">$W$10+$W$9*AG67</f>
        <v>5.9168755333578599E-3</v>
      </c>
      <c r="AJ67" s="21">
        <f t="shared" ref="AJ67:AJ126" si="17">($W$5+$W$4*AG67+$W$3*AG67^2)</f>
        <v>5.9179349002496419E-3</v>
      </c>
    </row>
    <row r="68" spans="14:36" x14ac:dyDescent="0.2">
      <c r="N68" s="111"/>
      <c r="AF68" s="24">
        <f>_xll.qlCalendarAdvance(Calendar,AF67,"1d","mf",,Trigger)</f>
        <v>42465</v>
      </c>
      <c r="AG68" s="25">
        <f>_xll.qlDayCounterYearFraction(DayCounter,SettlementDate,AF68,,,Trigger)</f>
        <v>0.26666666666666666</v>
      </c>
      <c r="AH68" s="21">
        <f t="shared" si="15"/>
        <v>5.5767867859704608E-3</v>
      </c>
      <c r="AI68" s="21">
        <f t="shared" si="16"/>
        <v>5.9129888048162892E-3</v>
      </c>
      <c r="AJ68" s="21">
        <f t="shared" si="17"/>
        <v>5.9149353454204905E-3</v>
      </c>
    </row>
    <row r="69" spans="14:36" x14ac:dyDescent="0.2">
      <c r="N69" s="111"/>
      <c r="AF69" s="24">
        <f>_xll.qlCalendarAdvance(Calendar,AF68,"1d","mf",,Trigger)</f>
        <v>42466</v>
      </c>
      <c r="AG69" s="25">
        <f>_xll.qlDayCounterYearFraction(DayCounter,SettlementDate,AF69,,,Trigger)</f>
        <v>0.26944444444444443</v>
      </c>
      <c r="AH69" s="21">
        <f t="shared" si="15"/>
        <v>5.5767867859704608E-3</v>
      </c>
      <c r="AI69" s="21">
        <f t="shared" si="16"/>
        <v>5.9091020762747195E-3</v>
      </c>
      <c r="AJ69" s="21">
        <f t="shared" si="17"/>
        <v>5.911927361715634E-3</v>
      </c>
    </row>
    <row r="70" spans="14:36" x14ac:dyDescent="0.2">
      <c r="N70" s="111"/>
      <c r="AF70" s="24">
        <f>_xll.qlCalendarAdvance(Calendar,AF69,"1d","mf",,Trigger)</f>
        <v>42467</v>
      </c>
      <c r="AG70" s="25">
        <f>_xll.qlDayCounterYearFraction(DayCounter,SettlementDate,AF70,,,Trigger)</f>
        <v>0.2722222222222222</v>
      </c>
      <c r="AH70" s="21">
        <f t="shared" si="15"/>
        <v>5.5767867859704608E-3</v>
      </c>
      <c r="AI70" s="21">
        <f t="shared" si="16"/>
        <v>5.9052153477331488E-3</v>
      </c>
      <c r="AJ70" s="21">
        <f t="shared" si="17"/>
        <v>5.9089109491350742E-3</v>
      </c>
    </row>
    <row r="71" spans="14:36" x14ac:dyDescent="0.2">
      <c r="N71" s="111"/>
      <c r="AF71" s="24">
        <f>_xll.qlCalendarAdvance(Calendar,AF70,"1d","mf",,Trigger)</f>
        <v>42468</v>
      </c>
      <c r="AG71" s="25">
        <f>_xll.qlDayCounterYearFraction(DayCounter,SettlementDate,AF71,,,Trigger)</f>
        <v>0.27500000000000002</v>
      </c>
      <c r="AH71" s="21">
        <f t="shared" si="15"/>
        <v>5.5767867859704608E-3</v>
      </c>
      <c r="AI71" s="21">
        <f t="shared" si="16"/>
        <v>5.901328619191579E-3</v>
      </c>
      <c r="AJ71" s="21">
        <f t="shared" si="17"/>
        <v>5.9058861076788103E-3</v>
      </c>
    </row>
    <row r="72" spans="14:36" x14ac:dyDescent="0.2">
      <c r="N72" s="111"/>
      <c r="O72" s="111"/>
      <c r="AF72" s="24">
        <f>_xll.qlCalendarAdvance(Calendar,AF71,"1d","mf",,Trigger)</f>
        <v>42471</v>
      </c>
      <c r="AG72" s="25">
        <f>_xll.qlDayCounterYearFraction(DayCounter,SettlementDate,AF72,,,Trigger)</f>
        <v>0.28333333333333333</v>
      </c>
      <c r="AH72" s="21">
        <f t="shared" si="15"/>
        <v>5.5767867859704608E-3</v>
      </c>
      <c r="AI72" s="21">
        <f t="shared" si="16"/>
        <v>5.889668433566868E-3</v>
      </c>
      <c r="AJ72" s="21">
        <f t="shared" si="17"/>
        <v>5.8967610100557951E-3</v>
      </c>
    </row>
    <row r="73" spans="14:36" x14ac:dyDescent="0.2">
      <c r="N73" s="111"/>
      <c r="O73" s="111"/>
      <c r="AF73" s="24">
        <f>_xll.qlCalendarAdvance(Calendar,AF72,"1d","mf",,Trigger)</f>
        <v>42472</v>
      </c>
      <c r="AG73" s="25">
        <f>_xll.qlDayCounterYearFraction(DayCounter,SettlementDate,AF73,,,Trigger)</f>
        <v>0.28611111111111109</v>
      </c>
      <c r="AH73" s="21">
        <f t="shared" si="15"/>
        <v>5.5767867859704608E-3</v>
      </c>
      <c r="AI73" s="21">
        <f t="shared" si="16"/>
        <v>5.8857817050252973E-3</v>
      </c>
      <c r="AJ73" s="21">
        <f t="shared" si="17"/>
        <v>5.8937024530967153E-3</v>
      </c>
    </row>
    <row r="74" spans="14:36" x14ac:dyDescent="0.2">
      <c r="N74" s="111"/>
      <c r="O74" s="111"/>
      <c r="AF74" s="24">
        <f>_xll.qlCalendarAdvance(Calendar,AF73,"1d","mf",,Trigger)</f>
        <v>42473</v>
      </c>
      <c r="AG74" s="25">
        <f>_xll.qlDayCounterYearFraction(DayCounter,SettlementDate,AF74,,,Trigger)</f>
        <v>0.28888888888888886</v>
      </c>
      <c r="AH74" s="21">
        <f t="shared" si="15"/>
        <v>5.5767867859704608E-3</v>
      </c>
      <c r="AI74" s="21">
        <f t="shared" si="16"/>
        <v>5.8818949764837276E-3</v>
      </c>
      <c r="AJ74" s="21">
        <f t="shared" si="17"/>
        <v>5.8906354672619314E-3</v>
      </c>
    </row>
    <row r="75" spans="14:36" x14ac:dyDescent="0.2">
      <c r="N75" s="111"/>
      <c r="O75" s="111"/>
      <c r="AF75" s="24">
        <f>_xll.qlCalendarAdvance(Calendar,AF74,"1d","mf",,Trigger)</f>
        <v>42474</v>
      </c>
      <c r="AG75" s="25">
        <f>_xll.qlDayCounterYearFraction(DayCounter,SettlementDate,AF75,,,Trigger)</f>
        <v>0.29166666666666669</v>
      </c>
      <c r="AH75" s="21">
        <f t="shared" si="15"/>
        <v>5.5767867859704608E-3</v>
      </c>
      <c r="AI75" s="21">
        <f t="shared" si="16"/>
        <v>5.8780082479421569E-3</v>
      </c>
      <c r="AJ75" s="21">
        <f t="shared" si="17"/>
        <v>5.8875600525514432E-3</v>
      </c>
    </row>
    <row r="76" spans="14:36" x14ac:dyDescent="0.2">
      <c r="N76" s="111"/>
      <c r="O76" s="111"/>
      <c r="AF76" s="24">
        <f>_xll.qlCalendarAdvance(Calendar,AF75,"1d","mf",,Trigger)</f>
        <v>42475</v>
      </c>
      <c r="AG76" s="25">
        <f>_xll.qlDayCounterYearFraction(DayCounter,SettlementDate,AF76,,,Trigger)</f>
        <v>0.29444444444444445</v>
      </c>
      <c r="AH76" s="21">
        <f t="shared" si="15"/>
        <v>5.5767867859704608E-3</v>
      </c>
      <c r="AI76" s="21">
        <f t="shared" si="16"/>
        <v>5.8741215194005863E-3</v>
      </c>
      <c r="AJ76" s="21">
        <f t="shared" si="17"/>
        <v>5.8844762089652518E-3</v>
      </c>
    </row>
    <row r="77" spans="14:36" x14ac:dyDescent="0.2">
      <c r="N77" s="111"/>
      <c r="O77" s="111"/>
      <c r="AF77" s="24">
        <f>_xll.qlCalendarAdvance(Calendar,AF76,"1d","mf",,Trigger)</f>
        <v>42478</v>
      </c>
      <c r="AG77" s="25">
        <f>_xll.qlDayCounterYearFraction(DayCounter,SettlementDate,AF77,,,Trigger)</f>
        <v>0.30277777777777776</v>
      </c>
      <c r="AH77" s="21">
        <f t="shared" si="15"/>
        <v>5.5767867859704608E-3</v>
      </c>
      <c r="AI77" s="21">
        <f t="shared" si="16"/>
        <v>5.8624613337758761E-3</v>
      </c>
      <c r="AJ77" s="21">
        <f t="shared" si="17"/>
        <v>5.8751741049524516E-3</v>
      </c>
    </row>
    <row r="78" spans="14:36" x14ac:dyDescent="0.2">
      <c r="N78" s="111"/>
      <c r="O78" s="111"/>
      <c r="AF78" s="24">
        <f>_xll.qlCalendarAdvance(Calendar,AF77,"1d","mf",,Trigger)</f>
        <v>42479</v>
      </c>
      <c r="AG78" s="25">
        <f>_xll.qlDayCounterYearFraction(DayCounter,SettlementDate,AF78,,,Trigger)</f>
        <v>0.30555555555555558</v>
      </c>
      <c r="AH78" s="21">
        <f t="shared" si="15"/>
        <v>5.5767867859704608E-3</v>
      </c>
      <c r="AI78" s="21">
        <f t="shared" si="16"/>
        <v>5.8585746052343055E-3</v>
      </c>
      <c r="AJ78" s="21">
        <f t="shared" si="17"/>
        <v>5.8720565458634444E-3</v>
      </c>
    </row>
    <row r="79" spans="14:36" x14ac:dyDescent="0.2">
      <c r="N79" s="111"/>
      <c r="O79" s="111"/>
      <c r="AF79" s="24">
        <f>_xll.qlCalendarAdvance(Calendar,AF78,"1d","mf",,Trigger)</f>
        <v>42480</v>
      </c>
      <c r="AG79" s="25">
        <f>_xll.qlDayCounterYearFraction(DayCounter,SettlementDate,AF79,,,Trigger)</f>
        <v>0.30833333333333335</v>
      </c>
      <c r="AH79" s="21">
        <f t="shared" si="15"/>
        <v>5.5767867859704608E-3</v>
      </c>
      <c r="AI79" s="21">
        <f t="shared" si="16"/>
        <v>5.8546878766927348E-3</v>
      </c>
      <c r="AJ79" s="21">
        <f t="shared" si="17"/>
        <v>5.8689305578987329E-3</v>
      </c>
    </row>
    <row r="80" spans="14:36" x14ac:dyDescent="0.2">
      <c r="N80" s="111"/>
      <c r="O80" s="111"/>
      <c r="AF80" s="24">
        <f>_xll.qlCalendarAdvance(Calendar,AF79,"1d","mf",,Trigger)</f>
        <v>42481</v>
      </c>
      <c r="AG80" s="25">
        <f>_xll.qlDayCounterYearFraction(DayCounter,SettlementDate,AF80,,,Trigger)</f>
        <v>0.31111111111111112</v>
      </c>
      <c r="AH80" s="21">
        <f t="shared" si="15"/>
        <v>5.5767867859704608E-3</v>
      </c>
      <c r="AI80" s="21">
        <f t="shared" si="16"/>
        <v>5.850801148151165E-3</v>
      </c>
      <c r="AJ80" s="21">
        <f t="shared" si="17"/>
        <v>5.8657961410583173E-3</v>
      </c>
    </row>
    <row r="81" spans="14:36" x14ac:dyDescent="0.2">
      <c r="N81" s="111"/>
      <c r="O81" s="111"/>
      <c r="AF81" s="24">
        <f>_xll.qlCalendarAdvance(Calendar,AF80,"1d","mf",,Trigger)</f>
        <v>42482</v>
      </c>
      <c r="AG81" s="25">
        <f>_xll.qlDayCounterYearFraction(DayCounter,SettlementDate,AF81,,,Trigger)</f>
        <v>0.31388888888888888</v>
      </c>
      <c r="AH81" s="21">
        <f t="shared" si="15"/>
        <v>5.5767867859704608E-3</v>
      </c>
      <c r="AI81" s="21">
        <f t="shared" si="16"/>
        <v>5.8469144196095944E-3</v>
      </c>
      <c r="AJ81" s="21">
        <f t="shared" si="17"/>
        <v>5.8626532953421967E-3</v>
      </c>
    </row>
    <row r="82" spans="14:36" x14ac:dyDescent="0.2">
      <c r="N82" s="111"/>
      <c r="O82" s="111"/>
      <c r="AF82" s="24">
        <f>_xll.qlCalendarAdvance(Calendar,AF81,"1d","mf",,Trigger)</f>
        <v>42485</v>
      </c>
      <c r="AG82" s="25">
        <f>_xll.qlDayCounterYearFraction(DayCounter,SettlementDate,AF82,,,Trigger)</f>
        <v>0.32222222222222224</v>
      </c>
      <c r="AH82" s="21">
        <f t="shared" si="15"/>
        <v>5.5767867859704608E-3</v>
      </c>
      <c r="AI82" s="21">
        <f t="shared" si="16"/>
        <v>5.8352542339848833E-3</v>
      </c>
      <c r="AJ82" s="21">
        <f t="shared" si="17"/>
        <v>5.853174184939614E-3</v>
      </c>
    </row>
    <row r="83" spans="14:36" x14ac:dyDescent="0.2">
      <c r="N83" s="111"/>
      <c r="O83" s="111"/>
      <c r="AF83" s="24">
        <f>_xll.qlCalendarAdvance(Calendar,AF82,"1d","mf",,Trigger)</f>
        <v>42486</v>
      </c>
      <c r="AG83" s="25">
        <f>_xll.qlDayCounterYearFraction(DayCounter,SettlementDate,AF83,,,Trigger)</f>
        <v>0.32500000000000001</v>
      </c>
      <c r="AH83" s="21">
        <f t="shared" si="15"/>
        <v>5.5767867859704608E-3</v>
      </c>
      <c r="AI83" s="21">
        <f t="shared" si="16"/>
        <v>5.8313675054433136E-3</v>
      </c>
      <c r="AJ83" s="21">
        <f t="shared" si="17"/>
        <v>5.8499976237206775E-3</v>
      </c>
    </row>
    <row r="84" spans="14:36" x14ac:dyDescent="0.2">
      <c r="N84" s="111"/>
      <c r="O84" s="111"/>
      <c r="AF84" s="24">
        <f>_xll.qlCalendarAdvance(Calendar,AF83,"1d","mf",,Trigger)</f>
        <v>42487</v>
      </c>
      <c r="AG84" s="25">
        <f>_xll.qlDayCounterYearFraction(DayCounter,SettlementDate,AF84,,,Trigger)</f>
        <v>0.32777777777777778</v>
      </c>
      <c r="AH84" s="21">
        <f t="shared" si="15"/>
        <v>5.5767867859704608E-3</v>
      </c>
      <c r="AI84" s="21">
        <f t="shared" si="16"/>
        <v>5.8274807769017429E-3</v>
      </c>
      <c r="AJ84" s="21">
        <f t="shared" si="17"/>
        <v>5.8468126336260378E-3</v>
      </c>
    </row>
    <row r="85" spans="14:36" x14ac:dyDescent="0.2">
      <c r="N85" s="111"/>
      <c r="O85" s="111"/>
      <c r="AF85" s="24">
        <f>_xll.qlCalendarAdvance(Calendar,AF84,"1d","mf",,Trigger)</f>
        <v>42488</v>
      </c>
      <c r="AG85" s="25">
        <f>_xll.qlDayCounterYearFraction(DayCounter,SettlementDate,AF85,,,Trigger)</f>
        <v>0.33055555555555555</v>
      </c>
      <c r="AH85" s="21">
        <f t="shared" si="15"/>
        <v>5.5767867859704608E-3</v>
      </c>
      <c r="AI85" s="21">
        <f t="shared" si="16"/>
        <v>5.8235940483601732E-3</v>
      </c>
      <c r="AJ85" s="21">
        <f t="shared" si="17"/>
        <v>5.8436192146556947E-3</v>
      </c>
    </row>
    <row r="86" spans="14:36" x14ac:dyDescent="0.2">
      <c r="N86" s="111"/>
      <c r="O86" s="111"/>
      <c r="AF86" s="24">
        <f>_xll.qlCalendarAdvance(Calendar,AF85,"1d","mf",,Trigger)</f>
        <v>42489</v>
      </c>
      <c r="AG86" s="25">
        <f>_xll.qlDayCounterYearFraction(DayCounter,SettlementDate,AF86,,,Trigger)</f>
        <v>0.33333333333333331</v>
      </c>
      <c r="AH86" s="21">
        <f t="shared" si="15"/>
        <v>5.5767867859704608E-3</v>
      </c>
      <c r="AI86" s="21">
        <f t="shared" si="16"/>
        <v>5.8197073198186025E-3</v>
      </c>
      <c r="AJ86" s="21">
        <f t="shared" si="17"/>
        <v>5.8404173668096466E-3</v>
      </c>
    </row>
    <row r="87" spans="14:36" x14ac:dyDescent="0.2">
      <c r="N87" s="111"/>
      <c r="O87" s="111"/>
      <c r="AF87" s="24">
        <f>_xll.qlCalendarAdvance(Calendar,AF86,"1d","mf",,Trigger)</f>
        <v>42493</v>
      </c>
      <c r="AG87" s="25">
        <f>_xll.qlDayCounterYearFraction(DayCounter,SettlementDate,AF87,,,Trigger)</f>
        <v>0.34444444444444444</v>
      </c>
      <c r="AH87" s="21">
        <f t="shared" si="15"/>
        <v>5.5767867859704608E-3</v>
      </c>
      <c r="AI87" s="21">
        <f t="shared" si="16"/>
        <v>5.8041604056523217E-3</v>
      </c>
      <c r="AJ87" s="21">
        <f t="shared" si="17"/>
        <v>5.8275256866684158E-3</v>
      </c>
    </row>
    <row r="88" spans="14:36" x14ac:dyDescent="0.2">
      <c r="N88" s="111"/>
      <c r="O88" s="111"/>
      <c r="AF88" s="24">
        <f>_xll.qlCalendarAdvance(Calendar,AF87,"1d","mf",,Trigger)</f>
        <v>42494</v>
      </c>
      <c r="AG88" s="25">
        <f>_xll.qlDayCounterYearFraction(DayCounter,SettlementDate,AF88,,,Trigger)</f>
        <v>0.34722222222222221</v>
      </c>
      <c r="AH88" s="21">
        <f t="shared" si="15"/>
        <v>5.5767867859704608E-3</v>
      </c>
      <c r="AI88" s="21">
        <f t="shared" si="16"/>
        <v>5.800273677110751E-3</v>
      </c>
      <c r="AJ88" s="21">
        <f t="shared" si="17"/>
        <v>5.8242816944438468E-3</v>
      </c>
    </row>
    <row r="89" spans="14:36" x14ac:dyDescent="0.2">
      <c r="N89" s="111"/>
      <c r="O89" s="111"/>
      <c r="AF89" s="24">
        <f>_xll.qlCalendarAdvance(Calendar,AF88,"1d","mf",,Trigger)</f>
        <v>42495</v>
      </c>
      <c r="AG89" s="25">
        <f>_xll.qlDayCounterYearFraction(DayCounter,SettlementDate,AF89,,,Trigger)</f>
        <v>0.35</v>
      </c>
      <c r="AH89" s="21">
        <f t="shared" si="15"/>
        <v>5.5767867859704608E-3</v>
      </c>
      <c r="AI89" s="21">
        <f t="shared" si="16"/>
        <v>5.7963869485691804E-3</v>
      </c>
      <c r="AJ89" s="21">
        <f t="shared" si="17"/>
        <v>5.8210292733435753E-3</v>
      </c>
    </row>
    <row r="90" spans="14:36" x14ac:dyDescent="0.2">
      <c r="N90" s="111"/>
      <c r="O90" s="111"/>
      <c r="AF90" s="24">
        <f>_xll.qlCalendarAdvance(Calendar,AF89,"1d","mf",,Trigger)</f>
        <v>42496</v>
      </c>
      <c r="AG90" s="25">
        <f>_xll.qlDayCounterYearFraction(DayCounter,SettlementDate,AF90,,,Trigger)</f>
        <v>0.3527777777777778</v>
      </c>
      <c r="AH90" s="21">
        <f t="shared" si="15"/>
        <v>5.5767867859704608E-3</v>
      </c>
      <c r="AI90" s="21">
        <f t="shared" si="16"/>
        <v>5.7925002200276106E-3</v>
      </c>
      <c r="AJ90" s="21">
        <f t="shared" si="17"/>
        <v>5.8177684233675997E-3</v>
      </c>
    </row>
    <row r="91" spans="14:36" x14ac:dyDescent="0.2">
      <c r="N91" s="111"/>
      <c r="O91" s="111"/>
      <c r="AF91" s="24">
        <f>_xll.qlCalendarAdvance(Calendar,AF90,"1d","mf",,Trigger)</f>
        <v>42499</v>
      </c>
      <c r="AG91" s="25">
        <f>_xll.qlDayCounterYearFraction(DayCounter,SettlementDate,AF91,,,Trigger)</f>
        <v>0.3611111111111111</v>
      </c>
      <c r="AH91" s="21">
        <f t="shared" si="15"/>
        <v>5.5767867859704608E-3</v>
      </c>
      <c r="AI91" s="21">
        <f t="shared" si="16"/>
        <v>5.7808400344028996E-3</v>
      </c>
      <c r="AJ91" s="21">
        <f t="shared" si="17"/>
        <v>5.8079353001854487E-3</v>
      </c>
    </row>
    <row r="92" spans="14:36" x14ac:dyDescent="0.2">
      <c r="N92" s="111"/>
      <c r="O92" s="111"/>
      <c r="AF92" s="24">
        <f>_xll.qlCalendarAdvance(Calendar,AF91,"1d","mf",,Trigger)</f>
        <v>42500</v>
      </c>
      <c r="AG92" s="25">
        <f>_xll.qlDayCounterYearFraction(DayCounter,SettlementDate,AF92,,,Trigger)</f>
        <v>0.36388888888888887</v>
      </c>
      <c r="AH92" s="21">
        <f t="shared" si="15"/>
        <v>5.5767867859704608E-3</v>
      </c>
      <c r="AI92" s="21">
        <f t="shared" si="16"/>
        <v>5.7769533058613289E-3</v>
      </c>
      <c r="AJ92" s="21">
        <f t="shared" si="17"/>
        <v>5.8046407347066573E-3</v>
      </c>
    </row>
    <row r="93" spans="14:36" x14ac:dyDescent="0.2">
      <c r="N93" s="111"/>
      <c r="O93" s="111"/>
      <c r="AF93" s="24">
        <f>_xll.qlCalendarAdvance(Calendar,AF92,"1d","mf",,Trigger)</f>
        <v>42501</v>
      </c>
      <c r="AG93" s="25">
        <f>_xll.qlDayCounterYearFraction(DayCounter,SettlementDate,AF93,,,Trigger)</f>
        <v>0.36666666666666664</v>
      </c>
      <c r="AH93" s="21">
        <f t="shared" si="15"/>
        <v>5.5767867859704608E-3</v>
      </c>
      <c r="AI93" s="21">
        <f t="shared" si="16"/>
        <v>5.7730665773197591E-3</v>
      </c>
      <c r="AJ93" s="21">
        <f t="shared" si="17"/>
        <v>5.8013377403521617E-3</v>
      </c>
    </row>
    <row r="94" spans="14:36" x14ac:dyDescent="0.2">
      <c r="N94" s="111"/>
      <c r="O94" s="111"/>
      <c r="AF94" s="24">
        <f>_xll.qlCalendarAdvance(Calendar,AF93,"1d","mf",,Trigger)</f>
        <v>42502</v>
      </c>
      <c r="AG94" s="25">
        <f>_xll.qlDayCounterYearFraction(DayCounter,SettlementDate,AF94,,,Trigger)</f>
        <v>0.36944444444444446</v>
      </c>
      <c r="AH94" s="21">
        <f t="shared" si="15"/>
        <v>5.5767867859704608E-3</v>
      </c>
      <c r="AI94" s="21">
        <f t="shared" si="16"/>
        <v>5.7691798487781885E-3</v>
      </c>
      <c r="AJ94" s="21">
        <f t="shared" si="17"/>
        <v>5.798026317121961E-3</v>
      </c>
    </row>
    <row r="95" spans="14:36" x14ac:dyDescent="0.2">
      <c r="N95" s="111"/>
      <c r="O95" s="111"/>
      <c r="AF95" s="24">
        <f>_xll.qlCalendarAdvance(Calendar,AF94,"1d","mf",,Trigger)</f>
        <v>42503</v>
      </c>
      <c r="AG95" s="25">
        <f>_xll.qlDayCounterYearFraction(DayCounter,SettlementDate,AF95,,,Trigger)</f>
        <v>0.37222222222222223</v>
      </c>
      <c r="AH95" s="21">
        <f t="shared" si="15"/>
        <v>5.5767867859704608E-3</v>
      </c>
      <c r="AI95" s="21">
        <f t="shared" si="16"/>
        <v>5.7652931202366187E-3</v>
      </c>
      <c r="AJ95" s="21">
        <f t="shared" si="17"/>
        <v>5.7947064650160571E-3</v>
      </c>
    </row>
    <row r="96" spans="14:36" x14ac:dyDescent="0.2">
      <c r="N96" s="111"/>
      <c r="O96" s="111"/>
      <c r="AF96" s="24">
        <f>_xll.qlCalendarAdvance(Calendar,AF95,"1d","mf",,Trigger)</f>
        <v>42506</v>
      </c>
      <c r="AG96" s="25">
        <f>_xll.qlDayCounterYearFraction(DayCounter,SettlementDate,AF96,,,Trigger)</f>
        <v>0.38055555555555554</v>
      </c>
      <c r="AH96" s="21">
        <f t="shared" si="15"/>
        <v>5.5767867859704608E-3</v>
      </c>
      <c r="AI96" s="21">
        <f t="shared" si="16"/>
        <v>5.7536329346119077E-3</v>
      </c>
      <c r="AJ96" s="21">
        <f t="shared" si="17"/>
        <v>5.7846963354441228E-3</v>
      </c>
    </row>
    <row r="97" spans="14:36" x14ac:dyDescent="0.2">
      <c r="N97" s="111"/>
      <c r="O97" s="111"/>
      <c r="AF97" s="24">
        <f>_xll.qlCalendarAdvance(Calendar,AF96,"1d","mf",,Trigger)</f>
        <v>42507</v>
      </c>
      <c r="AG97" s="25">
        <f>_xll.qlDayCounterYearFraction(DayCounter,SettlementDate,AF97,,,Trigger)</f>
        <v>0.38333333333333336</v>
      </c>
      <c r="AH97" s="21">
        <f t="shared" si="15"/>
        <v>5.5767867859704608E-3</v>
      </c>
      <c r="AI97" s="21">
        <f t="shared" si="16"/>
        <v>5.749746206070337E-3</v>
      </c>
      <c r="AJ97" s="21">
        <f t="shared" si="17"/>
        <v>5.7813427678354021E-3</v>
      </c>
    </row>
    <row r="98" spans="14:36" x14ac:dyDescent="0.2">
      <c r="N98" s="111"/>
      <c r="O98" s="111"/>
      <c r="AF98" s="24">
        <f>_xll.qlCalendarAdvance(Calendar,AF97,"1d","mf",,Trigger)</f>
        <v>42508</v>
      </c>
      <c r="AG98" s="25">
        <f>_xll.qlDayCounterYearFraction(DayCounter,SettlementDate,AF98,,,Trigger)</f>
        <v>0.38611111111111113</v>
      </c>
      <c r="AH98" s="21">
        <f t="shared" si="15"/>
        <v>5.5767867859704608E-3</v>
      </c>
      <c r="AI98" s="21">
        <f t="shared" si="16"/>
        <v>5.7458594775287673E-3</v>
      </c>
      <c r="AJ98" s="21">
        <f t="shared" si="17"/>
        <v>5.777980771350979E-3</v>
      </c>
    </row>
    <row r="99" spans="14:36" x14ac:dyDescent="0.2">
      <c r="N99" s="111"/>
      <c r="O99" s="111"/>
      <c r="AF99" s="24">
        <f>_xll.qlCalendarAdvance(Calendar,AF98,"1d","mf",,Trigger)</f>
        <v>42509</v>
      </c>
      <c r="AG99" s="25">
        <f>_xll.qlDayCounterYearFraction(DayCounter,SettlementDate,AF99,,,Trigger)</f>
        <v>0.3888888888888889</v>
      </c>
      <c r="AH99" s="21">
        <f t="shared" si="15"/>
        <v>5.5767867859704608E-3</v>
      </c>
      <c r="AI99" s="21">
        <f t="shared" si="16"/>
        <v>5.7419727489871966E-3</v>
      </c>
      <c r="AJ99" s="21">
        <f t="shared" si="17"/>
        <v>5.7746103459908509E-3</v>
      </c>
    </row>
    <row r="100" spans="14:36" x14ac:dyDescent="0.2">
      <c r="N100" s="111"/>
      <c r="O100" s="111"/>
      <c r="AF100" s="24">
        <f>_xll.qlCalendarAdvance(Calendar,AF99,"1d","mf",,Trigger)</f>
        <v>42510</v>
      </c>
      <c r="AG100" s="25">
        <f>_xll.qlDayCounterYearFraction(DayCounter,SettlementDate,AF100,,,Trigger)</f>
        <v>0.39166666666666666</v>
      </c>
      <c r="AH100" s="21">
        <f t="shared" si="15"/>
        <v>5.5767867859704608E-3</v>
      </c>
      <c r="AI100" s="21">
        <f t="shared" si="16"/>
        <v>5.738086020445626E-3</v>
      </c>
      <c r="AJ100" s="21">
        <f t="shared" si="17"/>
        <v>5.7712314917550194E-3</v>
      </c>
    </row>
    <row r="101" spans="14:36" x14ac:dyDescent="0.2">
      <c r="N101" s="111"/>
      <c r="O101" s="111"/>
      <c r="AF101" s="24">
        <f>_xll.qlCalendarAdvance(Calendar,AF100,"1d","mf",,Trigger)</f>
        <v>42513</v>
      </c>
      <c r="AG101" s="25">
        <f>_xll.qlDayCounterYearFraction(DayCounter,SettlementDate,AF101,,,Trigger)</f>
        <v>0.4</v>
      </c>
      <c r="AH101" s="21">
        <f t="shared" si="15"/>
        <v>5.5767867859704608E-3</v>
      </c>
      <c r="AI101" s="21">
        <f t="shared" si="16"/>
        <v>5.7264258348209158E-3</v>
      </c>
      <c r="AJ101" s="21">
        <f t="shared" si="17"/>
        <v>5.7610443557933001E-3</v>
      </c>
    </row>
    <row r="102" spans="14:36" x14ac:dyDescent="0.2">
      <c r="N102" s="111"/>
      <c r="O102" s="111"/>
      <c r="AF102" s="24">
        <f>_xll.qlCalendarAdvance(Calendar,AF101,"1d","mf",,Trigger)</f>
        <v>42514</v>
      </c>
      <c r="AG102" s="25">
        <f>_xll.qlDayCounterYearFraction(DayCounter,SettlementDate,AF102,,,Trigger)</f>
        <v>0.40277777777777779</v>
      </c>
      <c r="AH102" s="21">
        <f t="shared" si="15"/>
        <v>5.5767867859704608E-3</v>
      </c>
      <c r="AI102" s="21">
        <f t="shared" si="16"/>
        <v>5.7225391062793451E-3</v>
      </c>
      <c r="AJ102" s="21">
        <f t="shared" si="17"/>
        <v>5.7576317860546528E-3</v>
      </c>
    </row>
    <row r="103" spans="14:36" x14ac:dyDescent="0.2">
      <c r="N103" s="111"/>
      <c r="O103" s="111"/>
      <c r="AF103" s="24">
        <f>_xll.qlCalendarAdvance(Calendar,AF102,"1d","mf",,Trigger)</f>
        <v>42515</v>
      </c>
      <c r="AG103" s="25">
        <f>_xll.qlDayCounterYearFraction(DayCounter,SettlementDate,AF103,,,Trigger)</f>
        <v>0.40555555555555556</v>
      </c>
      <c r="AH103" s="21">
        <f t="shared" si="15"/>
        <v>5.5767867859704608E-3</v>
      </c>
      <c r="AI103" s="21">
        <f t="shared" si="16"/>
        <v>5.7186523777377745E-3</v>
      </c>
      <c r="AJ103" s="21">
        <f t="shared" si="17"/>
        <v>5.7542107874403005E-3</v>
      </c>
    </row>
    <row r="104" spans="14:36" x14ac:dyDescent="0.2">
      <c r="N104" s="111"/>
      <c r="O104" s="111"/>
      <c r="AF104" s="24">
        <f>_xll.qlCalendarAdvance(Calendar,AF103,"1d","mf",,Trigger)</f>
        <v>42516</v>
      </c>
      <c r="AG104" s="25">
        <f>_xll.qlDayCounterYearFraction(DayCounter,SettlementDate,AF104,,,Trigger)</f>
        <v>0.40833333333333333</v>
      </c>
      <c r="AH104" s="21">
        <f t="shared" si="15"/>
        <v>5.5767867859704608E-3</v>
      </c>
      <c r="AI104" s="21">
        <f t="shared" si="16"/>
        <v>5.7147656491962047E-3</v>
      </c>
      <c r="AJ104" s="21">
        <f t="shared" si="17"/>
        <v>5.7507813599502449E-3</v>
      </c>
    </row>
    <row r="105" spans="14:36" x14ac:dyDescent="0.2">
      <c r="N105" s="111"/>
      <c r="O105" s="111"/>
      <c r="AF105" s="24">
        <f>_xll.qlCalendarAdvance(Calendar,AF104,"1d","mf",,Trigger)</f>
        <v>42517</v>
      </c>
      <c r="AG105" s="25">
        <f>_xll.qlDayCounterYearFraction(DayCounter,SettlementDate,AF105,,,Trigger)</f>
        <v>0.41111111111111109</v>
      </c>
      <c r="AH105" s="21">
        <f t="shared" si="15"/>
        <v>5.5767867859704608E-3</v>
      </c>
      <c r="AI105" s="21">
        <f t="shared" si="16"/>
        <v>5.7108789206546341E-3</v>
      </c>
      <c r="AJ105" s="21">
        <f t="shared" si="17"/>
        <v>5.7473435035844851E-3</v>
      </c>
    </row>
    <row r="106" spans="14:36" x14ac:dyDescent="0.2">
      <c r="N106" s="111"/>
      <c r="O106" s="111"/>
      <c r="AF106" s="24">
        <f>_xll.qlCalendarAdvance(Calendar,AF105,"1d","mf",,Trigger)</f>
        <v>42521</v>
      </c>
      <c r="AG106" s="25">
        <f>_xll.qlDayCounterYearFraction(DayCounter,SettlementDate,AF106,,,Trigger)</f>
        <v>0.42222222222222222</v>
      </c>
      <c r="AH106" s="21">
        <f t="shared" si="15"/>
        <v>5.5767867859704608E-3</v>
      </c>
      <c r="AI106" s="21">
        <f t="shared" si="16"/>
        <v>5.6953320064883533E-3</v>
      </c>
      <c r="AJ106" s="21">
        <f t="shared" si="17"/>
        <v>5.733507789364406E-3</v>
      </c>
    </row>
    <row r="107" spans="14:36" x14ac:dyDescent="0.2">
      <c r="N107" s="111"/>
      <c r="O107" s="111"/>
      <c r="AF107" s="24">
        <f>_xll.qlCalendarAdvance(Calendar,AF106,"1d","mf",,Trigger)</f>
        <v>42522</v>
      </c>
      <c r="AG107" s="25">
        <f>_xll.qlDayCounterYearFraction(DayCounter,SettlementDate,AF107,,,Trigger)</f>
        <v>0.42499999999999999</v>
      </c>
      <c r="AH107" s="21">
        <f t="shared" si="15"/>
        <v>5.5767867859704608E-3</v>
      </c>
      <c r="AI107" s="21">
        <f t="shared" si="16"/>
        <v>5.6914452779467826E-3</v>
      </c>
      <c r="AJ107" s="21">
        <f t="shared" si="17"/>
        <v>5.7300277886201271E-3</v>
      </c>
    </row>
    <row r="108" spans="14:36" x14ac:dyDescent="0.2">
      <c r="N108" s="111"/>
      <c r="O108" s="111"/>
      <c r="AF108" s="24">
        <f>_xll.qlCalendarAdvance(Calendar,AF107,"1d","mf",,Trigger)</f>
        <v>42523</v>
      </c>
      <c r="AG108" s="25">
        <f>_xll.qlDayCounterYearFraction(DayCounter,SettlementDate,AF108,,,Trigger)</f>
        <v>0.42777777777777776</v>
      </c>
      <c r="AH108" s="21">
        <f t="shared" si="15"/>
        <v>5.5767867859704608E-3</v>
      </c>
      <c r="AI108" s="21">
        <f t="shared" si="16"/>
        <v>5.6875585494052128E-3</v>
      </c>
      <c r="AJ108" s="21">
        <f t="shared" si="17"/>
        <v>5.7265393590001422E-3</v>
      </c>
    </row>
    <row r="109" spans="14:36" x14ac:dyDescent="0.2">
      <c r="N109" s="111"/>
      <c r="O109" s="111"/>
      <c r="AF109" s="24">
        <f>_xll.qlCalendarAdvance(Calendar,AF108,"1d","mf",,Trigger)</f>
        <v>42524</v>
      </c>
      <c r="AG109" s="25">
        <f>_xll.qlDayCounterYearFraction(DayCounter,SettlementDate,AF109,,,Trigger)</f>
        <v>0.43055555555555558</v>
      </c>
      <c r="AH109" s="21">
        <f t="shared" si="15"/>
        <v>5.5767867859704608E-3</v>
      </c>
      <c r="AI109" s="21">
        <f t="shared" si="16"/>
        <v>5.6836718208636422E-3</v>
      </c>
      <c r="AJ109" s="21">
        <f t="shared" si="17"/>
        <v>5.723042500504455E-3</v>
      </c>
    </row>
    <row r="110" spans="14:36" x14ac:dyDescent="0.2">
      <c r="N110" s="111"/>
      <c r="O110" s="111"/>
      <c r="AF110" s="24">
        <f>_xll.qlCalendarAdvance(Calendar,AF109,"1d","mf",,Trigger)</f>
        <v>42527</v>
      </c>
      <c r="AG110" s="25">
        <f>_xll.qlDayCounterYearFraction(DayCounter,SettlementDate,AF110,,,Trigger)</f>
        <v>0.43888888888888888</v>
      </c>
      <c r="AH110" s="21">
        <f t="shared" si="15"/>
        <v>5.5767867859704608E-3</v>
      </c>
      <c r="AI110" s="21">
        <f t="shared" si="16"/>
        <v>5.6720116352389311E-3</v>
      </c>
      <c r="AJ110" s="21">
        <f t="shared" si="17"/>
        <v>5.7125013517631672E-3</v>
      </c>
    </row>
    <row r="111" spans="14:36" x14ac:dyDescent="0.2">
      <c r="N111" s="111"/>
      <c r="O111" s="111"/>
      <c r="AF111" s="24">
        <f>_xll.qlCalendarAdvance(Calendar,AF110,"1d","mf",,Trigger)</f>
        <v>42528</v>
      </c>
      <c r="AG111" s="25">
        <f>_xll.qlDayCounterYearFraction(DayCounter,SettlementDate,AF111,,,Trigger)</f>
        <v>0.44166666666666665</v>
      </c>
      <c r="AH111" s="21">
        <f t="shared" si="15"/>
        <v>5.5767867859704608E-3</v>
      </c>
      <c r="AI111" s="21">
        <f t="shared" si="16"/>
        <v>5.6681249066973614E-3</v>
      </c>
      <c r="AJ111" s="21">
        <f t="shared" si="17"/>
        <v>5.7089707777646641E-3</v>
      </c>
    </row>
    <row r="112" spans="14:36" x14ac:dyDescent="0.2">
      <c r="N112" s="111"/>
      <c r="O112" s="111"/>
      <c r="AF112" s="24">
        <f>_xll.qlCalendarAdvance(Calendar,AF111,"1d","mf",,Trigger)</f>
        <v>42529</v>
      </c>
      <c r="AG112" s="25">
        <f>_xll.qlDayCounterYearFraction(DayCounter,SettlementDate,AF112,,,Trigger)</f>
        <v>0.44444444444444442</v>
      </c>
      <c r="AH112" s="21">
        <f t="shared" si="15"/>
        <v>5.5767867859704608E-3</v>
      </c>
      <c r="AI112" s="21">
        <f t="shared" si="16"/>
        <v>5.6642381781557907E-3</v>
      </c>
      <c r="AJ112" s="21">
        <f t="shared" si="17"/>
        <v>5.705431774890456E-3</v>
      </c>
    </row>
    <row r="113" spans="14:36" x14ac:dyDescent="0.2">
      <c r="N113" s="111"/>
      <c r="O113" s="111"/>
      <c r="AF113" s="24">
        <f>_xll.qlCalendarAdvance(Calendar,AF112,"1d","mf",,Trigger)</f>
        <v>42530</v>
      </c>
      <c r="AG113" s="25">
        <f>_xll.qlDayCounterYearFraction(DayCounter,SettlementDate,AF113,,,Trigger)</f>
        <v>0.44722222222222224</v>
      </c>
      <c r="AH113" s="21">
        <f t="shared" si="15"/>
        <v>5.5767867859704608E-3</v>
      </c>
      <c r="AI113" s="21">
        <f t="shared" si="16"/>
        <v>5.6603514496142201E-3</v>
      </c>
      <c r="AJ113" s="21">
        <f t="shared" si="17"/>
        <v>5.7018843431405446E-3</v>
      </c>
    </row>
    <row r="114" spans="14:36" x14ac:dyDescent="0.2">
      <c r="N114" s="111"/>
      <c r="O114" s="111"/>
      <c r="AF114" s="24">
        <f>_xll.qlCalendarAdvance(Calendar,AF113,"1d","mf",,Trigger)</f>
        <v>42531</v>
      </c>
      <c r="AG114" s="25">
        <f>_xll.qlDayCounterYearFraction(DayCounter,SettlementDate,AF114,,,Trigger)</f>
        <v>0.45</v>
      </c>
      <c r="AH114" s="21">
        <f t="shared" si="15"/>
        <v>5.5767867859704608E-3</v>
      </c>
      <c r="AI114" s="21">
        <f t="shared" si="16"/>
        <v>5.6564647210726503E-3</v>
      </c>
      <c r="AJ114" s="21">
        <f t="shared" si="17"/>
        <v>5.6983284825149281E-3</v>
      </c>
    </row>
    <row r="115" spans="14:36" x14ac:dyDescent="0.2">
      <c r="N115" s="111"/>
      <c r="O115" s="111"/>
      <c r="AF115" s="24">
        <f>_xll.qlCalendarAdvance(Calendar,AF114,"1d","mf",,Trigger)</f>
        <v>42534</v>
      </c>
      <c r="AG115" s="25">
        <f>_xll.qlDayCounterYearFraction(DayCounter,SettlementDate,AF115,,,Trigger)</f>
        <v>0.45833333333333331</v>
      </c>
      <c r="AH115" s="21">
        <f t="shared" si="15"/>
        <v>5.5767867859704608E-3</v>
      </c>
      <c r="AI115" s="21">
        <f t="shared" si="16"/>
        <v>5.6448045354479393E-3</v>
      </c>
      <c r="AJ115" s="21">
        <f t="shared" si="17"/>
        <v>5.6876103273838579E-3</v>
      </c>
    </row>
    <row r="116" spans="14:36" x14ac:dyDescent="0.2">
      <c r="N116" s="111"/>
      <c r="O116" s="111"/>
      <c r="AF116" s="24">
        <f>_xll.qlCalendarAdvance(Calendar,AF115,"1d","mf",,Trigger)</f>
        <v>42535</v>
      </c>
      <c r="AG116" s="25">
        <f>_xll.qlDayCounterYearFraction(DayCounter,SettlementDate,AF116,,,Trigger)</f>
        <v>0.46111111111111114</v>
      </c>
      <c r="AH116" s="21">
        <f t="shared" si="15"/>
        <v>5.5767867859704608E-3</v>
      </c>
      <c r="AI116" s="21">
        <f t="shared" si="16"/>
        <v>5.6409178069063686E-3</v>
      </c>
      <c r="AJ116" s="21">
        <f t="shared" si="17"/>
        <v>5.6840207512554256E-3</v>
      </c>
    </row>
    <row r="117" spans="14:36" x14ac:dyDescent="0.2">
      <c r="N117" s="111"/>
      <c r="O117" s="111"/>
      <c r="AF117" s="24">
        <f>_xll.qlCalendarAdvance(Calendar,AF116,"1d","mf",,Trigger)</f>
        <v>42536</v>
      </c>
      <c r="AG117" s="25">
        <f>_xll.qlDayCounterYearFraction(DayCounter,SettlementDate,AF117,,,Trigger)</f>
        <v>0.46388888888888891</v>
      </c>
      <c r="AH117" s="21">
        <f t="shared" si="15"/>
        <v>5.5767867859704608E-3</v>
      </c>
      <c r="AI117" s="21">
        <f t="shared" si="16"/>
        <v>5.6370310783647988E-3</v>
      </c>
      <c r="AJ117" s="21">
        <f t="shared" si="17"/>
        <v>5.68042274625129E-3</v>
      </c>
    </row>
    <row r="118" spans="14:36" x14ac:dyDescent="0.2">
      <c r="N118" s="111"/>
      <c r="O118" s="111"/>
      <c r="AF118" s="24">
        <f>_xll.qlCalendarAdvance(Calendar,AF117,"1d","mf",,Trigger)</f>
        <v>42537</v>
      </c>
      <c r="AG118" s="25">
        <f>_xll.qlDayCounterYearFraction(DayCounter,SettlementDate,AF118,,,Trigger)</f>
        <v>0.46666666666666667</v>
      </c>
      <c r="AH118" s="21">
        <f t="shared" si="15"/>
        <v>5.5767867859704608E-3</v>
      </c>
      <c r="AI118" s="21">
        <f t="shared" si="16"/>
        <v>5.6331443498232282E-3</v>
      </c>
      <c r="AJ118" s="21">
        <f t="shared" si="17"/>
        <v>5.6768163123714502E-3</v>
      </c>
    </row>
    <row r="119" spans="14:36" x14ac:dyDescent="0.2">
      <c r="N119" s="112"/>
      <c r="O119" s="111"/>
      <c r="AF119" s="24">
        <f>_xll.qlCalendarAdvance(Calendar,AF118,"1d","mf",,Trigger)</f>
        <v>42538</v>
      </c>
      <c r="AG119" s="25">
        <f>_xll.qlDayCounterYearFraction(DayCounter,SettlementDate,AF119,,,Trigger)</f>
        <v>0.46944444444444444</v>
      </c>
      <c r="AH119" s="21">
        <f t="shared" si="15"/>
        <v>5.5767867859704608E-3</v>
      </c>
      <c r="AI119" s="21">
        <f t="shared" si="16"/>
        <v>5.6292576212816584E-3</v>
      </c>
      <c r="AJ119" s="21">
        <f t="shared" si="17"/>
        <v>5.6732014496159071E-3</v>
      </c>
    </row>
    <row r="120" spans="14:36" x14ac:dyDescent="0.2">
      <c r="N120" s="112"/>
      <c r="O120" s="111"/>
      <c r="AF120" s="24">
        <f>_xll.qlCalendarAdvance(Calendar,AF119,"1d","mf",,Trigger)</f>
        <v>42541</v>
      </c>
      <c r="AG120" s="25">
        <f>_xll.qlDayCounterYearFraction(DayCounter,SettlementDate,AF120,,,Trigger)</f>
        <v>0.4777777777777778</v>
      </c>
      <c r="AH120" s="21">
        <f t="shared" si="15"/>
        <v>5.5767867859704608E-3</v>
      </c>
      <c r="AI120" s="21">
        <f t="shared" si="16"/>
        <v>5.6175974356569474E-3</v>
      </c>
      <c r="AJ120" s="21">
        <f t="shared" si="17"/>
        <v>5.6623062880950519E-3</v>
      </c>
    </row>
    <row r="121" spans="14:36" x14ac:dyDescent="0.2">
      <c r="N121" s="112"/>
      <c r="O121" s="111"/>
      <c r="AF121" s="24">
        <f>_xll.qlCalendarAdvance(Calendar,AF120,"1d","mf",,Trigger)</f>
        <v>42542</v>
      </c>
      <c r="AG121" s="25">
        <f>_xll.qlDayCounterYearFraction(DayCounter,SettlementDate,AF121,,,Trigger)</f>
        <v>0.48055555555555557</v>
      </c>
      <c r="AH121" s="21">
        <f t="shared" si="15"/>
        <v>5.5767867859704608E-3</v>
      </c>
      <c r="AI121" s="21">
        <f t="shared" si="16"/>
        <v>5.6137107071153767E-3</v>
      </c>
      <c r="AJ121" s="21">
        <f t="shared" si="17"/>
        <v>5.6586577098366921E-3</v>
      </c>
    </row>
    <row r="122" spans="14:36" x14ac:dyDescent="0.2">
      <c r="N122" s="112"/>
      <c r="O122" s="111"/>
      <c r="AF122" s="24">
        <f>_xll.qlCalendarAdvance(Calendar,AF121,"1d","mf",,Trigger)</f>
        <v>42543</v>
      </c>
      <c r="AG122" s="25">
        <f>_xll.qlDayCounterYearFraction(DayCounter,SettlementDate,AF122,,,Trigger)</f>
        <v>0.48333333333333334</v>
      </c>
      <c r="AH122" s="21">
        <f t="shared" si="15"/>
        <v>5.5767867859704608E-3</v>
      </c>
      <c r="AI122" s="21">
        <f t="shared" si="16"/>
        <v>5.6098239785738069E-3</v>
      </c>
      <c r="AJ122" s="21">
        <f t="shared" si="17"/>
        <v>5.6550007027026273E-3</v>
      </c>
    </row>
    <row r="123" spans="14:36" x14ac:dyDescent="0.2">
      <c r="N123" s="112"/>
      <c r="O123" s="111"/>
      <c r="AF123" s="24">
        <f>_xll.qlCalendarAdvance(Calendar,AF122,"1d","mf",,Trigger)</f>
        <v>42544</v>
      </c>
      <c r="AG123" s="25">
        <f>_xll.qlDayCounterYearFraction(DayCounter,SettlementDate,AF123,,,Trigger)</f>
        <v>0.4861111111111111</v>
      </c>
      <c r="AH123" s="21">
        <f t="shared" si="15"/>
        <v>5.5767867859704608E-3</v>
      </c>
      <c r="AI123" s="21">
        <f t="shared" si="16"/>
        <v>5.6059372500322363E-3</v>
      </c>
      <c r="AJ123" s="21">
        <f t="shared" si="17"/>
        <v>5.65133526669286E-3</v>
      </c>
    </row>
    <row r="124" spans="14:36" x14ac:dyDescent="0.2">
      <c r="N124" s="112"/>
      <c r="O124" s="111"/>
      <c r="AF124" s="24">
        <f>_xll.qlCalendarAdvance(Calendar,AF123,"1d","mf",,Trigger)</f>
        <v>42545</v>
      </c>
      <c r="AG124" s="25">
        <f>_xll.qlDayCounterYearFraction(DayCounter,SettlementDate,AF124,,,Trigger)</f>
        <v>0.48888888888888887</v>
      </c>
      <c r="AH124" s="21">
        <f t="shared" si="15"/>
        <v>5.5767867859704608E-3</v>
      </c>
      <c r="AI124" s="21">
        <f t="shared" si="16"/>
        <v>5.6020505214906657E-3</v>
      </c>
      <c r="AJ124" s="21">
        <f t="shared" si="17"/>
        <v>5.6476614018073886E-3</v>
      </c>
    </row>
    <row r="125" spans="14:36" x14ac:dyDescent="0.2">
      <c r="N125" s="112"/>
      <c r="O125" s="112"/>
      <c r="AF125" s="24">
        <f>_xll.qlCalendarAdvance(Calendar,AF124,"1d","mf",,Trigger)</f>
        <v>42548</v>
      </c>
      <c r="AG125" s="25">
        <f>_xll.qlDayCounterYearFraction(DayCounter,SettlementDate,AF125,,,Trigger)</f>
        <v>0.49722222222222223</v>
      </c>
      <c r="AH125" s="21">
        <f t="shared" si="15"/>
        <v>5.5767867859704608E-3</v>
      </c>
      <c r="AI125" s="21">
        <f t="shared" si="16"/>
        <v>5.5903903358659555E-3</v>
      </c>
      <c r="AJ125" s="21">
        <f t="shared" si="17"/>
        <v>5.6365892338967492E-3</v>
      </c>
    </row>
    <row r="126" spans="14:36" x14ac:dyDescent="0.2">
      <c r="N126" s="112"/>
      <c r="O126" s="112"/>
      <c r="AF126" s="24">
        <f>_xll.qlCalendarAdvance(Calendar,AF125,"1d","mf",,Trigger)</f>
        <v>42549</v>
      </c>
      <c r="AG126" s="25">
        <f>_xll.qlDayCounterYearFraction(DayCounter,SettlementDate,AF126,,,Trigger)</f>
        <v>0.5</v>
      </c>
      <c r="AH126" s="21">
        <f t="shared" si="15"/>
        <v>5.5767867859704608E-3</v>
      </c>
      <c r="AI126" s="21">
        <f t="shared" si="16"/>
        <v>5.5865036073243848E-3</v>
      </c>
      <c r="AJ126" s="21">
        <f t="shared" si="17"/>
        <v>5.6328816535084619E-3</v>
      </c>
    </row>
    <row r="127" spans="14:36" x14ac:dyDescent="0.2">
      <c r="N127" s="112"/>
      <c r="O127" s="112"/>
      <c r="AF127" s="24">
        <f>_xll.qlCalendarAdvance(Calendar,AF126,"1d","mf",,Trigger)</f>
        <v>42550</v>
      </c>
      <c r="AG127" s="25">
        <f>_xll.qlDayCounterYearFraction(DayCounter,SettlementDate,AF127,,,Trigger)</f>
        <v>0.50277777777777777</v>
      </c>
      <c r="AH127" s="21">
        <f t="shared" si="15"/>
        <v>5.5767867859704608E-3</v>
      </c>
      <c r="AI127" s="21">
        <f t="shared" ref="AI127:AI140" si="18">$W$10+$W$9*AG127</f>
        <v>5.5826168787828142E-3</v>
      </c>
      <c r="AJ127" s="21">
        <f t="shared" ref="AJ127:AJ140" si="19">($W$5+$W$4*AG127+$W$3*AG127^2)</f>
        <v>5.6291656442444705E-3</v>
      </c>
    </row>
    <row r="128" spans="14:36" x14ac:dyDescent="0.2">
      <c r="N128" s="112"/>
      <c r="O128" s="112"/>
      <c r="AF128" s="24">
        <f>_xll.qlCalendarAdvance(Calendar,AF127,"1d","mf",,Trigger)</f>
        <v>42551</v>
      </c>
      <c r="AG128" s="25">
        <f>_xll.qlDayCounterYearFraction(DayCounter,SettlementDate,AF128,,,Trigger)</f>
        <v>0.50555555555555554</v>
      </c>
      <c r="AH128" s="21">
        <f t="shared" si="15"/>
        <v>5.5767867859704608E-3</v>
      </c>
      <c r="AI128" s="21">
        <f t="shared" si="18"/>
        <v>5.5787301502412444E-3</v>
      </c>
      <c r="AJ128" s="21">
        <f t="shared" si="19"/>
        <v>5.6254412061047749E-3</v>
      </c>
    </row>
    <row r="129" spans="14:36" x14ac:dyDescent="0.2">
      <c r="N129" s="112"/>
      <c r="O129" s="112"/>
      <c r="AF129" s="24">
        <f>_xll.qlCalendarAdvance(Calendar,AF128,"1d","mf",,Trigger)</f>
        <v>42552</v>
      </c>
      <c r="AG129" s="25">
        <f>_xll.qlDayCounterYearFraction(DayCounter,SettlementDate,AF129,,,Trigger)</f>
        <v>0.5083333333333333</v>
      </c>
      <c r="AH129" s="21">
        <f t="shared" si="15"/>
        <v>5.5767867859704608E-3</v>
      </c>
      <c r="AI129" s="21">
        <f t="shared" si="18"/>
        <v>5.5748434216996738E-3</v>
      </c>
      <c r="AJ129" s="21">
        <f t="shared" si="19"/>
        <v>5.6217083390893742E-3</v>
      </c>
    </row>
    <row r="130" spans="14:36" x14ac:dyDescent="0.2">
      <c r="N130" s="112"/>
      <c r="O130" s="112"/>
      <c r="AF130" s="24">
        <f>_xll.qlCalendarAdvance(Calendar,AF129,"1d","mf",,Trigger)</f>
        <v>42555</v>
      </c>
      <c r="AG130" s="25">
        <f>_xll.qlDayCounterYearFraction(DayCounter,SettlementDate,AF130,,,Trigger)</f>
        <v>0.51666666666666672</v>
      </c>
      <c r="AH130" s="21">
        <f t="shared" si="15"/>
        <v>5.5767867859704608E-3</v>
      </c>
      <c r="AI130" s="21">
        <f t="shared" si="18"/>
        <v>5.5631832360749627E-3</v>
      </c>
      <c r="AJ130" s="21">
        <f t="shared" si="19"/>
        <v>5.6104591647889515E-3</v>
      </c>
    </row>
    <row r="131" spans="14:36" x14ac:dyDescent="0.2">
      <c r="N131" s="112"/>
      <c r="O131" s="112"/>
      <c r="AF131" s="24">
        <f>_xll.qlCalendarAdvance(Calendar,AF130,"1d","mf",,Trigger)</f>
        <v>42556</v>
      </c>
      <c r="AG131" s="25">
        <f>_xll.qlDayCounterYearFraction(DayCounter,SettlementDate,AF131,,,Trigger)</f>
        <v>0.51944444444444449</v>
      </c>
      <c r="AH131" s="21">
        <f t="shared" ref="AH131:AH194" si="20">$W$13</f>
        <v>5.5767867859704608E-3</v>
      </c>
      <c r="AI131" s="21">
        <f t="shared" si="18"/>
        <v>5.5592965075333929E-3</v>
      </c>
      <c r="AJ131" s="21">
        <f t="shared" si="19"/>
        <v>5.6066925822707359E-3</v>
      </c>
    </row>
    <row r="132" spans="14:36" x14ac:dyDescent="0.2">
      <c r="N132" s="112"/>
      <c r="O132" s="112"/>
      <c r="AF132" s="24">
        <f>_xll.qlCalendarAdvance(Calendar,AF131,"1d","mf",,Trigger)</f>
        <v>42557</v>
      </c>
      <c r="AG132" s="25">
        <f>_xll.qlDayCounterYearFraction(DayCounter,SettlementDate,AF132,,,Trigger)</f>
        <v>0.52222222222222225</v>
      </c>
      <c r="AH132" s="21">
        <f t="shared" si="20"/>
        <v>5.5767867859704608E-3</v>
      </c>
      <c r="AI132" s="21">
        <f t="shared" si="18"/>
        <v>5.5554097789918223E-3</v>
      </c>
      <c r="AJ132" s="21">
        <f t="shared" si="19"/>
        <v>5.6029175708768161E-3</v>
      </c>
    </row>
    <row r="133" spans="14:36" x14ac:dyDescent="0.2">
      <c r="N133" s="112"/>
      <c r="O133" s="112"/>
      <c r="AF133" s="24">
        <f>_xll.qlCalendarAdvance(Calendar,AF132,"1d","mf",,Trigger)</f>
        <v>42558</v>
      </c>
      <c r="AG133" s="25">
        <f>_xll.qlDayCounterYearFraction(DayCounter,SettlementDate,AF133,,,Trigger)</f>
        <v>0.52500000000000002</v>
      </c>
      <c r="AH133" s="21">
        <f t="shared" si="20"/>
        <v>5.5767867859704608E-3</v>
      </c>
      <c r="AI133" s="21">
        <f t="shared" si="18"/>
        <v>5.5515230504502525E-3</v>
      </c>
      <c r="AJ133" s="21">
        <f t="shared" si="19"/>
        <v>5.599134130607193E-3</v>
      </c>
    </row>
    <row r="134" spans="14:36" x14ac:dyDescent="0.2">
      <c r="N134" s="112"/>
      <c r="O134" s="112"/>
      <c r="AF134" s="24">
        <f>_xll.qlCalendarAdvance(Calendar,AF133,"1d","mf",,Trigger)</f>
        <v>42559</v>
      </c>
      <c r="AG134" s="25">
        <f>_xll.qlDayCounterYearFraction(DayCounter,SettlementDate,AF134,,,Trigger)</f>
        <v>0.52777777777777779</v>
      </c>
      <c r="AH134" s="21">
        <f t="shared" si="20"/>
        <v>5.5767867859704608E-3</v>
      </c>
      <c r="AI134" s="21">
        <f t="shared" si="18"/>
        <v>5.5476363219086819E-3</v>
      </c>
      <c r="AJ134" s="21">
        <f t="shared" si="19"/>
        <v>5.5953422614618657E-3</v>
      </c>
    </row>
    <row r="135" spans="14:36" x14ac:dyDescent="0.2">
      <c r="O135" s="112"/>
      <c r="AF135" s="24">
        <f>_xll.qlCalendarAdvance(Calendar,AF134,"1d","mf",,Trigger)</f>
        <v>42562</v>
      </c>
      <c r="AG135" s="25">
        <f>_xll.qlDayCounterYearFraction(DayCounter,SettlementDate,AF135,,,Trigger)</f>
        <v>0.53611111111111109</v>
      </c>
      <c r="AH135" s="21">
        <f t="shared" si="20"/>
        <v>5.5767867859704608E-3</v>
      </c>
      <c r="AI135" s="21">
        <f t="shared" si="18"/>
        <v>5.5359761362839708E-3</v>
      </c>
      <c r="AJ135" s="21">
        <f t="shared" si="19"/>
        <v>5.583916080771658E-3</v>
      </c>
    </row>
    <row r="136" spans="14:36" x14ac:dyDescent="0.2">
      <c r="O136" s="112"/>
      <c r="AF136" s="24">
        <f>_xll.qlCalendarAdvance(Calendar,AF135,"1d","mf",,Trigger)</f>
        <v>42563</v>
      </c>
      <c r="AG136" s="25">
        <f>_xll.qlDayCounterYearFraction(DayCounter,SettlementDate,AF136,,,Trigger)</f>
        <v>0.53888888888888886</v>
      </c>
      <c r="AH136" s="21">
        <f t="shared" si="20"/>
        <v>5.5767867859704608E-3</v>
      </c>
      <c r="AI136" s="21">
        <f t="shared" si="18"/>
        <v>5.5320894077424011E-3</v>
      </c>
      <c r="AJ136" s="21">
        <f t="shared" si="19"/>
        <v>5.5800904961235149E-3</v>
      </c>
    </row>
    <row r="137" spans="14:36" x14ac:dyDescent="0.2">
      <c r="O137" s="112"/>
      <c r="AF137" s="24">
        <f>_xll.qlCalendarAdvance(Calendar,AF136,"1d","mf",,Trigger)</f>
        <v>42564</v>
      </c>
      <c r="AG137" s="25">
        <f>_xll.qlDayCounterYearFraction(DayCounter,SettlementDate,AF137,,,Trigger)</f>
        <v>0.54166666666666663</v>
      </c>
      <c r="AH137" s="21">
        <f t="shared" si="20"/>
        <v>5.5767867859704608E-3</v>
      </c>
      <c r="AI137" s="21">
        <f t="shared" si="18"/>
        <v>5.5282026792008304E-3</v>
      </c>
      <c r="AJ137" s="21">
        <f t="shared" si="19"/>
        <v>5.5762564825996667E-3</v>
      </c>
    </row>
    <row r="138" spans="14:36" x14ac:dyDescent="0.2">
      <c r="O138" s="112"/>
      <c r="AF138" s="24">
        <f>_xll.qlCalendarAdvance(Calendar,AF137,"1d","mf",,Trigger)</f>
        <v>42565</v>
      </c>
      <c r="AG138" s="25">
        <f>_xll.qlDayCounterYearFraction(DayCounter,SettlementDate,AF138,,,Trigger)</f>
        <v>0.5444444444444444</v>
      </c>
      <c r="AH138" s="21">
        <f t="shared" si="20"/>
        <v>5.5767867859704608E-3</v>
      </c>
      <c r="AI138" s="21">
        <f t="shared" si="18"/>
        <v>5.5243159506592598E-3</v>
      </c>
      <c r="AJ138" s="21">
        <f t="shared" si="19"/>
        <v>5.5724140402001153E-3</v>
      </c>
    </row>
    <row r="139" spans="14:36" x14ac:dyDescent="0.2">
      <c r="O139" s="112"/>
      <c r="AF139" s="24">
        <f>_xll.qlCalendarAdvance(Calendar,AF138,"1d","mf",,Trigger)</f>
        <v>42566</v>
      </c>
      <c r="AG139" s="25">
        <f>_xll.qlDayCounterYearFraction(DayCounter,SettlementDate,AF139,,,Trigger)</f>
        <v>0.54722222222222228</v>
      </c>
      <c r="AH139" s="21">
        <f t="shared" si="20"/>
        <v>5.5767867859704608E-3</v>
      </c>
      <c r="AI139" s="21">
        <f t="shared" si="18"/>
        <v>5.52042922211769E-3</v>
      </c>
      <c r="AJ139" s="21">
        <f t="shared" si="19"/>
        <v>5.5685631689248597E-3</v>
      </c>
    </row>
    <row r="140" spans="14:36" x14ac:dyDescent="0.2">
      <c r="O140" s="112"/>
      <c r="AF140" s="24">
        <f>_xll.qlCalendarAdvance(Calendar,AF139,"1d","mf",,Trigger)</f>
        <v>42569</v>
      </c>
      <c r="AG140" s="25">
        <f>_xll.qlDayCounterYearFraction(DayCounter,SettlementDate,AF140,,,Trigger)</f>
        <v>0.55555555555555558</v>
      </c>
      <c r="AH140" s="21">
        <f t="shared" si="20"/>
        <v>5.5767867859704608E-3</v>
      </c>
      <c r="AI140" s="21">
        <f t="shared" si="18"/>
        <v>5.5087690364929789E-3</v>
      </c>
      <c r="AJ140" s="21">
        <f t="shared" si="19"/>
        <v>5.5569599818448678E-3</v>
      </c>
    </row>
    <row r="141" spans="14:36" x14ac:dyDescent="0.2">
      <c r="AF141" s="24">
        <f>_xll.qlCalendarAdvance(Calendar,AF140,"1d","mf",,Trigger)</f>
        <v>42570</v>
      </c>
      <c r="AG141" s="25">
        <f>_xll.qlDayCounterYearFraction(DayCounter,SettlementDate,AF141,,,Trigger)</f>
        <v>0.55833333333333335</v>
      </c>
      <c r="AH141" s="21">
        <f t="shared" si="20"/>
        <v>5.5767867859704608E-3</v>
      </c>
      <c r="AI141" s="21">
        <f t="shared" ref="AI141:AI204" si="21">$W$10+$W$9*AG141</f>
        <v>5.5048823079514083E-3</v>
      </c>
      <c r="AJ141" s="21">
        <f t="shared" ref="AJ141:AJ204" si="22">($W$5+$W$4*AG141+$W$3*AG141^2)</f>
        <v>5.5530753950667963E-3</v>
      </c>
    </row>
    <row r="142" spans="14:36" x14ac:dyDescent="0.2">
      <c r="AF142" s="24">
        <f>_xll.qlCalendarAdvance(Calendar,AF141,"1d","mf",,Trigger)</f>
        <v>42571</v>
      </c>
      <c r="AG142" s="25">
        <f>_xll.qlDayCounterYearFraction(DayCounter,SettlementDate,AF142,,,Trigger)</f>
        <v>0.56111111111111112</v>
      </c>
      <c r="AH142" s="21">
        <f t="shared" si="20"/>
        <v>5.5767867859704608E-3</v>
      </c>
      <c r="AI142" s="21">
        <f t="shared" si="21"/>
        <v>5.5009955794098385E-3</v>
      </c>
      <c r="AJ142" s="21">
        <f t="shared" si="22"/>
        <v>5.5491823794130216E-3</v>
      </c>
    </row>
    <row r="143" spans="14:36" x14ac:dyDescent="0.2">
      <c r="AF143" s="24">
        <f>_xll.qlCalendarAdvance(Calendar,AF142,"1d","mf",,Trigger)</f>
        <v>42572</v>
      </c>
      <c r="AG143" s="25">
        <f>_xll.qlDayCounterYearFraction(DayCounter,SettlementDate,AF143,,,Trigger)</f>
        <v>0.56388888888888888</v>
      </c>
      <c r="AH143" s="21">
        <f t="shared" si="20"/>
        <v>5.5767867859704608E-3</v>
      </c>
      <c r="AI143" s="21">
        <f t="shared" si="21"/>
        <v>5.4971088508682679E-3</v>
      </c>
      <c r="AJ143" s="21">
        <f t="shared" si="22"/>
        <v>5.5452809348835409E-3</v>
      </c>
    </row>
    <row r="144" spans="14:36" x14ac:dyDescent="0.2">
      <c r="AF144" s="24">
        <f>_xll.qlCalendarAdvance(Calendar,AF143,"1d","mf",,Trigger)</f>
        <v>42573</v>
      </c>
      <c r="AG144" s="25">
        <f>_xll.qlDayCounterYearFraction(DayCounter,SettlementDate,AF144,,,Trigger)</f>
        <v>0.56666666666666665</v>
      </c>
      <c r="AH144" s="21">
        <f t="shared" si="20"/>
        <v>5.5767867859704608E-3</v>
      </c>
      <c r="AI144" s="21">
        <f t="shared" si="21"/>
        <v>5.4932221223266981E-3</v>
      </c>
      <c r="AJ144" s="21">
        <f t="shared" si="22"/>
        <v>5.5413710614783578E-3</v>
      </c>
    </row>
    <row r="145" spans="32:36" x14ac:dyDescent="0.2">
      <c r="AF145" s="24">
        <f>_xll.qlCalendarAdvance(Calendar,AF144,"1d","mf",,Trigger)</f>
        <v>42576</v>
      </c>
      <c r="AG145" s="25">
        <f>_xll.qlDayCounterYearFraction(DayCounter,SettlementDate,AF145,,,Trigger)</f>
        <v>0.57499999999999996</v>
      </c>
      <c r="AH145" s="21">
        <f t="shared" si="20"/>
        <v>5.5767867859704608E-3</v>
      </c>
      <c r="AI145" s="21">
        <f t="shared" si="21"/>
        <v>5.4815619367019871E-3</v>
      </c>
      <c r="AJ145" s="21">
        <f t="shared" si="22"/>
        <v>5.5295908680085826E-3</v>
      </c>
    </row>
    <row r="146" spans="32:36" x14ac:dyDescent="0.2">
      <c r="AF146" s="24">
        <f>_xll.qlCalendarAdvance(Calendar,AF145,"1d","mf",,Trigger)</f>
        <v>42577</v>
      </c>
      <c r="AG146" s="25">
        <f>_xll.qlDayCounterYearFraction(DayCounter,SettlementDate,AF146,,,Trigger)</f>
        <v>0.57777777777777772</v>
      </c>
      <c r="AH146" s="21">
        <f t="shared" si="20"/>
        <v>5.5767867859704608E-3</v>
      </c>
      <c r="AI146" s="21">
        <f t="shared" si="21"/>
        <v>5.4776752081604164E-3</v>
      </c>
      <c r="AJ146" s="21">
        <f t="shared" si="22"/>
        <v>5.5256472791005828E-3</v>
      </c>
    </row>
    <row r="147" spans="32:36" x14ac:dyDescent="0.2">
      <c r="AF147" s="24">
        <f>_xll.qlCalendarAdvance(Calendar,AF146,"1d","mf",,Trigger)</f>
        <v>42578</v>
      </c>
      <c r="AG147" s="25">
        <f>_xll.qlDayCounterYearFraction(DayCounter,SettlementDate,AF147,,,Trigger)</f>
        <v>0.5805555555555556</v>
      </c>
      <c r="AH147" s="21">
        <f t="shared" si="20"/>
        <v>5.5767867859704608E-3</v>
      </c>
      <c r="AI147" s="21">
        <f t="shared" si="21"/>
        <v>5.4737884796188466E-3</v>
      </c>
      <c r="AJ147" s="21">
        <f t="shared" si="22"/>
        <v>5.5216952613168797E-3</v>
      </c>
    </row>
    <row r="148" spans="32:36" x14ac:dyDescent="0.2">
      <c r="AF148" s="24">
        <f>_xll.qlCalendarAdvance(Calendar,AF147,"1d","mf",,Trigger)</f>
        <v>42579</v>
      </c>
      <c r="AG148" s="25">
        <f>_xll.qlDayCounterYearFraction(DayCounter,SettlementDate,AF148,,,Trigger)</f>
        <v>0.58333333333333337</v>
      </c>
      <c r="AH148" s="21">
        <f t="shared" si="20"/>
        <v>5.5767867859704608E-3</v>
      </c>
      <c r="AI148" s="21">
        <f t="shared" si="21"/>
        <v>5.469901751077276E-3</v>
      </c>
      <c r="AJ148" s="21">
        <f t="shared" si="22"/>
        <v>5.5177348146574715E-3</v>
      </c>
    </row>
    <row r="149" spans="32:36" x14ac:dyDescent="0.2">
      <c r="AF149" s="24">
        <f>_xll.qlCalendarAdvance(Calendar,AF148,"1d","mf",,Trigger)</f>
        <v>42580</v>
      </c>
      <c r="AG149" s="25">
        <f>_xll.qlDayCounterYearFraction(DayCounter,SettlementDate,AF149,,,Trigger)</f>
        <v>0.58611111111111114</v>
      </c>
      <c r="AH149" s="21">
        <f t="shared" si="20"/>
        <v>5.5767867859704608E-3</v>
      </c>
      <c r="AI149" s="21">
        <f t="shared" si="21"/>
        <v>5.4660150225357054E-3</v>
      </c>
      <c r="AJ149" s="21">
        <f t="shared" si="22"/>
        <v>5.5137659391223601E-3</v>
      </c>
    </row>
    <row r="150" spans="32:36" x14ac:dyDescent="0.2">
      <c r="AF150" s="24">
        <f>_xll.qlCalendarAdvance(Calendar,AF149,"1d","mf",,Trigger)</f>
        <v>42583</v>
      </c>
      <c r="AG150" s="25">
        <f>_xll.qlDayCounterYearFraction(DayCounter,SettlementDate,AF150,,,Trigger)</f>
        <v>0.59444444444444444</v>
      </c>
      <c r="AH150" s="21">
        <f t="shared" si="20"/>
        <v>5.5767867859704608E-3</v>
      </c>
      <c r="AI150" s="21">
        <f t="shared" si="21"/>
        <v>5.4543548369109952E-3</v>
      </c>
      <c r="AJ150" s="21">
        <f t="shared" si="22"/>
        <v>5.5018087392628015E-3</v>
      </c>
    </row>
    <row r="151" spans="32:36" x14ac:dyDescent="0.2">
      <c r="AF151" s="24">
        <f>_xll.qlCalendarAdvance(Calendar,AF150,"1d","mf",,Trigger)</f>
        <v>42584</v>
      </c>
      <c r="AG151" s="25">
        <f>_xll.qlDayCounterYearFraction(DayCounter,SettlementDate,AF151,,,Trigger)</f>
        <v>0.59722222222222221</v>
      </c>
      <c r="AH151" s="21">
        <f t="shared" si="20"/>
        <v>5.5767867859704608E-3</v>
      </c>
      <c r="AI151" s="21">
        <f t="shared" si="21"/>
        <v>5.4504681083694245E-3</v>
      </c>
      <c r="AJ151" s="21">
        <f t="shared" si="22"/>
        <v>5.4978061482248734E-3</v>
      </c>
    </row>
    <row r="152" spans="32:36" x14ac:dyDescent="0.2">
      <c r="AF152" s="24">
        <f>_xll.qlCalendarAdvance(Calendar,AF151,"1d","mf",,Trigger)</f>
        <v>42585</v>
      </c>
      <c r="AG152" s="25">
        <f>_xll.qlDayCounterYearFraction(DayCounter,SettlementDate,AF152,,,Trigger)</f>
        <v>0.6</v>
      </c>
      <c r="AH152" s="21">
        <f t="shared" si="20"/>
        <v>5.5767867859704608E-3</v>
      </c>
      <c r="AI152" s="21">
        <f t="shared" si="21"/>
        <v>5.4465813798278539E-3</v>
      </c>
      <c r="AJ152" s="21">
        <f t="shared" si="22"/>
        <v>5.4937951283112419E-3</v>
      </c>
    </row>
    <row r="153" spans="32:36" x14ac:dyDescent="0.2">
      <c r="AF153" s="24">
        <f>_xll.qlCalendarAdvance(Calendar,AF152,"1d","mf",,Trigger)</f>
        <v>42586</v>
      </c>
      <c r="AG153" s="25">
        <f>_xll.qlDayCounterYearFraction(DayCounter,SettlementDate,AF153,,,Trigger)</f>
        <v>0.60277777777777775</v>
      </c>
      <c r="AH153" s="21">
        <f t="shared" si="20"/>
        <v>5.5767867859704608E-3</v>
      </c>
      <c r="AI153" s="21">
        <f t="shared" si="21"/>
        <v>5.4426946512862841E-3</v>
      </c>
      <c r="AJ153" s="21">
        <f t="shared" si="22"/>
        <v>5.4897756795219063E-3</v>
      </c>
    </row>
    <row r="154" spans="32:36" x14ac:dyDescent="0.2">
      <c r="AF154" s="24">
        <f>_xll.qlCalendarAdvance(Calendar,AF153,"1d","mf",,Trigger)</f>
        <v>42587</v>
      </c>
      <c r="AG154" s="25">
        <f>_xll.qlDayCounterYearFraction(DayCounter,SettlementDate,AF154,,,Trigger)</f>
        <v>0.60555555555555551</v>
      </c>
      <c r="AH154" s="21">
        <f t="shared" si="20"/>
        <v>5.5767867859704608E-3</v>
      </c>
      <c r="AI154" s="21">
        <f t="shared" si="21"/>
        <v>5.4388079227447135E-3</v>
      </c>
      <c r="AJ154" s="21">
        <f t="shared" si="22"/>
        <v>5.4857478018568665E-3</v>
      </c>
    </row>
    <row r="155" spans="32:36" x14ac:dyDescent="0.2">
      <c r="AF155" s="24">
        <f>_xll.qlCalendarAdvance(Calendar,AF154,"1d","mf",,Trigger)</f>
        <v>42590</v>
      </c>
      <c r="AG155" s="25">
        <f>_xll.qlDayCounterYearFraction(DayCounter,SettlementDate,AF155,,,Trigger)</f>
        <v>0.61388888888888893</v>
      </c>
      <c r="AH155" s="21">
        <f t="shared" si="20"/>
        <v>5.5767867859704608E-3</v>
      </c>
      <c r="AI155" s="21">
        <f t="shared" si="21"/>
        <v>5.4271477371200024E-3</v>
      </c>
      <c r="AJ155" s="21">
        <f t="shared" si="22"/>
        <v>5.4736135956075238E-3</v>
      </c>
    </row>
    <row r="156" spans="32:36" x14ac:dyDescent="0.2">
      <c r="AF156" s="24">
        <f>_xll.qlCalendarAdvance(Calendar,AF155,"1d","mf",,Trigger)</f>
        <v>42591</v>
      </c>
      <c r="AG156" s="25">
        <f>_xll.qlDayCounterYearFraction(DayCounter,SettlementDate,AF156,,,Trigger)</f>
        <v>0.6166666666666667</v>
      </c>
      <c r="AH156" s="21">
        <f t="shared" si="20"/>
        <v>5.5767867859704608E-3</v>
      </c>
      <c r="AI156" s="21">
        <f t="shared" si="21"/>
        <v>5.4232610085784326E-3</v>
      </c>
      <c r="AJ156" s="21">
        <f t="shared" si="22"/>
        <v>5.4695520024396682E-3</v>
      </c>
    </row>
    <row r="157" spans="32:36" x14ac:dyDescent="0.2">
      <c r="AF157" s="24">
        <f>_xll.qlCalendarAdvance(Calendar,AF156,"1d","mf",,Trigger)</f>
        <v>42592</v>
      </c>
      <c r="AG157" s="25">
        <f>_xll.qlDayCounterYearFraction(DayCounter,SettlementDate,AF157,,,Trigger)</f>
        <v>0.61944444444444446</v>
      </c>
      <c r="AH157" s="21">
        <f t="shared" si="20"/>
        <v>5.5767867859704608E-3</v>
      </c>
      <c r="AI157" s="21">
        <f t="shared" si="21"/>
        <v>5.419374280036862E-3</v>
      </c>
      <c r="AJ157" s="21">
        <f t="shared" si="22"/>
        <v>5.4654819803961075E-3</v>
      </c>
    </row>
    <row r="158" spans="32:36" x14ac:dyDescent="0.2">
      <c r="AF158" s="24">
        <f>_xll.qlCalendarAdvance(Calendar,AF157,"1d","mf",,Trigger)</f>
        <v>42593</v>
      </c>
      <c r="AG158" s="25">
        <f>_xll.qlDayCounterYearFraction(DayCounter,SettlementDate,AF158,,,Trigger)</f>
        <v>0.62222222222222223</v>
      </c>
      <c r="AH158" s="21">
        <f t="shared" si="20"/>
        <v>5.5767867859704608E-3</v>
      </c>
      <c r="AI158" s="21">
        <f t="shared" si="21"/>
        <v>5.4154875514952922E-3</v>
      </c>
      <c r="AJ158" s="21">
        <f t="shared" si="22"/>
        <v>5.4614035294768444E-3</v>
      </c>
    </row>
    <row r="159" spans="32:36" x14ac:dyDescent="0.2">
      <c r="AF159" s="24">
        <f>_xll.qlCalendarAdvance(Calendar,AF158,"1d","mf",,Trigger)</f>
        <v>42594</v>
      </c>
      <c r="AG159" s="25">
        <f>_xll.qlDayCounterYearFraction(DayCounter,SettlementDate,AF159,,,Trigger)</f>
        <v>0.625</v>
      </c>
      <c r="AH159" s="21">
        <f t="shared" si="20"/>
        <v>5.5767867859704608E-3</v>
      </c>
      <c r="AI159" s="21">
        <f t="shared" si="21"/>
        <v>5.4116008229537216E-3</v>
      </c>
      <c r="AJ159" s="21">
        <f t="shared" si="22"/>
        <v>5.4573166496818771E-3</v>
      </c>
    </row>
    <row r="160" spans="32:36" x14ac:dyDescent="0.2">
      <c r="AF160" s="24">
        <f>_xll.qlCalendarAdvance(Calendar,AF159,"1d","mf",,Trigger)</f>
        <v>42597</v>
      </c>
      <c r="AG160" s="25">
        <f>_xll.qlDayCounterYearFraction(DayCounter,SettlementDate,AF160,,,Trigger)</f>
        <v>0.6333333333333333</v>
      </c>
      <c r="AH160" s="21">
        <f t="shared" si="20"/>
        <v>5.5767867859704608E-3</v>
      </c>
      <c r="AI160" s="21">
        <f t="shared" si="21"/>
        <v>5.3999406373290105E-3</v>
      </c>
      <c r="AJ160" s="21">
        <f t="shared" si="22"/>
        <v>5.4450054370427502E-3</v>
      </c>
    </row>
    <row r="161" spans="32:36" x14ac:dyDescent="0.2">
      <c r="AF161" s="24">
        <f>_xll.qlCalendarAdvance(Calendar,AF160,"1d","mf",,Trigger)</f>
        <v>42598</v>
      </c>
      <c r="AG161" s="25">
        <f>_xll.qlDayCounterYearFraction(DayCounter,SettlementDate,AF161,,,Trigger)</f>
        <v>0.63611111111111107</v>
      </c>
      <c r="AH161" s="21">
        <f t="shared" si="20"/>
        <v>5.5767867859704608E-3</v>
      </c>
      <c r="AI161" s="21">
        <f t="shared" si="21"/>
        <v>5.3960539087874407E-3</v>
      </c>
      <c r="AJ161" s="21">
        <f t="shared" si="22"/>
        <v>5.4408848417449663E-3</v>
      </c>
    </row>
    <row r="162" spans="32:36" x14ac:dyDescent="0.2">
      <c r="AF162" s="24">
        <f>_xll.qlCalendarAdvance(Calendar,AF161,"1d","mf",,Trigger)</f>
        <v>42599</v>
      </c>
      <c r="AG162" s="25">
        <f>_xll.qlDayCounterYearFraction(DayCounter,SettlementDate,AF162,,,Trigger)</f>
        <v>0.63888888888888884</v>
      </c>
      <c r="AH162" s="21">
        <f t="shared" si="20"/>
        <v>5.5767867859704608E-3</v>
      </c>
      <c r="AI162" s="21">
        <f t="shared" si="21"/>
        <v>5.3921671802458701E-3</v>
      </c>
      <c r="AJ162" s="21">
        <f t="shared" si="22"/>
        <v>5.436755817571479E-3</v>
      </c>
    </row>
    <row r="163" spans="32:36" x14ac:dyDescent="0.2">
      <c r="AF163" s="24">
        <f>_xll.qlCalendarAdvance(Calendar,AF162,"1d","mf",,Trigger)</f>
        <v>42600</v>
      </c>
      <c r="AG163" s="25">
        <f>_xll.qlDayCounterYearFraction(DayCounter,SettlementDate,AF163,,,Trigger)</f>
        <v>0.64166666666666672</v>
      </c>
      <c r="AH163" s="21">
        <f t="shared" si="20"/>
        <v>5.5767867859704608E-3</v>
      </c>
      <c r="AI163" s="21">
        <f t="shared" si="21"/>
        <v>5.3882804517042995E-3</v>
      </c>
      <c r="AJ163" s="21">
        <f t="shared" si="22"/>
        <v>5.4326183645222867E-3</v>
      </c>
    </row>
    <row r="164" spans="32:36" x14ac:dyDescent="0.2">
      <c r="AF164" s="24">
        <f>_xll.qlCalendarAdvance(Calendar,AF163,"1d","mf",,Trigger)</f>
        <v>42601</v>
      </c>
      <c r="AG164" s="25">
        <f>_xll.qlDayCounterYearFraction(DayCounter,SettlementDate,AF164,,,Trigger)</f>
        <v>0.64444444444444449</v>
      </c>
      <c r="AH164" s="21">
        <f t="shared" si="20"/>
        <v>5.5767867859704608E-3</v>
      </c>
      <c r="AI164" s="21">
        <f t="shared" si="21"/>
        <v>5.3843937231627297E-3</v>
      </c>
      <c r="AJ164" s="21">
        <f t="shared" si="22"/>
        <v>5.4284724825973919E-3</v>
      </c>
    </row>
    <row r="165" spans="32:36" x14ac:dyDescent="0.2">
      <c r="AF165" s="24">
        <f>_xll.qlCalendarAdvance(Calendar,AF164,"1d","mf",,Trigger)</f>
        <v>42604</v>
      </c>
      <c r="AG165" s="25">
        <f>_xll.qlDayCounterYearFraction(DayCounter,SettlementDate,AF165,,,Trigger)</f>
        <v>0.65277777777777779</v>
      </c>
      <c r="AH165" s="21">
        <f t="shared" si="20"/>
        <v>5.5767867859704608E-3</v>
      </c>
      <c r="AI165" s="21">
        <f t="shared" si="21"/>
        <v>5.3727335375380186E-3</v>
      </c>
      <c r="AJ165" s="21">
        <f t="shared" si="22"/>
        <v>5.4159842635684817E-3</v>
      </c>
    </row>
    <row r="166" spans="32:36" x14ac:dyDescent="0.2">
      <c r="AF166" s="24">
        <f>_xll.qlCalendarAdvance(Calendar,AF165,"1d","mf",,Trigger)</f>
        <v>42605</v>
      </c>
      <c r="AG166" s="25">
        <f>_xll.qlDayCounterYearFraction(DayCounter,SettlementDate,AF166,,,Trigger)</f>
        <v>0.65555555555555556</v>
      </c>
      <c r="AH166" s="21">
        <f t="shared" si="20"/>
        <v>5.5767867859704608E-3</v>
      </c>
      <c r="AI166" s="21">
        <f t="shared" si="21"/>
        <v>5.368846808996448E-3</v>
      </c>
      <c r="AJ166" s="21">
        <f t="shared" si="22"/>
        <v>5.4118046661407694E-3</v>
      </c>
    </row>
    <row r="167" spans="32:36" x14ac:dyDescent="0.2">
      <c r="AF167" s="24">
        <f>_xll.qlCalendarAdvance(Calendar,AF166,"1d","mf",,Trigger)</f>
        <v>42606</v>
      </c>
      <c r="AG167" s="25">
        <f>_xll.qlDayCounterYearFraction(DayCounter,SettlementDate,AF167,,,Trigger)</f>
        <v>0.65833333333333333</v>
      </c>
      <c r="AH167" s="21">
        <f t="shared" si="20"/>
        <v>5.5767867859704608E-3</v>
      </c>
      <c r="AI167" s="21">
        <f t="shared" si="21"/>
        <v>5.3649600804548782E-3</v>
      </c>
      <c r="AJ167" s="21">
        <f t="shared" si="22"/>
        <v>5.4076166398373537E-3</v>
      </c>
    </row>
    <row r="168" spans="32:36" x14ac:dyDescent="0.2">
      <c r="AF168" s="24">
        <f>_xll.qlCalendarAdvance(Calendar,AF167,"1d","mf",,Trigger)</f>
        <v>42607</v>
      </c>
      <c r="AG168" s="25">
        <f>_xll.qlDayCounterYearFraction(DayCounter,SettlementDate,AF168,,,Trigger)</f>
        <v>0.66111111111111109</v>
      </c>
      <c r="AH168" s="21">
        <f t="shared" si="20"/>
        <v>5.5767867859704608E-3</v>
      </c>
      <c r="AI168" s="21">
        <f t="shared" si="21"/>
        <v>5.3610733519133076E-3</v>
      </c>
      <c r="AJ168" s="21">
        <f t="shared" si="22"/>
        <v>5.4034201846582339E-3</v>
      </c>
    </row>
    <row r="169" spans="32:36" x14ac:dyDescent="0.2">
      <c r="AF169" s="24">
        <f>_xll.qlCalendarAdvance(Calendar,AF168,"1d","mf",,Trigger)</f>
        <v>42608</v>
      </c>
      <c r="AG169" s="25">
        <f>_xll.qlDayCounterYearFraction(DayCounter,SettlementDate,AF169,,,Trigger)</f>
        <v>0.66388888888888886</v>
      </c>
      <c r="AH169" s="21">
        <f t="shared" si="20"/>
        <v>5.5767867859704608E-3</v>
      </c>
      <c r="AI169" s="21">
        <f t="shared" si="21"/>
        <v>5.3571866233717378E-3</v>
      </c>
      <c r="AJ169" s="21">
        <f t="shared" si="22"/>
        <v>5.3992153006034108E-3</v>
      </c>
    </row>
    <row r="170" spans="32:36" x14ac:dyDescent="0.2">
      <c r="AF170" s="24">
        <f>_xll.qlCalendarAdvance(Calendar,AF169,"1d","mf",,Trigger)</f>
        <v>42612</v>
      </c>
      <c r="AG170" s="25">
        <f>_xll.qlDayCounterYearFraction(DayCounter,SettlementDate,AF170,,,Trigger)</f>
        <v>0.67500000000000004</v>
      </c>
      <c r="AH170" s="21">
        <f t="shared" si="20"/>
        <v>5.5767867859704608E-3</v>
      </c>
      <c r="AI170" s="21">
        <f t="shared" si="21"/>
        <v>5.3416397092054561E-3</v>
      </c>
      <c r="AJ170" s="21">
        <f t="shared" si="22"/>
        <v>5.3823114756270767E-3</v>
      </c>
    </row>
    <row r="171" spans="32:36" x14ac:dyDescent="0.2">
      <c r="AF171" s="24">
        <f>_xll.qlCalendarAdvance(Calendar,AF170,"1d","mf",,Trigger)</f>
        <v>42613</v>
      </c>
      <c r="AG171" s="25">
        <f>_xll.qlDayCounterYearFraction(DayCounter,SettlementDate,AF171,,,Trigger)</f>
        <v>0.67777777777777781</v>
      </c>
      <c r="AH171" s="21">
        <f t="shared" si="20"/>
        <v>5.5767867859704608E-3</v>
      </c>
      <c r="AI171" s="21">
        <f t="shared" si="21"/>
        <v>5.3377529806638863E-3</v>
      </c>
      <c r="AJ171" s="21">
        <f t="shared" si="22"/>
        <v>5.3780644471937318E-3</v>
      </c>
    </row>
    <row r="172" spans="32:36" x14ac:dyDescent="0.2">
      <c r="AF172" s="24">
        <f>_xll.qlCalendarAdvance(Calendar,AF171,"1d","mf",,Trigger)</f>
        <v>42614</v>
      </c>
      <c r="AG172" s="25">
        <f>_xll.qlDayCounterYearFraction(DayCounter,SettlementDate,AF172,,,Trigger)</f>
        <v>0.68055555555555558</v>
      </c>
      <c r="AH172" s="21">
        <f t="shared" si="20"/>
        <v>5.5767867859704608E-3</v>
      </c>
      <c r="AI172" s="21">
        <f t="shared" si="21"/>
        <v>5.3338662521223157E-3</v>
      </c>
      <c r="AJ172" s="21">
        <f t="shared" si="22"/>
        <v>5.3738089898846845E-3</v>
      </c>
    </row>
    <row r="173" spans="32:36" x14ac:dyDescent="0.2">
      <c r="AF173" s="24">
        <f>_xll.qlCalendarAdvance(Calendar,AF172,"1d","mf",,Trigger)</f>
        <v>42615</v>
      </c>
      <c r="AG173" s="25">
        <f>_xll.qlDayCounterYearFraction(DayCounter,SettlementDate,AF173,,,Trigger)</f>
        <v>0.68333333333333335</v>
      </c>
      <c r="AH173" s="21">
        <f t="shared" si="20"/>
        <v>5.5767867859704608E-3</v>
      </c>
      <c r="AI173" s="21">
        <f t="shared" si="21"/>
        <v>5.329979523580745E-3</v>
      </c>
      <c r="AJ173" s="21">
        <f t="shared" si="22"/>
        <v>5.3695451036999331E-3</v>
      </c>
    </row>
    <row r="174" spans="32:36" x14ac:dyDescent="0.2">
      <c r="AF174" s="24">
        <f>_xll.qlCalendarAdvance(Calendar,AF173,"1d","mf",,Trigger)</f>
        <v>42618</v>
      </c>
      <c r="AG174" s="25">
        <f>_xll.qlDayCounterYearFraction(DayCounter,SettlementDate,AF174,,,Trigger)</f>
        <v>0.69166666666666665</v>
      </c>
      <c r="AH174" s="21">
        <f t="shared" si="20"/>
        <v>5.5767867859704608E-3</v>
      </c>
      <c r="AI174" s="21">
        <f t="shared" si="21"/>
        <v>5.3183193379560349E-3</v>
      </c>
      <c r="AJ174" s="21">
        <f t="shared" si="22"/>
        <v>5.3567028718914545E-3</v>
      </c>
    </row>
    <row r="175" spans="32:36" x14ac:dyDescent="0.2">
      <c r="AF175" s="24">
        <f>_xll.qlCalendarAdvance(Calendar,AF174,"1d","mf",,Trigger)</f>
        <v>42619</v>
      </c>
      <c r="AG175" s="25">
        <f>_xll.qlDayCounterYearFraction(DayCounter,SettlementDate,AF175,,,Trigger)</f>
        <v>0.69444444444444442</v>
      </c>
      <c r="AH175" s="21">
        <f t="shared" si="20"/>
        <v>5.5767867859704608E-3</v>
      </c>
      <c r="AI175" s="21">
        <f t="shared" si="21"/>
        <v>5.3144326094144642E-3</v>
      </c>
      <c r="AJ175" s="21">
        <f t="shared" si="22"/>
        <v>5.3524052702038872E-3</v>
      </c>
    </row>
    <row r="176" spans="32:36" x14ac:dyDescent="0.2">
      <c r="AF176" s="24">
        <f>_xll.qlCalendarAdvance(Calendar,AF175,"1d","mf",,Trigger)</f>
        <v>42620</v>
      </c>
      <c r="AG176" s="25">
        <f>_xll.qlDayCounterYearFraction(DayCounter,SettlementDate,AF176,,,Trigger)</f>
        <v>0.69722222222222219</v>
      </c>
      <c r="AH176" s="21">
        <f t="shared" si="20"/>
        <v>5.5767867859704608E-3</v>
      </c>
      <c r="AI176" s="21">
        <f t="shared" si="21"/>
        <v>5.3105458808728936E-3</v>
      </c>
      <c r="AJ176" s="21">
        <f t="shared" si="22"/>
        <v>5.3480992396406158E-3</v>
      </c>
    </row>
    <row r="177" spans="32:36" x14ac:dyDescent="0.2">
      <c r="AF177" s="24">
        <f>_xll.qlCalendarAdvance(Calendar,AF176,"1d","mf",,Trigger)</f>
        <v>42621</v>
      </c>
      <c r="AG177" s="25">
        <f>_xll.qlDayCounterYearFraction(DayCounter,SettlementDate,AF177,,,Trigger)</f>
        <v>0.7</v>
      </c>
      <c r="AH177" s="21">
        <f t="shared" si="20"/>
        <v>5.5767867859704608E-3</v>
      </c>
      <c r="AI177" s="21">
        <f t="shared" si="21"/>
        <v>5.3066591523313238E-3</v>
      </c>
      <c r="AJ177" s="21">
        <f t="shared" si="22"/>
        <v>5.3437847802016393E-3</v>
      </c>
    </row>
    <row r="178" spans="32:36" x14ac:dyDescent="0.2">
      <c r="AF178" s="24">
        <f>_xll.qlCalendarAdvance(Calendar,AF177,"1d","mf",,Trigger)</f>
        <v>42622</v>
      </c>
      <c r="AG178" s="25">
        <f>_xll.qlDayCounterYearFraction(DayCounter,SettlementDate,AF178,,,Trigger)</f>
        <v>0.70277777777777772</v>
      </c>
      <c r="AH178" s="21">
        <f t="shared" si="20"/>
        <v>5.5767867859704608E-3</v>
      </c>
      <c r="AI178" s="21">
        <f t="shared" si="21"/>
        <v>5.3027724237897532E-3</v>
      </c>
      <c r="AJ178" s="21">
        <f t="shared" si="22"/>
        <v>5.3394618918869603E-3</v>
      </c>
    </row>
    <row r="179" spans="32:36" x14ac:dyDescent="0.2">
      <c r="AF179" s="24">
        <f>_xll.qlCalendarAdvance(Calendar,AF178,"1d","mf",,Trigger)</f>
        <v>42625</v>
      </c>
      <c r="AG179" s="25">
        <f>_xll.qlDayCounterYearFraction(DayCounter,SettlementDate,AF179,,,Trigger)</f>
        <v>0.71111111111111114</v>
      </c>
      <c r="AH179" s="21">
        <f t="shared" si="20"/>
        <v>5.5767867859704608E-3</v>
      </c>
      <c r="AI179" s="21">
        <f t="shared" si="21"/>
        <v>5.2911122381650421E-3</v>
      </c>
      <c r="AJ179" s="21">
        <f t="shared" si="22"/>
        <v>5.3264426536886967E-3</v>
      </c>
    </row>
    <row r="180" spans="32:36" x14ac:dyDescent="0.2">
      <c r="AF180" s="24">
        <f>_xll.qlCalendarAdvance(Calendar,AF179,"1d","mf",,Trigger)</f>
        <v>42626</v>
      </c>
      <c r="AG180" s="25">
        <f>_xll.qlDayCounterYearFraction(DayCounter,SettlementDate,AF180,,,Trigger)</f>
        <v>0.71388888888888891</v>
      </c>
      <c r="AH180" s="21">
        <f t="shared" si="20"/>
        <v>5.5767867859704608E-3</v>
      </c>
      <c r="AI180" s="21">
        <f t="shared" si="21"/>
        <v>5.2872255096234723E-3</v>
      </c>
      <c r="AJ180" s="21">
        <f t="shared" si="22"/>
        <v>5.322086049871202E-3</v>
      </c>
    </row>
    <row r="181" spans="32:36" x14ac:dyDescent="0.2">
      <c r="AF181" s="24">
        <f>_xll.qlCalendarAdvance(Calendar,AF180,"1d","mf",,Trigger)</f>
        <v>42627</v>
      </c>
      <c r="AG181" s="25">
        <f>_xll.qlDayCounterYearFraction(DayCounter,SettlementDate,AF181,,,Trigger)</f>
        <v>0.71666666666666667</v>
      </c>
      <c r="AH181" s="21">
        <f t="shared" si="20"/>
        <v>5.5767867859704608E-3</v>
      </c>
      <c r="AI181" s="21">
        <f t="shared" si="21"/>
        <v>5.2833387810819017E-3</v>
      </c>
      <c r="AJ181" s="21">
        <f t="shared" si="22"/>
        <v>5.3177210171780022E-3</v>
      </c>
    </row>
    <row r="182" spans="32:36" x14ac:dyDescent="0.2">
      <c r="AF182" s="24">
        <f>_xll.qlCalendarAdvance(Calendar,AF181,"1d","mf",,Trigger)</f>
        <v>42628</v>
      </c>
      <c r="AG182" s="25">
        <f>_xll.qlDayCounterYearFraction(DayCounter,SettlementDate,AF182,,,Trigger)</f>
        <v>0.71944444444444444</v>
      </c>
      <c r="AH182" s="21">
        <f t="shared" si="20"/>
        <v>5.5767867859704608E-3</v>
      </c>
      <c r="AI182" s="21">
        <f t="shared" si="21"/>
        <v>5.2794520525403319E-3</v>
      </c>
      <c r="AJ182" s="21">
        <f t="shared" si="22"/>
        <v>5.313347555609099E-3</v>
      </c>
    </row>
    <row r="183" spans="32:36" x14ac:dyDescent="0.2">
      <c r="AF183" s="24">
        <f>_xll.qlCalendarAdvance(Calendar,AF182,"1d","mf",,Trigger)</f>
        <v>42629</v>
      </c>
      <c r="AG183" s="25">
        <f>_xll.qlDayCounterYearFraction(DayCounter,SettlementDate,AF183,,,Trigger)</f>
        <v>0.72222222222222221</v>
      </c>
      <c r="AH183" s="21">
        <f t="shared" si="20"/>
        <v>5.5767867859704608E-3</v>
      </c>
      <c r="AI183" s="21">
        <f t="shared" si="21"/>
        <v>5.2755653239987613E-3</v>
      </c>
      <c r="AJ183" s="21">
        <f t="shared" si="22"/>
        <v>5.3089656651644909E-3</v>
      </c>
    </row>
    <row r="184" spans="32:36" x14ac:dyDescent="0.2">
      <c r="AF184" s="24">
        <f>_xll.qlCalendarAdvance(Calendar,AF183,"1d","mf",,Trigger)</f>
        <v>42632</v>
      </c>
      <c r="AG184" s="25">
        <f>_xll.qlDayCounterYearFraction(DayCounter,SettlementDate,AF184,,,Trigger)</f>
        <v>0.73055555555555551</v>
      </c>
      <c r="AH184" s="21">
        <f t="shared" si="20"/>
        <v>5.5767867859704608E-3</v>
      </c>
      <c r="AI184" s="21">
        <f t="shared" si="21"/>
        <v>5.2639051383740502E-3</v>
      </c>
      <c r="AJ184" s="21">
        <f t="shared" si="22"/>
        <v>5.2957694205764448E-3</v>
      </c>
    </row>
    <row r="185" spans="32:36" x14ac:dyDescent="0.2">
      <c r="AF185" s="24">
        <f>_xll.qlCalendarAdvance(Calendar,AF184,"1d","mf",,Trigger)</f>
        <v>42633</v>
      </c>
      <c r="AG185" s="25">
        <f>_xll.qlDayCounterYearFraction(DayCounter,SettlementDate,AF185,,,Trigger)</f>
        <v>0.73333333333333328</v>
      </c>
      <c r="AH185" s="21">
        <f t="shared" si="20"/>
        <v>5.5767867859704608E-3</v>
      </c>
      <c r="AI185" s="21">
        <f t="shared" si="21"/>
        <v>5.2600184098324804E-3</v>
      </c>
      <c r="AJ185" s="21">
        <f t="shared" si="22"/>
        <v>5.2913538146290209E-3</v>
      </c>
    </row>
    <row r="186" spans="32:36" x14ac:dyDescent="0.2">
      <c r="AF186" s="24">
        <f>_xll.qlCalendarAdvance(Calendar,AF185,"1d","mf",,Trigger)</f>
        <v>42634</v>
      </c>
      <c r="AG186" s="25">
        <f>_xll.qlDayCounterYearFraction(DayCounter,SettlementDate,AF186,,,Trigger)</f>
        <v>0.73611111111111116</v>
      </c>
      <c r="AH186" s="21">
        <f t="shared" si="20"/>
        <v>5.5767867859704608E-3</v>
      </c>
      <c r="AI186" s="21">
        <f t="shared" si="21"/>
        <v>5.2561316812909098E-3</v>
      </c>
      <c r="AJ186" s="21">
        <f t="shared" si="22"/>
        <v>5.2869297798058927E-3</v>
      </c>
    </row>
    <row r="187" spans="32:36" x14ac:dyDescent="0.2">
      <c r="AF187" s="24">
        <f>_xll.qlCalendarAdvance(Calendar,AF186,"1d","mf",,Trigger)</f>
        <v>42635</v>
      </c>
      <c r="AG187" s="25">
        <f>_xll.qlDayCounterYearFraction(DayCounter,SettlementDate,AF187,,,Trigger)</f>
        <v>0.73888888888888893</v>
      </c>
      <c r="AH187" s="21">
        <f t="shared" si="20"/>
        <v>5.5767867859704608E-3</v>
      </c>
      <c r="AI187" s="21">
        <f t="shared" si="21"/>
        <v>5.2522449527493392E-3</v>
      </c>
      <c r="AJ187" s="21">
        <f t="shared" si="22"/>
        <v>5.2824973161070612E-3</v>
      </c>
    </row>
    <row r="188" spans="32:36" x14ac:dyDescent="0.2">
      <c r="AF188" s="24">
        <f>_xll.qlCalendarAdvance(Calendar,AF187,"1d","mf",,Trigger)</f>
        <v>42636</v>
      </c>
      <c r="AG188" s="25">
        <f>_xll.qlDayCounterYearFraction(DayCounter,SettlementDate,AF188,,,Trigger)</f>
        <v>0.7416666666666667</v>
      </c>
      <c r="AH188" s="21">
        <f t="shared" si="20"/>
        <v>5.5767867859704608E-3</v>
      </c>
      <c r="AI188" s="21">
        <f t="shared" si="21"/>
        <v>5.2483582242077694E-3</v>
      </c>
      <c r="AJ188" s="21">
        <f t="shared" si="22"/>
        <v>5.2780564235325265E-3</v>
      </c>
    </row>
    <row r="189" spans="32:36" x14ac:dyDescent="0.2">
      <c r="AF189" s="24">
        <f>_xll.qlCalendarAdvance(Calendar,AF188,"1d","mf",,Trigger)</f>
        <v>42639</v>
      </c>
      <c r="AG189" s="25">
        <f>_xll.qlDayCounterYearFraction(DayCounter,SettlementDate,AF189,,,Trigger)</f>
        <v>0.75</v>
      </c>
      <c r="AH189" s="21">
        <f t="shared" si="20"/>
        <v>5.5767867859704608E-3</v>
      </c>
      <c r="AI189" s="21">
        <f t="shared" si="21"/>
        <v>5.2366980385830583E-3</v>
      </c>
      <c r="AJ189" s="21">
        <f t="shared" si="22"/>
        <v>5.2646831725546954E-3</v>
      </c>
    </row>
    <row r="190" spans="32:36" x14ac:dyDescent="0.2">
      <c r="AF190" s="24">
        <f>_xll.qlCalendarAdvance(Calendar,AF189,"1d","mf",,Trigger)</f>
        <v>42640</v>
      </c>
      <c r="AG190" s="25">
        <f>_xll.qlDayCounterYearFraction(DayCounter,SettlementDate,AF190,,,Trigger)</f>
        <v>0.75277777777777777</v>
      </c>
      <c r="AH190" s="21">
        <f t="shared" si="20"/>
        <v>5.5767867859704608E-3</v>
      </c>
      <c r="AI190" s="21">
        <f t="shared" si="21"/>
        <v>5.2328113100414877E-3</v>
      </c>
      <c r="AJ190" s="21">
        <f t="shared" si="22"/>
        <v>5.2602085644773439E-3</v>
      </c>
    </row>
    <row r="191" spans="32:36" x14ac:dyDescent="0.2">
      <c r="AF191" s="24">
        <f>_xll.qlCalendarAdvance(Calendar,AF190,"1d","mf",,Trigger)</f>
        <v>42641</v>
      </c>
      <c r="AG191" s="25">
        <f>_xll.qlDayCounterYearFraction(DayCounter,SettlementDate,AF191,,,Trigger)</f>
        <v>0.75555555555555554</v>
      </c>
      <c r="AH191" s="21">
        <f t="shared" si="20"/>
        <v>5.5767867859704608E-3</v>
      </c>
      <c r="AI191" s="21">
        <f t="shared" si="21"/>
        <v>5.2289245814999179E-3</v>
      </c>
      <c r="AJ191" s="21">
        <f t="shared" si="22"/>
        <v>5.2557255275242892E-3</v>
      </c>
    </row>
    <row r="192" spans="32:36" x14ac:dyDescent="0.2">
      <c r="AF192" s="24">
        <f>_xll.qlCalendarAdvance(Calendar,AF191,"1d","mf",,Trigger)</f>
        <v>42642</v>
      </c>
      <c r="AG192" s="25">
        <f>_xll.qlDayCounterYearFraction(DayCounter,SettlementDate,AF192,,,Trigger)</f>
        <v>0.7583333333333333</v>
      </c>
      <c r="AH192" s="21">
        <f t="shared" si="20"/>
        <v>5.5767867859704608E-3</v>
      </c>
      <c r="AI192" s="21">
        <f t="shared" si="21"/>
        <v>5.2250378529583473E-3</v>
      </c>
      <c r="AJ192" s="21">
        <f t="shared" si="22"/>
        <v>5.2512340616955285E-3</v>
      </c>
    </row>
    <row r="193" spans="32:36" x14ac:dyDescent="0.2">
      <c r="AF193" s="24">
        <f>_xll.qlCalendarAdvance(Calendar,AF192,"1d","mf",,Trigger)</f>
        <v>42643</v>
      </c>
      <c r="AG193" s="25">
        <f>_xll.qlDayCounterYearFraction(DayCounter,SettlementDate,AF193,,,Trigger)</f>
        <v>0.76111111111111107</v>
      </c>
      <c r="AH193" s="21">
        <f t="shared" si="20"/>
        <v>5.5767867859704608E-3</v>
      </c>
      <c r="AI193" s="21">
        <f t="shared" si="21"/>
        <v>5.2211511244167775E-3</v>
      </c>
      <c r="AJ193" s="21">
        <f t="shared" si="22"/>
        <v>5.2467341669910654E-3</v>
      </c>
    </row>
    <row r="194" spans="32:36" x14ac:dyDescent="0.2">
      <c r="AF194" s="24">
        <f>_xll.qlCalendarAdvance(Calendar,AF193,"1d","mf",,Trigger)</f>
        <v>42646</v>
      </c>
      <c r="AG194" s="25">
        <f>_xll.qlDayCounterYearFraction(DayCounter,SettlementDate,AF194,,,Trigger)</f>
        <v>0.76944444444444449</v>
      </c>
      <c r="AH194" s="21">
        <f t="shared" si="20"/>
        <v>5.5767867859704608E-3</v>
      </c>
      <c r="AI194" s="21">
        <f t="shared" si="21"/>
        <v>5.2094909387920664E-3</v>
      </c>
      <c r="AJ194" s="21">
        <f t="shared" si="22"/>
        <v>5.2331839096234501E-3</v>
      </c>
    </row>
    <row r="195" spans="32:36" x14ac:dyDescent="0.2">
      <c r="AF195" s="24">
        <f>_xll.qlCalendarAdvance(Calendar,AF194,"1d","mf",,Trigger)</f>
        <v>42647</v>
      </c>
      <c r="AG195" s="25">
        <f>_xll.qlDayCounterYearFraction(DayCounter,SettlementDate,AF195,,,Trigger)</f>
        <v>0.77222222222222225</v>
      </c>
      <c r="AH195" s="21">
        <f t="shared" ref="AH195:AH253" si="23">$W$13</f>
        <v>5.5767867859704608E-3</v>
      </c>
      <c r="AI195" s="21">
        <f t="shared" si="21"/>
        <v>5.2056042102504958E-3</v>
      </c>
      <c r="AJ195" s="21">
        <f t="shared" si="22"/>
        <v>5.2286502994161712E-3</v>
      </c>
    </row>
    <row r="196" spans="32:36" x14ac:dyDescent="0.2">
      <c r="AF196" s="24">
        <f>_xll.qlCalendarAdvance(Calendar,AF195,"1d","mf",,Trigger)</f>
        <v>42648</v>
      </c>
      <c r="AG196" s="25">
        <f>_xll.qlDayCounterYearFraction(DayCounter,SettlementDate,AF196,,,Trigger)</f>
        <v>0.77500000000000002</v>
      </c>
      <c r="AH196" s="21">
        <f t="shared" si="23"/>
        <v>5.5767867859704608E-3</v>
      </c>
      <c r="AI196" s="21">
        <f t="shared" si="21"/>
        <v>5.201717481708926E-3</v>
      </c>
      <c r="AJ196" s="21">
        <f t="shared" si="22"/>
        <v>5.2241082603331872E-3</v>
      </c>
    </row>
    <row r="197" spans="32:36" x14ac:dyDescent="0.2">
      <c r="AF197" s="24">
        <f>_xll.qlCalendarAdvance(Calendar,AF196,"1d","mf",,Trigger)</f>
        <v>42649</v>
      </c>
      <c r="AG197" s="25">
        <f>_xll.qlDayCounterYearFraction(DayCounter,SettlementDate,AF197,,,Trigger)</f>
        <v>0.77777777777777779</v>
      </c>
      <c r="AH197" s="21">
        <f t="shared" si="23"/>
        <v>5.5767867859704608E-3</v>
      </c>
      <c r="AI197" s="21">
        <f t="shared" si="21"/>
        <v>5.1978307531673554E-3</v>
      </c>
      <c r="AJ197" s="21">
        <f t="shared" si="22"/>
        <v>5.2195577923744999E-3</v>
      </c>
    </row>
    <row r="198" spans="32:36" x14ac:dyDescent="0.2">
      <c r="AF198" s="24">
        <f>_xll.qlCalendarAdvance(Calendar,AF197,"1d","mf",,Trigger)</f>
        <v>42650</v>
      </c>
      <c r="AG198" s="25">
        <f>_xll.qlDayCounterYearFraction(DayCounter,SettlementDate,AF198,,,Trigger)</f>
        <v>0.78055555555555556</v>
      </c>
      <c r="AH198" s="21">
        <f t="shared" si="23"/>
        <v>5.5767867859704608E-3</v>
      </c>
      <c r="AI198" s="21">
        <f t="shared" si="21"/>
        <v>5.1939440246257847E-3</v>
      </c>
      <c r="AJ198" s="21">
        <f t="shared" si="22"/>
        <v>5.2149988955401084E-3</v>
      </c>
    </row>
    <row r="199" spans="32:36" x14ac:dyDescent="0.2">
      <c r="AF199" s="24">
        <f>_xll.qlCalendarAdvance(Calendar,AF198,"1d","mf",,Trigger)</f>
        <v>42653</v>
      </c>
      <c r="AG199" s="25">
        <f>_xll.qlDayCounterYearFraction(DayCounter,SettlementDate,AF199,,,Trigger)</f>
        <v>0.78888888888888886</v>
      </c>
      <c r="AH199" s="21">
        <f t="shared" si="23"/>
        <v>5.5767867859704608E-3</v>
      </c>
      <c r="AI199" s="21">
        <f t="shared" si="21"/>
        <v>5.1822838390010745E-3</v>
      </c>
      <c r="AJ199" s="21">
        <f t="shared" si="22"/>
        <v>5.2012716317827098E-3</v>
      </c>
    </row>
    <row r="200" spans="32:36" x14ac:dyDescent="0.2">
      <c r="AF200" s="24">
        <f>_xll.qlCalendarAdvance(Calendar,AF199,"1d","mf",,Trigger)</f>
        <v>42654</v>
      </c>
      <c r="AG200" s="25">
        <f>_xll.qlDayCounterYearFraction(DayCounter,SettlementDate,AF200,,,Trigger)</f>
        <v>0.79166666666666663</v>
      </c>
      <c r="AH200" s="21">
        <f t="shared" si="23"/>
        <v>5.5767867859704608E-3</v>
      </c>
      <c r="AI200" s="21">
        <f t="shared" si="21"/>
        <v>5.1783971104595039E-3</v>
      </c>
      <c r="AJ200" s="21">
        <f t="shared" si="22"/>
        <v>5.1966790194455017E-3</v>
      </c>
    </row>
    <row r="201" spans="32:36" x14ac:dyDescent="0.2">
      <c r="AF201" s="24">
        <f>_xll.qlCalendarAdvance(Calendar,AF200,"1d","mf",,Trigger)</f>
        <v>42655</v>
      </c>
      <c r="AG201" s="25">
        <f>_xll.qlDayCounterYearFraction(DayCounter,SettlementDate,AF201,,,Trigger)</f>
        <v>0.7944444444444444</v>
      </c>
      <c r="AH201" s="21">
        <f t="shared" si="23"/>
        <v>5.5767867859704608E-3</v>
      </c>
      <c r="AI201" s="21">
        <f t="shared" si="21"/>
        <v>5.1745103819179333E-3</v>
      </c>
      <c r="AJ201" s="21">
        <f t="shared" si="22"/>
        <v>5.1920779782325902E-3</v>
      </c>
    </row>
    <row r="202" spans="32:36" x14ac:dyDescent="0.2">
      <c r="AF202" s="24">
        <f>_xll.qlCalendarAdvance(Calendar,AF201,"1d","mf",,Trigger)</f>
        <v>42656</v>
      </c>
      <c r="AG202" s="25">
        <f>_xll.qlDayCounterYearFraction(DayCounter,SettlementDate,AF202,,,Trigger)</f>
        <v>0.79722222222222228</v>
      </c>
      <c r="AH202" s="21">
        <f t="shared" si="23"/>
        <v>5.5767867859704608E-3</v>
      </c>
      <c r="AI202" s="21">
        <f t="shared" si="21"/>
        <v>5.1706236533763635E-3</v>
      </c>
      <c r="AJ202" s="21">
        <f t="shared" si="22"/>
        <v>5.1874685081439754E-3</v>
      </c>
    </row>
    <row r="203" spans="32:36" x14ac:dyDescent="0.2">
      <c r="AF203" s="24">
        <f>_xll.qlCalendarAdvance(Calendar,AF202,"1d","mf",,Trigger)</f>
        <v>42657</v>
      </c>
      <c r="AG203" s="25">
        <f>_xll.qlDayCounterYearFraction(DayCounter,SettlementDate,AF203,,,Trigger)</f>
        <v>0.8</v>
      </c>
      <c r="AH203" s="21">
        <f t="shared" si="23"/>
        <v>5.5767867859704608E-3</v>
      </c>
      <c r="AI203" s="21">
        <f t="shared" si="21"/>
        <v>5.1667369248347928E-3</v>
      </c>
      <c r="AJ203" s="21">
        <f t="shared" si="22"/>
        <v>5.1828506091796556E-3</v>
      </c>
    </row>
    <row r="204" spans="32:36" x14ac:dyDescent="0.2">
      <c r="AF204" s="24">
        <f>_xll.qlCalendarAdvance(Calendar,AF203,"1d","mf",,Trigger)</f>
        <v>42660</v>
      </c>
      <c r="AG204" s="25">
        <f>_xll.qlDayCounterYearFraction(DayCounter,SettlementDate,AF204,,,Trigger)</f>
        <v>0.80833333333333335</v>
      </c>
      <c r="AH204" s="21">
        <f t="shared" si="23"/>
        <v>5.5767867859704608E-3</v>
      </c>
      <c r="AI204" s="21">
        <f t="shared" si="21"/>
        <v>5.1550767392100818E-3</v>
      </c>
      <c r="AJ204" s="21">
        <f t="shared" si="22"/>
        <v>5.1689463390324729E-3</v>
      </c>
    </row>
    <row r="205" spans="32:36" x14ac:dyDescent="0.2">
      <c r="AF205" s="24">
        <f>_xll.qlCalendarAdvance(Calendar,AF204,"1d","mf",,Trigger)</f>
        <v>42661</v>
      </c>
      <c r="AG205" s="25">
        <f>_xll.qlDayCounterYearFraction(DayCounter,SettlementDate,AF205,,,Trigger)</f>
        <v>0.81111111111111112</v>
      </c>
      <c r="AH205" s="21">
        <f t="shared" si="23"/>
        <v>5.5767867859704608E-3</v>
      </c>
      <c r="AI205" s="21">
        <f t="shared" ref="AI205:AI253" si="24">$W$10+$W$9*AG205</f>
        <v>5.151190010668512E-3</v>
      </c>
      <c r="AJ205" s="21">
        <f t="shared" ref="AJ205:AJ253" si="25">($W$5+$W$4*AG205+$W$3*AG205^2)</f>
        <v>5.1642947245653381E-3</v>
      </c>
    </row>
    <row r="206" spans="32:36" x14ac:dyDescent="0.2">
      <c r="AF206" s="24">
        <f>_xll.qlCalendarAdvance(Calendar,AF205,"1d","mf",,Trigger)</f>
        <v>42662</v>
      </c>
      <c r="AG206" s="25">
        <f>_xll.qlDayCounterYearFraction(DayCounter,SettlementDate,AF206,,,Trigger)</f>
        <v>0.81388888888888888</v>
      </c>
      <c r="AH206" s="21">
        <f t="shared" si="23"/>
        <v>5.5767867859704608E-3</v>
      </c>
      <c r="AI206" s="21">
        <f t="shared" si="24"/>
        <v>5.1473032821269414E-3</v>
      </c>
      <c r="AJ206" s="21">
        <f t="shared" si="25"/>
        <v>5.1596346812224974E-3</v>
      </c>
    </row>
    <row r="207" spans="32:36" x14ac:dyDescent="0.2">
      <c r="AF207" s="24">
        <f>_xll.qlCalendarAdvance(Calendar,AF206,"1d","mf",,Trigger)</f>
        <v>42663</v>
      </c>
      <c r="AG207" s="25">
        <f>_xll.qlDayCounterYearFraction(DayCounter,SettlementDate,AF207,,,Trigger)</f>
        <v>0.81666666666666665</v>
      </c>
      <c r="AH207" s="21">
        <f t="shared" si="23"/>
        <v>5.5767867859704608E-3</v>
      </c>
      <c r="AI207" s="21">
        <f t="shared" si="24"/>
        <v>5.1434165535853716E-3</v>
      </c>
      <c r="AJ207" s="21">
        <f t="shared" si="25"/>
        <v>5.1549662090039543E-3</v>
      </c>
    </row>
    <row r="208" spans="32:36" x14ac:dyDescent="0.2">
      <c r="AF208" s="24">
        <f>_xll.qlCalendarAdvance(Calendar,AF207,"1d","mf",,Trigger)</f>
        <v>42664</v>
      </c>
      <c r="AG208" s="25">
        <f>_xll.qlDayCounterYearFraction(DayCounter,SettlementDate,AF208,,,Trigger)</f>
        <v>0.81944444444444442</v>
      </c>
      <c r="AH208" s="21">
        <f t="shared" si="23"/>
        <v>5.5767867859704608E-3</v>
      </c>
      <c r="AI208" s="21">
        <f t="shared" si="24"/>
        <v>5.139529825043801E-3</v>
      </c>
      <c r="AJ208" s="21">
        <f t="shared" si="25"/>
        <v>5.150289307909707E-3</v>
      </c>
    </row>
    <row r="209" spans="32:36" x14ac:dyDescent="0.2">
      <c r="AF209" s="24">
        <f>_xll.qlCalendarAdvance(Calendar,AF208,"1d","mf",,Trigger)</f>
        <v>42667</v>
      </c>
      <c r="AG209" s="25">
        <f>_xll.qlDayCounterYearFraction(DayCounter,SettlementDate,AF209,,,Trigger)</f>
        <v>0.82777777777777772</v>
      </c>
      <c r="AH209" s="21">
        <f t="shared" si="23"/>
        <v>5.5767867859704608E-3</v>
      </c>
      <c r="AI209" s="21">
        <f t="shared" si="24"/>
        <v>5.1278696394190899E-3</v>
      </c>
      <c r="AJ209" s="21">
        <f t="shared" si="25"/>
        <v>5.1362080313727401E-3</v>
      </c>
    </row>
    <row r="210" spans="32:36" x14ac:dyDescent="0.2">
      <c r="AF210" s="24">
        <f>_xll.qlCalendarAdvance(Calendar,AF209,"1d","mf",,Trigger)</f>
        <v>42668</v>
      </c>
      <c r="AG210" s="25">
        <f>_xll.qlDayCounterYearFraction(DayCounter,SettlementDate,AF210,,,Trigger)</f>
        <v>0.8305555555555556</v>
      </c>
      <c r="AH210" s="21">
        <f t="shared" si="23"/>
        <v>5.5767867859704608E-3</v>
      </c>
      <c r="AI210" s="21">
        <f t="shared" si="24"/>
        <v>5.1239829108775201E-3</v>
      </c>
      <c r="AJ210" s="21">
        <f t="shared" si="25"/>
        <v>5.131497414775677E-3</v>
      </c>
    </row>
    <row r="211" spans="32:36" x14ac:dyDescent="0.2">
      <c r="AF211" s="24">
        <f>_xll.qlCalendarAdvance(Calendar,AF210,"1d","mf",,Trigger)</f>
        <v>42669</v>
      </c>
      <c r="AG211" s="25">
        <f>_xll.qlDayCounterYearFraction(DayCounter,SettlementDate,AF211,,,Trigger)</f>
        <v>0.83333333333333337</v>
      </c>
      <c r="AH211" s="21">
        <f t="shared" si="23"/>
        <v>5.5767867859704608E-3</v>
      </c>
      <c r="AI211" s="21">
        <f t="shared" si="24"/>
        <v>5.1200961823359495E-3</v>
      </c>
      <c r="AJ211" s="21">
        <f t="shared" si="25"/>
        <v>5.1267783693029097E-3</v>
      </c>
    </row>
    <row r="212" spans="32:36" x14ac:dyDescent="0.2">
      <c r="AF212" s="24">
        <f>_xll.qlCalendarAdvance(Calendar,AF211,"1d","mf",,Trigger)</f>
        <v>42670</v>
      </c>
      <c r="AG212" s="25">
        <f>_xll.qlDayCounterYearFraction(DayCounter,SettlementDate,AF212,,,Trigger)</f>
        <v>0.83611111111111114</v>
      </c>
      <c r="AH212" s="21">
        <f t="shared" si="23"/>
        <v>5.5767867859704608E-3</v>
      </c>
      <c r="AI212" s="21">
        <f t="shared" si="24"/>
        <v>5.1162094537943788E-3</v>
      </c>
      <c r="AJ212" s="21">
        <f t="shared" si="25"/>
        <v>5.1220508949544373E-3</v>
      </c>
    </row>
    <row r="213" spans="32:36" x14ac:dyDescent="0.2">
      <c r="AF213" s="24">
        <f>_xll.qlCalendarAdvance(Calendar,AF212,"1d","mf",,Trigger)</f>
        <v>42671</v>
      </c>
      <c r="AG213" s="25">
        <f>_xll.qlDayCounterYearFraction(DayCounter,SettlementDate,AF213,,,Trigger)</f>
        <v>0.83888888888888891</v>
      </c>
      <c r="AH213" s="21">
        <f t="shared" si="23"/>
        <v>5.5767867859704608E-3</v>
      </c>
      <c r="AI213" s="21">
        <f t="shared" si="24"/>
        <v>5.1123227252528091E-3</v>
      </c>
      <c r="AJ213" s="21">
        <f t="shared" si="25"/>
        <v>5.1173149917302617E-3</v>
      </c>
    </row>
    <row r="214" spans="32:36" x14ac:dyDescent="0.2">
      <c r="AF214" s="24">
        <f>_xll.qlCalendarAdvance(Calendar,AF213,"1d","mf",,Trigger)</f>
        <v>42674</v>
      </c>
      <c r="AG214" s="25">
        <f>_xll.qlDayCounterYearFraction(DayCounter,SettlementDate,AF214,,,Trigger)</f>
        <v>0.84722222222222221</v>
      </c>
      <c r="AH214" s="21">
        <f t="shared" si="23"/>
        <v>5.5767867859704608E-3</v>
      </c>
      <c r="AI214" s="21">
        <f t="shared" si="24"/>
        <v>5.100662539628098E-3</v>
      </c>
      <c r="AJ214" s="21">
        <f t="shared" si="25"/>
        <v>5.1030567088035115E-3</v>
      </c>
    </row>
    <row r="215" spans="32:36" x14ac:dyDescent="0.2">
      <c r="AF215" s="24">
        <f>_xll.qlCalendarAdvance(Calendar,AF214,"1d","mf",,Trigger)</f>
        <v>42675</v>
      </c>
      <c r="AG215" s="25">
        <f>_xll.qlDayCounterYearFraction(DayCounter,SettlementDate,AF215,,,Trigger)</f>
        <v>0.85</v>
      </c>
      <c r="AH215" s="21">
        <f t="shared" si="23"/>
        <v>5.5767867859704608E-3</v>
      </c>
      <c r="AI215" s="21">
        <f t="shared" si="24"/>
        <v>5.0967758110865274E-3</v>
      </c>
      <c r="AJ215" s="21">
        <f t="shared" si="25"/>
        <v>5.09828709007652E-3</v>
      </c>
    </row>
    <row r="216" spans="32:36" x14ac:dyDescent="0.2">
      <c r="AF216" s="24">
        <f>_xll.qlCalendarAdvance(Calendar,AF215,"1d","mf",,Trigger)</f>
        <v>42676</v>
      </c>
      <c r="AG216" s="25">
        <f>_xll.qlDayCounterYearFraction(DayCounter,SettlementDate,AF216,,,Trigger)</f>
        <v>0.85277777777777775</v>
      </c>
      <c r="AH216" s="21">
        <f t="shared" si="23"/>
        <v>5.5767867859704608E-3</v>
      </c>
      <c r="AI216" s="21">
        <f t="shared" si="24"/>
        <v>5.0928890825449576E-3</v>
      </c>
      <c r="AJ216" s="21">
        <f t="shared" si="25"/>
        <v>5.0935090424738243E-3</v>
      </c>
    </row>
    <row r="217" spans="32:36" x14ac:dyDescent="0.2">
      <c r="AF217" s="24">
        <f>_xll.qlCalendarAdvance(Calendar,AF216,"1d","mf",,Trigger)</f>
        <v>42677</v>
      </c>
      <c r="AG217" s="25">
        <f>_xll.qlDayCounterYearFraction(DayCounter,SettlementDate,AF217,,,Trigger)</f>
        <v>0.85555555555555551</v>
      </c>
      <c r="AH217" s="21">
        <f t="shared" si="23"/>
        <v>5.5767867859704608E-3</v>
      </c>
      <c r="AI217" s="21">
        <f t="shared" si="24"/>
        <v>5.089002354003387E-3</v>
      </c>
      <c r="AJ217" s="21">
        <f t="shared" si="25"/>
        <v>5.0887225659954254E-3</v>
      </c>
    </row>
    <row r="218" spans="32:36" x14ac:dyDescent="0.2">
      <c r="AF218" s="24">
        <f>_xll.qlCalendarAdvance(Calendar,AF217,"1d","mf",,Trigger)</f>
        <v>42678</v>
      </c>
      <c r="AG218" s="25">
        <f>_xll.qlDayCounterYearFraction(DayCounter,SettlementDate,AF218,,,Trigger)</f>
        <v>0.85833333333333328</v>
      </c>
      <c r="AH218" s="21">
        <f t="shared" si="23"/>
        <v>5.5767867859704608E-3</v>
      </c>
      <c r="AI218" s="21">
        <f t="shared" si="24"/>
        <v>5.0851156254618172E-3</v>
      </c>
      <c r="AJ218" s="21">
        <f t="shared" si="25"/>
        <v>5.0839276606413223E-3</v>
      </c>
    </row>
    <row r="219" spans="32:36" x14ac:dyDescent="0.2">
      <c r="AF219" s="24">
        <f>_xll.qlCalendarAdvance(Calendar,AF218,"1d","mf",,Trigger)</f>
        <v>42681</v>
      </c>
      <c r="AG219" s="25">
        <f>_xll.qlDayCounterYearFraction(DayCounter,SettlementDate,AF219,,,Trigger)</f>
        <v>0.8666666666666667</v>
      </c>
      <c r="AH219" s="21">
        <f t="shared" si="23"/>
        <v>5.5767867859704608E-3</v>
      </c>
      <c r="AI219" s="21">
        <f t="shared" si="24"/>
        <v>5.0734554398371061E-3</v>
      </c>
      <c r="AJ219" s="21">
        <f t="shared" si="25"/>
        <v>5.069492371324787E-3</v>
      </c>
    </row>
    <row r="220" spans="32:36" x14ac:dyDescent="0.2">
      <c r="AF220" s="24">
        <f>_xll.qlCalendarAdvance(Calendar,AF219,"1d","mf",,Trigger)</f>
        <v>42682</v>
      </c>
      <c r="AG220" s="25">
        <f>_xll.qlDayCounterYearFraction(DayCounter,SettlementDate,AF220,,,Trigger)</f>
        <v>0.86944444444444446</v>
      </c>
      <c r="AH220" s="21">
        <f t="shared" si="23"/>
        <v>5.5767867859704608E-3</v>
      </c>
      <c r="AI220" s="21">
        <f t="shared" si="24"/>
        <v>5.0695687112955355E-3</v>
      </c>
      <c r="AJ220" s="21">
        <f t="shared" si="25"/>
        <v>5.0646637504678672E-3</v>
      </c>
    </row>
    <row r="221" spans="32:36" x14ac:dyDescent="0.2">
      <c r="AF221" s="24">
        <f>_xll.qlCalendarAdvance(Calendar,AF220,"1d","mf",,Trigger)</f>
        <v>42683</v>
      </c>
      <c r="AG221" s="25">
        <f>_xll.qlDayCounterYearFraction(DayCounter,SettlementDate,AF221,,,Trigger)</f>
        <v>0.87222222222222223</v>
      </c>
      <c r="AH221" s="21">
        <f t="shared" si="23"/>
        <v>5.5767867859704608E-3</v>
      </c>
      <c r="AI221" s="21">
        <f t="shared" si="24"/>
        <v>5.0656819827539657E-3</v>
      </c>
      <c r="AJ221" s="21">
        <f t="shared" si="25"/>
        <v>5.059826700735244E-3</v>
      </c>
    </row>
    <row r="222" spans="32:36" x14ac:dyDescent="0.2">
      <c r="AF222" s="24">
        <f>_xll.qlCalendarAdvance(Calendar,AF221,"1d","mf",,Trigger)</f>
        <v>42684</v>
      </c>
      <c r="AG222" s="25">
        <f>_xll.qlDayCounterYearFraction(DayCounter,SettlementDate,AF222,,,Trigger)</f>
        <v>0.875</v>
      </c>
      <c r="AH222" s="21">
        <f t="shared" si="23"/>
        <v>5.5767867859704608E-3</v>
      </c>
      <c r="AI222" s="21">
        <f t="shared" si="24"/>
        <v>5.0617952542123951E-3</v>
      </c>
      <c r="AJ222" s="21">
        <f t="shared" si="25"/>
        <v>5.0549812221269167E-3</v>
      </c>
    </row>
    <row r="223" spans="32:36" x14ac:dyDescent="0.2">
      <c r="AF223" s="24">
        <f>_xll.qlCalendarAdvance(Calendar,AF222,"1d","mf",,Trigger)</f>
        <v>42685</v>
      </c>
      <c r="AG223" s="25">
        <f>_xll.qlDayCounterYearFraction(DayCounter,SettlementDate,AF223,,,Trigger)</f>
        <v>0.87777777777777777</v>
      </c>
      <c r="AH223" s="21">
        <f t="shared" si="23"/>
        <v>5.5767867859704608E-3</v>
      </c>
      <c r="AI223" s="21">
        <f t="shared" si="24"/>
        <v>5.0579085256708244E-3</v>
      </c>
      <c r="AJ223" s="21">
        <f t="shared" si="25"/>
        <v>5.0501273146428853E-3</v>
      </c>
    </row>
    <row r="224" spans="32:36" x14ac:dyDescent="0.2">
      <c r="AF224" s="24">
        <f>_xll.qlCalendarAdvance(Calendar,AF223,"1d","mf",,Trigger)</f>
        <v>42688</v>
      </c>
      <c r="AG224" s="25">
        <f>_xll.qlDayCounterYearFraction(DayCounter,SettlementDate,AF224,,,Trigger)</f>
        <v>0.88611111111111107</v>
      </c>
      <c r="AH224" s="21">
        <f t="shared" si="23"/>
        <v>5.5767867859704608E-3</v>
      </c>
      <c r="AI224" s="21">
        <f t="shared" si="24"/>
        <v>5.0462483400461142E-3</v>
      </c>
      <c r="AJ224" s="21">
        <f t="shared" si="25"/>
        <v>5.0355150189365667E-3</v>
      </c>
    </row>
    <row r="225" spans="32:36" x14ac:dyDescent="0.2">
      <c r="AF225" s="24">
        <f>_xll.qlCalendarAdvance(Calendar,AF224,"1d","mf",,Trigger)</f>
        <v>42689</v>
      </c>
      <c r="AG225" s="25">
        <f>_xll.qlDayCounterYearFraction(DayCounter,SettlementDate,AF225,,,Trigger)</f>
        <v>0.88888888888888884</v>
      </c>
      <c r="AH225" s="21">
        <f t="shared" si="23"/>
        <v>5.5767867859704608E-3</v>
      </c>
      <c r="AI225" s="21">
        <f t="shared" si="24"/>
        <v>5.0423616115045436E-3</v>
      </c>
      <c r="AJ225" s="21">
        <f t="shared" si="25"/>
        <v>5.0306273959497194E-3</v>
      </c>
    </row>
    <row r="226" spans="32:36" x14ac:dyDescent="0.2">
      <c r="AF226" s="24">
        <f>_xll.qlCalendarAdvance(Calendar,AF225,"1d","mf",,Trigger)</f>
        <v>42690</v>
      </c>
      <c r="AG226" s="25">
        <f>_xll.qlDayCounterYearFraction(DayCounter,SettlementDate,AF226,,,Trigger)</f>
        <v>0.89166666666666672</v>
      </c>
      <c r="AH226" s="21">
        <f t="shared" si="23"/>
        <v>5.5767867859704608E-3</v>
      </c>
      <c r="AI226" s="21">
        <f t="shared" si="24"/>
        <v>5.038474882962973E-3</v>
      </c>
      <c r="AJ226" s="21">
        <f t="shared" si="25"/>
        <v>5.025731344087167E-3</v>
      </c>
    </row>
    <row r="227" spans="32:36" x14ac:dyDescent="0.2">
      <c r="AF227" s="24">
        <f>_xll.qlCalendarAdvance(Calendar,AF226,"1d","mf",,Trigger)</f>
        <v>42691</v>
      </c>
      <c r="AG227" s="25">
        <f>_xll.qlDayCounterYearFraction(DayCounter,SettlementDate,AF227,,,Trigger)</f>
        <v>0.89444444444444449</v>
      </c>
      <c r="AH227" s="21">
        <f t="shared" si="23"/>
        <v>5.5767867859704608E-3</v>
      </c>
      <c r="AI227" s="21">
        <f t="shared" si="24"/>
        <v>5.0345881544214032E-3</v>
      </c>
      <c r="AJ227" s="21">
        <f t="shared" si="25"/>
        <v>5.0208268633489123E-3</v>
      </c>
    </row>
    <row r="228" spans="32:36" x14ac:dyDescent="0.2">
      <c r="AF228" s="24">
        <f>_xll.qlCalendarAdvance(Calendar,AF227,"1d","mf",,Trigger)</f>
        <v>42692</v>
      </c>
      <c r="AG228" s="25">
        <f>_xll.qlDayCounterYearFraction(DayCounter,SettlementDate,AF228,,,Trigger)</f>
        <v>0.89722222222222225</v>
      </c>
      <c r="AH228" s="21">
        <f t="shared" si="23"/>
        <v>5.5767867859704608E-3</v>
      </c>
      <c r="AI228" s="21">
        <f t="shared" si="24"/>
        <v>5.0307014258798325E-3</v>
      </c>
      <c r="AJ228" s="21">
        <f t="shared" si="25"/>
        <v>5.0159139537349524E-3</v>
      </c>
    </row>
    <row r="229" spans="32:36" x14ac:dyDescent="0.2">
      <c r="AF229" s="24">
        <f>_xll.qlCalendarAdvance(Calendar,AF228,"1d","mf",,Trigger)</f>
        <v>42695</v>
      </c>
      <c r="AG229" s="25">
        <f>_xll.qlDayCounterYearFraction(DayCounter,SettlementDate,AF229,,,Trigger)</f>
        <v>0.90555555555555556</v>
      </c>
      <c r="AH229" s="21">
        <f t="shared" si="23"/>
        <v>5.5767867859704608E-3</v>
      </c>
      <c r="AI229" s="21">
        <f t="shared" si="24"/>
        <v>5.0190412402551215E-3</v>
      </c>
      <c r="AJ229" s="21">
        <f t="shared" si="25"/>
        <v>5.0011246516388505E-3</v>
      </c>
    </row>
    <row r="230" spans="32:36" x14ac:dyDescent="0.2">
      <c r="AF230" s="24">
        <f>_xll.qlCalendarAdvance(Calendar,AF229,"1d","mf",,Trigger)</f>
        <v>42696</v>
      </c>
      <c r="AG230" s="25">
        <f>_xll.qlDayCounterYearFraction(DayCounter,SettlementDate,AF230,,,Trigger)</f>
        <v>0.90833333333333333</v>
      </c>
      <c r="AH230" s="21">
        <f t="shared" si="23"/>
        <v>5.5767867859704608E-3</v>
      </c>
      <c r="AI230" s="21">
        <f t="shared" si="24"/>
        <v>5.0151545117135517E-3</v>
      </c>
      <c r="AJ230" s="21">
        <f t="shared" si="25"/>
        <v>4.9961780265220749E-3</v>
      </c>
    </row>
    <row r="231" spans="32:36" x14ac:dyDescent="0.2">
      <c r="AF231" s="24">
        <f>_xll.qlCalendarAdvance(Calendar,AF230,"1d","mf",,Trigger)</f>
        <v>42697</v>
      </c>
      <c r="AG231" s="25">
        <f>_xll.qlDayCounterYearFraction(DayCounter,SettlementDate,AF231,,,Trigger)</f>
        <v>0.91111111111111109</v>
      </c>
      <c r="AH231" s="21">
        <f t="shared" si="23"/>
        <v>5.5767867859704608E-3</v>
      </c>
      <c r="AI231" s="21">
        <f t="shared" si="24"/>
        <v>5.0112677831719811E-3</v>
      </c>
      <c r="AJ231" s="21">
        <f t="shared" si="25"/>
        <v>4.9912229725295959E-3</v>
      </c>
    </row>
    <row r="232" spans="32:36" x14ac:dyDescent="0.2">
      <c r="AF232" s="24">
        <f>_xll.qlCalendarAdvance(Calendar,AF231,"1d","mf",,Trigger)</f>
        <v>42698</v>
      </c>
      <c r="AG232" s="25">
        <f>_xll.qlDayCounterYearFraction(DayCounter,SettlementDate,AF232,,,Trigger)</f>
        <v>0.91388888888888886</v>
      </c>
      <c r="AH232" s="21">
        <f t="shared" si="23"/>
        <v>5.5767867859704608E-3</v>
      </c>
      <c r="AI232" s="21">
        <f t="shared" si="24"/>
        <v>5.0073810546304113E-3</v>
      </c>
      <c r="AJ232" s="21">
        <f t="shared" si="25"/>
        <v>4.9862594896614128E-3</v>
      </c>
    </row>
    <row r="233" spans="32:36" x14ac:dyDescent="0.2">
      <c r="AF233" s="24">
        <f>_xll.qlCalendarAdvance(Calendar,AF232,"1d","mf",,Trigger)</f>
        <v>42699</v>
      </c>
      <c r="AG233" s="25">
        <f>_xll.qlDayCounterYearFraction(DayCounter,SettlementDate,AF233,,,Trigger)</f>
        <v>0.91666666666666663</v>
      </c>
      <c r="AH233" s="21">
        <f t="shared" si="23"/>
        <v>5.5767867859704608E-3</v>
      </c>
      <c r="AI233" s="21">
        <f t="shared" si="24"/>
        <v>5.0034943260888406E-3</v>
      </c>
      <c r="AJ233" s="21">
        <f t="shared" si="25"/>
        <v>4.9812875779175246E-3</v>
      </c>
    </row>
    <row r="234" spans="32:36" x14ac:dyDescent="0.2">
      <c r="AF234" s="24">
        <f>_xll.qlCalendarAdvance(Calendar,AF233,"1d","mf",,Trigger)</f>
        <v>42702</v>
      </c>
      <c r="AG234" s="25">
        <f>_xll.qlDayCounterYearFraction(DayCounter,SettlementDate,AF234,,,Trigger)</f>
        <v>0.92500000000000004</v>
      </c>
      <c r="AH234" s="21">
        <f t="shared" si="23"/>
        <v>5.5767867859704608E-3</v>
      </c>
      <c r="AI234" s="21">
        <f t="shared" si="24"/>
        <v>4.9918341404641296E-3</v>
      </c>
      <c r="AJ234" s="21">
        <f t="shared" si="25"/>
        <v>4.9663212694316386E-3</v>
      </c>
    </row>
    <row r="235" spans="32:36" x14ac:dyDescent="0.2">
      <c r="AF235" s="24">
        <f>_xll.qlCalendarAdvance(Calendar,AF234,"1d","mf",,Trigger)</f>
        <v>42703</v>
      </c>
      <c r="AG235" s="25">
        <f>_xll.qlDayCounterYearFraction(DayCounter,SettlementDate,AF235,,,Trigger)</f>
        <v>0.92777777777777781</v>
      </c>
      <c r="AH235" s="21">
        <f t="shared" si="23"/>
        <v>5.5767867859704608E-3</v>
      </c>
      <c r="AI235" s="21">
        <f t="shared" si="24"/>
        <v>4.9879474119225598E-3</v>
      </c>
      <c r="AJ235" s="21">
        <f t="shared" si="25"/>
        <v>4.9613156421849346E-3</v>
      </c>
    </row>
    <row r="236" spans="32:36" x14ac:dyDescent="0.2">
      <c r="AF236" s="24">
        <f>_xll.qlCalendarAdvance(Calendar,AF235,"1d","mf",,Trigger)</f>
        <v>42704</v>
      </c>
      <c r="AG236" s="25">
        <f>_xll.qlDayCounterYearFraction(DayCounter,SettlementDate,AF236,,,Trigger)</f>
        <v>0.93055555555555558</v>
      </c>
      <c r="AH236" s="21">
        <f t="shared" si="23"/>
        <v>5.5767867859704608E-3</v>
      </c>
      <c r="AI236" s="21">
        <f t="shared" si="24"/>
        <v>4.9840606833809892E-3</v>
      </c>
      <c r="AJ236" s="21">
        <f t="shared" si="25"/>
        <v>4.9563015860625273E-3</v>
      </c>
    </row>
    <row r="237" spans="32:36" x14ac:dyDescent="0.2">
      <c r="AF237" s="24">
        <f>_xll.qlCalendarAdvance(Calendar,AF236,"1d","mf",,Trigger)</f>
        <v>42705</v>
      </c>
      <c r="AG237" s="25">
        <f>_xll.qlDayCounterYearFraction(DayCounter,SettlementDate,AF237,,,Trigger)</f>
        <v>0.93333333333333335</v>
      </c>
      <c r="AH237" s="21">
        <f t="shared" si="23"/>
        <v>5.5767867859704608E-3</v>
      </c>
      <c r="AI237" s="21">
        <f t="shared" si="24"/>
        <v>4.9801739548394185E-3</v>
      </c>
      <c r="AJ237" s="21">
        <f t="shared" si="25"/>
        <v>4.9512791010644158E-3</v>
      </c>
    </row>
    <row r="238" spans="32:36" x14ac:dyDescent="0.2">
      <c r="AF238" s="24">
        <f>_xll.qlCalendarAdvance(Calendar,AF237,"1d","mf",,Trigger)</f>
        <v>42706</v>
      </c>
      <c r="AG238" s="25">
        <f>_xll.qlDayCounterYearFraction(DayCounter,SettlementDate,AF238,,,Trigger)</f>
        <v>0.93611111111111112</v>
      </c>
      <c r="AH238" s="21">
        <f t="shared" si="23"/>
        <v>5.5767867859704608E-3</v>
      </c>
      <c r="AI238" s="21">
        <f t="shared" si="24"/>
        <v>4.9762872262978488E-3</v>
      </c>
      <c r="AJ238" s="21">
        <f t="shared" si="25"/>
        <v>4.946248187190601E-3</v>
      </c>
    </row>
    <row r="239" spans="32:36" x14ac:dyDescent="0.2">
      <c r="AF239" s="24">
        <f>_xll.qlCalendarAdvance(Calendar,AF238,"1d","mf",,Trigger)</f>
        <v>42709</v>
      </c>
      <c r="AG239" s="25">
        <f>_xll.qlDayCounterYearFraction(DayCounter,SettlementDate,AF239,,,Trigger)</f>
        <v>0.94444444444444442</v>
      </c>
      <c r="AH239" s="21">
        <f t="shared" si="23"/>
        <v>5.5767867859704608E-3</v>
      </c>
      <c r="AI239" s="21">
        <f t="shared" si="24"/>
        <v>4.9646270406731377E-3</v>
      </c>
      <c r="AJ239" s="21">
        <f t="shared" si="25"/>
        <v>4.9311048723149299E-3</v>
      </c>
    </row>
    <row r="240" spans="32:36" x14ac:dyDescent="0.2">
      <c r="AF240" s="24">
        <f>_xll.qlCalendarAdvance(Calendar,AF239,"1d","mf",,Trigger)</f>
        <v>42710</v>
      </c>
      <c r="AG240" s="25">
        <f>_xll.qlDayCounterYearFraction(DayCounter,SettlementDate,AF240,,,Trigger)</f>
        <v>0.94722222222222219</v>
      </c>
      <c r="AH240" s="21">
        <f t="shared" si="23"/>
        <v>5.5767867859704608E-3</v>
      </c>
      <c r="AI240" s="21">
        <f t="shared" si="24"/>
        <v>4.9607403121315671E-3</v>
      </c>
      <c r="AJ240" s="21">
        <f t="shared" si="25"/>
        <v>4.9260402429382993E-3</v>
      </c>
    </row>
    <row r="241" spans="32:36" x14ac:dyDescent="0.2">
      <c r="AF241" s="24">
        <f>_xll.qlCalendarAdvance(Calendar,AF240,"1d","mf",,Trigger)</f>
        <v>42711</v>
      </c>
      <c r="AG241" s="25">
        <f>_xll.qlDayCounterYearFraction(DayCounter,SettlementDate,AF241,,,Trigger)</f>
        <v>0.95</v>
      </c>
      <c r="AH241" s="21">
        <f t="shared" si="23"/>
        <v>5.5767867859704608E-3</v>
      </c>
      <c r="AI241" s="21">
        <f t="shared" si="24"/>
        <v>4.9568535835899973E-3</v>
      </c>
      <c r="AJ241" s="21">
        <f t="shared" si="25"/>
        <v>4.9209671846859628E-3</v>
      </c>
    </row>
    <row r="242" spans="32:36" x14ac:dyDescent="0.2">
      <c r="AF242" s="24">
        <f>_xll.qlCalendarAdvance(Calendar,AF241,"1d","mf",,Trigger)</f>
        <v>42712</v>
      </c>
      <c r="AG242" s="25">
        <f>_xll.qlDayCounterYearFraction(DayCounter,SettlementDate,AF242,,,Trigger)</f>
        <v>0.95277777777777772</v>
      </c>
      <c r="AH242" s="21">
        <f t="shared" si="23"/>
        <v>5.5767867859704608E-3</v>
      </c>
      <c r="AI242" s="21">
        <f t="shared" si="24"/>
        <v>4.9529668550484266E-3</v>
      </c>
      <c r="AJ242" s="21">
        <f t="shared" si="25"/>
        <v>4.9158856975579238E-3</v>
      </c>
    </row>
    <row r="243" spans="32:36" x14ac:dyDescent="0.2">
      <c r="AF243" s="24">
        <f>_xll.qlCalendarAdvance(Calendar,AF242,"1d","mf",,Trigger)</f>
        <v>42713</v>
      </c>
      <c r="AG243" s="25">
        <f>_xll.qlDayCounterYearFraction(DayCounter,SettlementDate,AF243,,,Trigger)</f>
        <v>0.9555555555555556</v>
      </c>
      <c r="AH243" s="21">
        <f t="shared" si="23"/>
        <v>5.5767867859704608E-3</v>
      </c>
      <c r="AI243" s="21">
        <f t="shared" si="24"/>
        <v>4.9490801265068569E-3</v>
      </c>
      <c r="AJ243" s="21">
        <f t="shared" si="25"/>
        <v>4.9107957815541798E-3</v>
      </c>
    </row>
    <row r="244" spans="32:36" x14ac:dyDescent="0.2">
      <c r="AF244" s="24">
        <f>_xll.qlCalendarAdvance(Calendar,AF243,"1d","mf",,Trigger)</f>
        <v>42716</v>
      </c>
      <c r="AG244" s="25">
        <f>_xll.qlDayCounterYearFraction(DayCounter,SettlementDate,AF244,,,Trigger)</f>
        <v>0.96388888888888891</v>
      </c>
      <c r="AH244" s="21">
        <f t="shared" si="23"/>
        <v>5.5767867859704608E-3</v>
      </c>
      <c r="AI244" s="21">
        <f t="shared" si="24"/>
        <v>4.9374199408821458E-3</v>
      </c>
      <c r="AJ244" s="21">
        <f t="shared" si="25"/>
        <v>4.8954754602887254E-3</v>
      </c>
    </row>
    <row r="245" spans="32:36" x14ac:dyDescent="0.2">
      <c r="AF245" s="24">
        <f>_xll.qlCalendarAdvance(Calendar,AF244,"1d","mf",,Trigger)</f>
        <v>42717</v>
      </c>
      <c r="AG245" s="25">
        <f>_xll.qlDayCounterYearFraction(DayCounter,SettlementDate,AF245,,,Trigger)</f>
        <v>0.96666666666666667</v>
      </c>
      <c r="AH245" s="21">
        <f t="shared" si="23"/>
        <v>5.5767867859704608E-3</v>
      </c>
      <c r="AI245" s="21">
        <f t="shared" si="24"/>
        <v>4.9335332123405752E-3</v>
      </c>
      <c r="AJ245" s="21">
        <f t="shared" si="25"/>
        <v>4.8903518287821664E-3</v>
      </c>
    </row>
    <row r="246" spans="32:36" x14ac:dyDescent="0.2">
      <c r="AF246" s="24">
        <f>_xll.qlCalendarAdvance(Calendar,AF245,"1d","mf",,Trigger)</f>
        <v>42718</v>
      </c>
      <c r="AG246" s="25">
        <f>_xll.qlDayCounterYearFraction(DayCounter,SettlementDate,AF246,,,Trigger)</f>
        <v>0.96944444444444444</v>
      </c>
      <c r="AH246" s="21">
        <f t="shared" si="23"/>
        <v>5.5767867859704608E-3</v>
      </c>
      <c r="AI246" s="21">
        <f t="shared" si="24"/>
        <v>4.9296464837990054E-3</v>
      </c>
      <c r="AJ246" s="21">
        <f t="shared" si="25"/>
        <v>4.8852197683999033E-3</v>
      </c>
    </row>
    <row r="247" spans="32:36" x14ac:dyDescent="0.2">
      <c r="AF247" s="24">
        <f>_xll.qlCalendarAdvance(Calendar,AF246,"1d","mf",,Trigger)</f>
        <v>42719</v>
      </c>
      <c r="AG247" s="25">
        <f>_xll.qlDayCounterYearFraction(DayCounter,SettlementDate,AF247,,,Trigger)</f>
        <v>0.97222222222222221</v>
      </c>
      <c r="AH247" s="21">
        <f t="shared" si="23"/>
        <v>5.5767867859704608E-3</v>
      </c>
      <c r="AI247" s="21">
        <f t="shared" si="24"/>
        <v>4.9257597552574348E-3</v>
      </c>
      <c r="AJ247" s="21">
        <f t="shared" si="25"/>
        <v>4.8800792791419351E-3</v>
      </c>
    </row>
    <row r="248" spans="32:36" x14ac:dyDescent="0.2">
      <c r="AF248" s="24">
        <f>_xll.qlCalendarAdvance(Calendar,AF247,"1d","mf",,Trigger)</f>
        <v>42720</v>
      </c>
      <c r="AG248" s="25">
        <f>_xll.qlDayCounterYearFraction(DayCounter,SettlementDate,AF248,,,Trigger)</f>
        <v>0.97499999999999998</v>
      </c>
      <c r="AH248" s="21">
        <f t="shared" si="23"/>
        <v>5.5767867859704608E-3</v>
      </c>
      <c r="AI248" s="21">
        <f t="shared" si="24"/>
        <v>4.9218730267158641E-3</v>
      </c>
      <c r="AJ248" s="21">
        <f t="shared" si="25"/>
        <v>4.8749303610082636E-3</v>
      </c>
    </row>
    <row r="249" spans="32:36" x14ac:dyDescent="0.2">
      <c r="AF249" s="24">
        <f>_xll.qlCalendarAdvance(Calendar,AF248,"1d","mf",,Trigger)</f>
        <v>42723</v>
      </c>
      <c r="AG249" s="25">
        <f>_xll.qlDayCounterYearFraction(DayCounter,SettlementDate,AF249,,,Trigger)</f>
        <v>0.98333333333333328</v>
      </c>
      <c r="AH249" s="21">
        <f t="shared" si="23"/>
        <v>5.5767867859704608E-3</v>
      </c>
      <c r="AI249" s="21">
        <f t="shared" si="24"/>
        <v>4.9102128410911539E-3</v>
      </c>
      <c r="AJ249" s="21">
        <f t="shared" si="25"/>
        <v>4.8594330333530259E-3</v>
      </c>
    </row>
    <row r="250" spans="32:36" x14ac:dyDescent="0.2">
      <c r="AF250" s="24">
        <f>_xll.qlCalendarAdvance(Calendar,AF249,"1d","mf",,Trigger)</f>
        <v>42724</v>
      </c>
      <c r="AG250" s="25">
        <f>_xll.qlDayCounterYearFraction(DayCounter,SettlementDate,AF250,,,Trigger)</f>
        <v>0.98611111111111116</v>
      </c>
      <c r="AH250" s="21">
        <f t="shared" si="23"/>
        <v>5.5767867859704608E-3</v>
      </c>
      <c r="AI250" s="21">
        <f t="shared" si="24"/>
        <v>4.9063261125495833E-3</v>
      </c>
      <c r="AJ250" s="21">
        <f t="shared" si="25"/>
        <v>4.8542503997165377E-3</v>
      </c>
    </row>
    <row r="251" spans="32:36" x14ac:dyDescent="0.2">
      <c r="AF251" s="24">
        <f>_xll.qlCalendarAdvance(Calendar,AF250,"1d","mf",,Trigger)</f>
        <v>42725</v>
      </c>
      <c r="AG251" s="25">
        <f>_xll.qlDayCounterYearFraction(DayCounter,SettlementDate,AF251,,,Trigger)</f>
        <v>0.98888888888888893</v>
      </c>
      <c r="AH251" s="21">
        <f t="shared" si="23"/>
        <v>5.5767867859704608E-3</v>
      </c>
      <c r="AI251" s="21">
        <f t="shared" si="24"/>
        <v>4.9024393840080126E-3</v>
      </c>
      <c r="AJ251" s="21">
        <f t="shared" si="25"/>
        <v>4.8490593372043471E-3</v>
      </c>
    </row>
    <row r="252" spans="32:36" x14ac:dyDescent="0.2">
      <c r="AF252" s="24">
        <f>_xll.qlCalendarAdvance(Calendar,AF251,"1d","mf",,Trigger)</f>
        <v>42726</v>
      </c>
      <c r="AG252" s="25">
        <f>_xll.qlDayCounterYearFraction(DayCounter,SettlementDate,AF252,,,Trigger)</f>
        <v>0.9916666666666667</v>
      </c>
      <c r="AH252" s="21">
        <f t="shared" si="23"/>
        <v>5.5767867859704608E-3</v>
      </c>
      <c r="AI252" s="21">
        <f t="shared" si="24"/>
        <v>4.8985526554664429E-3</v>
      </c>
      <c r="AJ252" s="21">
        <f t="shared" si="25"/>
        <v>4.8438598458164514E-3</v>
      </c>
    </row>
    <row r="253" spans="32:36" x14ac:dyDescent="0.2">
      <c r="AF253" s="184">
        <f>_xll.qlCalendarAdvance(Calendar,AF252,"1d","mf",,Trigger)</f>
        <v>42727</v>
      </c>
      <c r="AG253" s="180">
        <f>_xll.qlDayCounterYearFraction(DayCounter,SettlementDate,AF253,,,Trigger)</f>
        <v>0.99444444444444446</v>
      </c>
      <c r="AH253" s="26">
        <f t="shared" si="23"/>
        <v>5.5767867859704608E-3</v>
      </c>
      <c r="AI253" s="26">
        <f t="shared" si="24"/>
        <v>4.8946659269248722E-3</v>
      </c>
      <c r="AJ253" s="26">
        <f t="shared" si="25"/>
        <v>4.8386519255528516E-3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workbookViewId="0">
      <selection activeCell="A2" sqref="A2"/>
    </sheetView>
  </sheetViews>
  <sheetFormatPr defaultRowHeight="11.25" outlineLevelRow="1" x14ac:dyDescent="0.2"/>
  <cols>
    <col min="1" max="1" width="4.33203125" style="115" customWidth="1"/>
    <col min="2" max="2" width="7.83203125" style="115" customWidth="1"/>
    <col min="3" max="3" width="36.6640625" style="115" bestFit="1" customWidth="1"/>
    <col min="4" max="4" width="35.83203125" style="115" customWidth="1"/>
    <col min="5" max="5" width="25.6640625" style="115" customWidth="1"/>
    <col min="6" max="6" width="4.33203125" style="115" customWidth="1"/>
    <col min="7" max="7" width="7.83203125" style="115" customWidth="1"/>
    <col min="8" max="8" width="10.5" style="115" bestFit="1" customWidth="1"/>
    <col min="9" max="9" width="3.1640625" style="115" customWidth="1"/>
    <col min="10" max="10" width="10.5" style="115" bestFit="1" customWidth="1"/>
    <col min="11" max="11" width="3.1640625" style="115" customWidth="1"/>
    <col min="12" max="12" width="11.6640625" style="115" bestFit="1" customWidth="1"/>
    <col min="13" max="13" width="10.5" style="115" bestFit="1" customWidth="1"/>
    <col min="14" max="14" width="5.83203125" style="115" customWidth="1"/>
    <col min="15" max="16384" width="9.33203125" style="114"/>
  </cols>
  <sheetData>
    <row r="1" spans="1:14" x14ac:dyDescent="0.2">
      <c r="A1" s="237"/>
      <c r="B1" s="40"/>
      <c r="C1" s="40"/>
      <c r="D1" s="238"/>
      <c r="E1" s="238"/>
      <c r="F1" s="239"/>
      <c r="G1" s="240"/>
      <c r="H1" s="240"/>
      <c r="I1" s="239"/>
      <c r="J1" s="239"/>
      <c r="K1" s="239"/>
      <c r="L1" s="240"/>
      <c r="M1" s="40"/>
      <c r="N1" s="241"/>
    </row>
    <row r="2" spans="1:14" s="354" customFormat="1" ht="22.5" customHeight="1" x14ac:dyDescent="0.2">
      <c r="A2" s="120"/>
      <c r="B2" s="120"/>
      <c r="C2" s="120" t="s">
        <v>184</v>
      </c>
      <c r="D2" s="120" t="s">
        <v>185</v>
      </c>
      <c r="E2" s="120" t="s">
        <v>83</v>
      </c>
      <c r="F2" s="352"/>
      <c r="G2" s="253"/>
      <c r="H2" s="275" t="s">
        <v>46</v>
      </c>
      <c r="I2" s="352"/>
      <c r="J2" s="267" t="s">
        <v>47</v>
      </c>
      <c r="K2" s="352"/>
      <c r="L2" s="253" t="s">
        <v>48</v>
      </c>
      <c r="M2" s="254" t="s">
        <v>49</v>
      </c>
      <c r="N2" s="353">
        <f>_xll.ohTrigger(M3:M7)</f>
        <v>7</v>
      </c>
    </row>
    <row r="3" spans="1:14" x14ac:dyDescent="0.2">
      <c r="A3" s="300">
        <v>1</v>
      </c>
      <c r="B3" s="301" t="s">
        <v>50</v>
      </c>
      <c r="C3" s="302" t="str">
        <f t="shared" ref="C3" si="0">Currency&amp;$B3&amp;"_SYNTH"&amp;Tenor1M&amp;QuoteSuffix</f>
        <v>USDSND_SYNTH1M_Quote</v>
      </c>
      <c r="D3" s="302" t="str">
        <f>_xll.qlSimpleQuote(C3,,RateTickValue,Permanent,EvaluationDate,ObjectOverwrite)</f>
        <v>USDSND_SYNTH1M_Quote#0001</v>
      </c>
      <c r="E3" s="302" t="str">
        <f>_xll.ohRangeRetrieveError(D3)</f>
        <v/>
      </c>
      <c r="F3" s="4"/>
      <c r="G3" s="276" t="s">
        <v>50</v>
      </c>
      <c r="H3" s="277">
        <f>'1MSynthDepo'!C23</f>
        <v>4.0414600725013905E-3</v>
      </c>
      <c r="I3" s="5" t="s">
        <v>51</v>
      </c>
      <c r="J3" s="268">
        <v>2.6013065703889282E-3</v>
      </c>
      <c r="K3" s="4"/>
      <c r="L3" s="255">
        <f t="array" ref="L3:L84">QuoteLive</f>
        <v>4.0414600725013905E-3</v>
      </c>
      <c r="M3" s="256" t="e">
        <f>_xll.qlSimpleQuoteSetValue(D3,ROUND($L3,6),EvaluationDate)</f>
        <v>#N/A</v>
      </c>
      <c r="N3" s="242"/>
    </row>
    <row r="4" spans="1:14" x14ac:dyDescent="0.2">
      <c r="A4" s="293" t="str">
        <f>_xll.qlPeriodEquivalent(Months1M&amp;"M")</f>
        <v>1M</v>
      </c>
      <c r="B4" s="299" t="s">
        <v>52</v>
      </c>
      <c r="C4" s="116" t="str">
        <f t="shared" ref="C4:C7" si="1">Currency&amp;$B4&amp;"_SYNTH"&amp;Tenor1M&amp;QuoteSuffix</f>
        <v>USDSWD_SYNTH1M_Quote</v>
      </c>
      <c r="D4" s="116" t="str">
        <f>_xll.qlSimpleQuote(C4,,RateTickValue,Permanent,EvaluationDate,ObjectOverwrite)</f>
        <v>USDSWD_SYNTH1M_Quote#0001</v>
      </c>
      <c r="E4" s="116" t="str">
        <f>_xll.ohRangeRetrieveError(D4)</f>
        <v/>
      </c>
      <c r="F4" s="4"/>
      <c r="G4" s="276" t="s">
        <v>52</v>
      </c>
      <c r="H4" s="277">
        <f>'1MSynthDepo'!C24</f>
        <v>3.9279685805000087E-3</v>
      </c>
      <c r="I4" s="5" t="s">
        <v>51</v>
      </c>
      <c r="J4" s="268">
        <v>1.8614842000402071E-3</v>
      </c>
      <c r="K4" s="4"/>
      <c r="L4" s="255">
        <v>3.9279685805000087E-3</v>
      </c>
      <c r="M4" s="256" t="e">
        <f>_xll.qlSimpleQuoteSetValue(D4,ROUND($L4,6),EvaluationDate)</f>
        <v>#N/A</v>
      </c>
      <c r="N4" s="242"/>
    </row>
    <row r="5" spans="1:14" x14ac:dyDescent="0.2">
      <c r="A5" s="294"/>
      <c r="B5" s="299" t="s">
        <v>53</v>
      </c>
      <c r="C5" s="116" t="str">
        <f t="shared" si="1"/>
        <v>USD2WD_SYNTH1M_Quote</v>
      </c>
      <c r="D5" s="116" t="str">
        <f>_xll.qlSimpleQuote(C5,,RateTickValue,Permanent,EvaluationDate,ObjectOverwrite)</f>
        <v>USD2WD_SYNTH1M_Quote#0001</v>
      </c>
      <c r="E5" s="116" t="str">
        <f>_xll.ohRangeRetrieveError(D5)</f>
        <v/>
      </c>
      <c r="F5" s="4"/>
      <c r="G5" s="276" t="s">
        <v>53</v>
      </c>
      <c r="H5" s="277">
        <f>'1MSynthDepo'!C25</f>
        <v>4.0995051472395416E-3</v>
      </c>
      <c r="I5" s="5" t="s">
        <v>51</v>
      </c>
      <c r="J5" s="268">
        <v>1.8706376411538525E-3</v>
      </c>
      <c r="K5" s="4"/>
      <c r="L5" s="255">
        <v>4.0995051472395416E-3</v>
      </c>
      <c r="M5" s="256" t="e">
        <f>_xll.qlSimpleQuoteSetValue(D5,ROUND($L5,6),EvaluationDate)</f>
        <v>#N/A</v>
      </c>
      <c r="N5" s="242"/>
    </row>
    <row r="6" spans="1:14" x14ac:dyDescent="0.2">
      <c r="A6" s="294"/>
      <c r="B6" s="299" t="s">
        <v>54</v>
      </c>
      <c r="C6" s="116" t="str">
        <f t="shared" si="1"/>
        <v>USD3WD_SYNTH1M_Quote</v>
      </c>
      <c r="D6" s="116" t="str">
        <f>_xll.qlSimpleQuote(C6,,RateTickValue,Permanent,EvaluationDate,ObjectOverwrite)</f>
        <v>USD3WD_SYNTH1M_Quote#0001</v>
      </c>
      <c r="E6" s="116" t="str">
        <f>_xll.ohRangeRetrieveError(D6)</f>
        <v/>
      </c>
      <c r="F6" s="4"/>
      <c r="G6" s="278" t="s">
        <v>54</v>
      </c>
      <c r="H6" s="277">
        <f>'1MSynthDepo'!C26</f>
        <v>4.129369704179351E-3</v>
      </c>
      <c r="I6" s="5" t="s">
        <v>51</v>
      </c>
      <c r="J6" s="269">
        <v>1.889099435753597E-3</v>
      </c>
      <c r="K6" s="4"/>
      <c r="L6" s="257">
        <v>4.129369704179351E-3</v>
      </c>
      <c r="M6" s="258" t="e">
        <f>_xll.qlSimpleQuoteSetValue(D6,ROUND($L6,6),EvaluationDate)</f>
        <v>#N/A</v>
      </c>
      <c r="N6" s="242"/>
    </row>
    <row r="7" spans="1:14" x14ac:dyDescent="0.2">
      <c r="A7" s="305"/>
      <c r="B7" s="303" t="s">
        <v>55</v>
      </c>
      <c r="C7" s="140" t="str">
        <f t="shared" si="1"/>
        <v>USD1MD_SYNTH1M_Quote</v>
      </c>
      <c r="D7" s="140" t="str">
        <f>_xll.qlSimpleQuote(C7,,RateTickValue,Permanent,EvaluationDate,ObjectOverwrite)</f>
        <v>USD1MD_SYNTH1M_Quote#0001</v>
      </c>
      <c r="E7" s="140" t="str">
        <f>_xll.ohRangeRetrieveError(D7)</f>
        <v/>
      </c>
      <c r="F7" s="4"/>
      <c r="G7" s="276" t="s">
        <v>55</v>
      </c>
      <c r="H7" s="283">
        <f>'1MSynthDepo'!C27</f>
        <v>4.2160000000007166E-3</v>
      </c>
      <c r="I7" s="5" t="s">
        <v>51</v>
      </c>
      <c r="J7" s="274">
        <v>1.941000000000026E-3</v>
      </c>
      <c r="K7" s="4"/>
      <c r="L7" s="255">
        <v>4.2160000000007166E-3</v>
      </c>
      <c r="M7" s="256" t="e">
        <f>_xll.qlSimpleQuoteSetValue(D7,ROUND($L7,6),EvaluationDate)</f>
        <v>#N/A</v>
      </c>
      <c r="N7" s="252"/>
    </row>
    <row r="8" spans="1:14" x14ac:dyDescent="0.2">
      <c r="A8" s="304">
        <v>3</v>
      </c>
      <c r="B8" s="301" t="s">
        <v>50</v>
      </c>
      <c r="C8" s="302" t="str">
        <f t="shared" ref="C8:C14" si="2">Currency&amp;$B8&amp;"_SYNTH"&amp;Tenor3M&amp;QuoteSuffix</f>
        <v>USDSND_SYNTH3M_Quote</v>
      </c>
      <c r="D8" s="302" t="str">
        <f>_xll.qlSimpleQuote(C8,,RateTickValue,Permanent,EvaluationDate,ObjectOverwrite)</f>
        <v>USDSND_SYNTH3M_Quote#0001</v>
      </c>
      <c r="E8" s="302"/>
      <c r="F8" s="6"/>
      <c r="G8" s="282" t="s">
        <v>50</v>
      </c>
      <c r="H8" s="283">
        <f>'3MSynthDepo'!C25</f>
        <v>5.5626295646105106E-3</v>
      </c>
      <c r="I8" s="7"/>
      <c r="J8" s="270">
        <v>3.7181295389743241E-3</v>
      </c>
      <c r="K8" s="6"/>
      <c r="L8" s="259">
        <v>5.5626295646105106E-3</v>
      </c>
      <c r="M8" s="260" t="e">
        <f>_xll.qlSimpleQuoteSetValue(D8,ROUND($L8,6),EvaluationDate)</f>
        <v>#N/A</v>
      </c>
      <c r="N8" s="243">
        <f>_xll.ohTrigger(M8:M14)</f>
        <v>7</v>
      </c>
    </row>
    <row r="9" spans="1:14" x14ac:dyDescent="0.2">
      <c r="A9" s="304" t="str">
        <f>_xll.qlPeriodEquivalent(Months3M&amp;"M")</f>
        <v>3M</v>
      </c>
      <c r="B9" s="299" t="s">
        <v>52</v>
      </c>
      <c r="C9" s="116" t="str">
        <f t="shared" si="2"/>
        <v>USDSWD_SYNTH3M_Quote</v>
      </c>
      <c r="D9" s="116" t="str">
        <f>_xll.qlSimpleQuote(C9,,RateTickValue,Permanent,EvaluationDate,ObjectOverwrite)</f>
        <v>USDSWD_SYNTH3M_Quote#0001</v>
      </c>
      <c r="E9" s="116"/>
      <c r="F9" s="6"/>
      <c r="G9" s="279" t="s">
        <v>52</v>
      </c>
      <c r="H9" s="277">
        <f>'3MSynthDepo'!C26</f>
        <v>5.4488583733368146E-3</v>
      </c>
      <c r="I9" s="7"/>
      <c r="J9" s="268">
        <v>2.9630408701602257E-3</v>
      </c>
      <c r="K9" s="6"/>
      <c r="L9" s="255">
        <v>5.4488583733368146E-3</v>
      </c>
      <c r="M9" s="256" t="e">
        <f>_xll.qlSimpleQuoteSetValue(D9,ROUND($L9,6),EvaluationDate)</f>
        <v>#N/A</v>
      </c>
      <c r="N9" s="242"/>
    </row>
    <row r="10" spans="1:14" x14ac:dyDescent="0.2">
      <c r="A10" s="244"/>
      <c r="B10" s="299" t="s">
        <v>53</v>
      </c>
      <c r="C10" s="116" t="str">
        <f t="shared" si="2"/>
        <v>USD2WD_SYNTH3M_Quote</v>
      </c>
      <c r="D10" s="116" t="str">
        <f>_xll.qlSimpleQuote(C10,,RateTickValue,Permanent,EvaluationDate,ObjectOverwrite)</f>
        <v>USD2WD_SYNTH3M_Quote#0001</v>
      </c>
      <c r="E10" s="116"/>
      <c r="F10" s="6"/>
      <c r="G10" s="279" t="s">
        <v>53</v>
      </c>
      <c r="H10" s="277">
        <f>'3MSynthDepo'!C27</f>
        <v>5.6197535831316514E-3</v>
      </c>
      <c r="I10" s="7"/>
      <c r="J10" s="268">
        <v>2.9553125351654075E-3</v>
      </c>
      <c r="K10" s="6"/>
      <c r="L10" s="255">
        <v>5.6197535831316514E-3</v>
      </c>
      <c r="M10" s="256" t="e">
        <f>_xll.qlSimpleQuoteSetValue(D10,ROUND($L10,6),EvaluationDate)</f>
        <v>#N/A</v>
      </c>
      <c r="N10" s="242"/>
    </row>
    <row r="11" spans="1:14" x14ac:dyDescent="0.2">
      <c r="A11" s="244"/>
      <c r="B11" s="299" t="s">
        <v>54</v>
      </c>
      <c r="C11" s="116" t="str">
        <f t="shared" si="2"/>
        <v>USD3WD_SYNTH3M_Quote</v>
      </c>
      <c r="D11" s="116" t="str">
        <f>_xll.qlSimpleQuote(C11,,RateTickValue,Permanent,EvaluationDate,ObjectOverwrite)</f>
        <v>USD3WD_SYNTH3M_Quote#0001</v>
      </c>
      <c r="E11" s="116"/>
      <c r="F11" s="6"/>
      <c r="G11" s="280" t="s">
        <v>54</v>
      </c>
      <c r="H11" s="281">
        <f>'3MSynthDepo'!C28</f>
        <v>5.6489696739868223E-3</v>
      </c>
      <c r="I11" s="7"/>
      <c r="J11" s="269">
        <v>2.957890741665129E-3</v>
      </c>
      <c r="K11" s="6"/>
      <c r="L11" s="257">
        <v>5.6489696739868223E-3</v>
      </c>
      <c r="M11" s="258" t="e">
        <f>_xll.qlSimpleQuoteSetValue(D11,ROUND($L11,6),EvaluationDate)</f>
        <v>#N/A</v>
      </c>
      <c r="N11" s="242"/>
    </row>
    <row r="12" spans="1:14" x14ac:dyDescent="0.2">
      <c r="A12" s="244"/>
      <c r="B12" s="299" t="s">
        <v>55</v>
      </c>
      <c r="C12" s="116" t="str">
        <f t="shared" si="2"/>
        <v>USD1MD_SYNTH3M_Quote</v>
      </c>
      <c r="D12" s="116" t="str">
        <f>_xll.qlSimpleQuote(C12,,RateTickValue,Permanent,EvaluationDate,ObjectOverwrite)</f>
        <v>USD1MD_SYNTH3M_Quote#0001</v>
      </c>
      <c r="E12" s="116"/>
      <c r="F12" s="6"/>
      <c r="G12" s="279" t="s">
        <v>55</v>
      </c>
      <c r="H12" s="277">
        <f>'3MSynthDepo'!C29</f>
        <v>5.7348617063521711E-3</v>
      </c>
      <c r="I12" s="7"/>
      <c r="J12" s="268">
        <v>2.9868502222504811E-3</v>
      </c>
      <c r="K12" s="6"/>
      <c r="L12" s="255">
        <v>5.7348617063521711E-3</v>
      </c>
      <c r="M12" s="256" t="e">
        <f>_xll.qlSimpleQuoteSetValue(D12,ROUND($L12,6),EvaluationDate)</f>
        <v>#N/A</v>
      </c>
      <c r="N12" s="242"/>
    </row>
    <row r="13" spans="1:14" x14ac:dyDescent="0.2">
      <c r="A13" s="244"/>
      <c r="B13" s="299" t="s">
        <v>56</v>
      </c>
      <c r="C13" s="116" t="str">
        <f t="shared" si="2"/>
        <v>USD2MD_SYNTH3M_Quote</v>
      </c>
      <c r="D13" s="116" t="str">
        <f>_xll.qlSimpleQuote(C13,,RateTickValue,Permanent,EvaluationDate,ObjectOverwrite)</f>
        <v>USD2MD_SYNTH3M_Quote#0001</v>
      </c>
      <c r="E13" s="116"/>
      <c r="F13" s="6"/>
      <c r="G13" s="279" t="s">
        <v>56</v>
      </c>
      <c r="H13" s="277">
        <f>'3MSynthDepo'!C30</f>
        <v>5.8429831503197249E-3</v>
      </c>
      <c r="I13" s="7"/>
      <c r="J13" s="268">
        <v>3.0113661132728626E-3</v>
      </c>
      <c r="K13" s="6"/>
      <c r="L13" s="255">
        <v>5.8429831503197249E-3</v>
      </c>
      <c r="M13" s="256" t="e">
        <f>_xll.qlSimpleQuoteSetValue(D13,ROUND($L13,6),EvaluationDate)</f>
        <v>#N/A</v>
      </c>
      <c r="N13" s="242"/>
    </row>
    <row r="14" spans="1:14" x14ac:dyDescent="0.2">
      <c r="A14" s="244"/>
      <c r="B14" s="303" t="s">
        <v>57</v>
      </c>
      <c r="C14" s="140" t="str">
        <f t="shared" si="2"/>
        <v>USD3MD_SYNTH3M_Quote</v>
      </c>
      <c r="D14" s="140" t="str">
        <f>_xll.qlSimpleQuote(C14,,RateTickValue,Permanent,EvaluationDate,ObjectOverwrite)</f>
        <v>USD3MD_SYNTH3M_Quote#0001</v>
      </c>
      <c r="E14" s="140"/>
      <c r="F14" s="6"/>
      <c r="G14" s="280" t="s">
        <v>57</v>
      </c>
      <c r="H14" s="281">
        <f>'3MSynthDepo'!C31</f>
        <v>6.0309999999997492E-3</v>
      </c>
      <c r="I14" s="7"/>
      <c r="J14" s="269">
        <v>3.1799999999996328E-3</v>
      </c>
      <c r="K14" s="6"/>
      <c r="L14" s="257">
        <v>6.0309999999997492E-3</v>
      </c>
      <c r="M14" s="258" t="e">
        <f>_xll.qlSimpleQuoteSetValue(D14,ROUND($L14,6),EvaluationDate)</f>
        <v>#N/A</v>
      </c>
      <c r="N14" s="242"/>
    </row>
    <row r="15" spans="1:14" x14ac:dyDescent="0.2">
      <c r="A15" s="304">
        <v>6</v>
      </c>
      <c r="B15" s="301" t="s">
        <v>50</v>
      </c>
      <c r="C15" s="302" t="str">
        <f t="shared" ref="C15:C24" si="3">Currency&amp;$B15&amp;"_SYNTH"&amp;Tenor6M&amp;QuoteSuffix</f>
        <v>USDSND_SYNTH6M_Quote</v>
      </c>
      <c r="D15" s="302" t="str">
        <f>_xll.qlSimpleQuote(C15,,RateTickValue,Permanent,EvaluationDate,ObjectOverwrite)</f>
        <v>USDSND_SYNTH6M_Quote#0001</v>
      </c>
      <c r="E15" s="302" t="str">
        <f>_xll.ohRangeRetrieveError(D15)</f>
        <v/>
      </c>
      <c r="F15" s="6"/>
      <c r="G15" s="282" t="s">
        <v>50</v>
      </c>
      <c r="H15" s="283">
        <f>'6MSynthDepo'!C28</f>
        <v>6.4790812938153586E-3</v>
      </c>
      <c r="I15" s="7"/>
      <c r="J15" s="270">
        <v>5.8838085270362939E-3</v>
      </c>
      <c r="K15" s="6"/>
      <c r="L15" s="259">
        <v>6.4790812938153586E-3</v>
      </c>
      <c r="M15" s="260" t="e">
        <f>_xll.qlSimpleQuoteSetValue(D15,ROUND($L15,6),EvaluationDate)</f>
        <v>#N/A</v>
      </c>
      <c r="N15" s="245">
        <f>_xll.ohTrigger(M15:M24)</f>
        <v>7</v>
      </c>
    </row>
    <row r="16" spans="1:14" x14ac:dyDescent="0.2">
      <c r="A16" s="304" t="str">
        <f>_xll.qlPeriodEquivalent(Months6M&amp;"M")</f>
        <v>6M</v>
      </c>
      <c r="B16" s="299" t="s">
        <v>52</v>
      </c>
      <c r="C16" s="116" t="str">
        <f t="shared" si="3"/>
        <v>USDSWD_SYNTH6M_Quote</v>
      </c>
      <c r="D16" s="116" t="str">
        <f>_xll.qlSimpleQuote(C16,,RateTickValue,Permanent,EvaluationDate,ObjectOverwrite)</f>
        <v>USDSWD_SYNTH6M_Quote#0001</v>
      </c>
      <c r="E16" s="116" t="str">
        <f>_xll.ohRangeRetrieveError(D16)</f>
        <v/>
      </c>
      <c r="F16" s="6"/>
      <c r="G16" s="279" t="s">
        <v>52</v>
      </c>
      <c r="H16" s="277">
        <f>'6MSynthDepo'!C29</f>
        <v>6.3869716462290017E-3</v>
      </c>
      <c r="I16" s="7"/>
      <c r="J16" s="268">
        <v>5.0993747188294537E-3</v>
      </c>
      <c r="K16" s="6"/>
      <c r="L16" s="255">
        <v>6.3869716462290017E-3</v>
      </c>
      <c r="M16" s="256" t="e">
        <f>_xll.qlSimpleQuoteSetValue(D16,ROUND($L16,6),EvaluationDate)</f>
        <v>#N/A</v>
      </c>
      <c r="N16" s="246"/>
    </row>
    <row r="17" spans="1:14" x14ac:dyDescent="0.2">
      <c r="A17" s="295"/>
      <c r="B17" s="299" t="s">
        <v>53</v>
      </c>
      <c r="C17" s="116" t="str">
        <f t="shared" si="3"/>
        <v>USD2WD_SYNTH6M_Quote</v>
      </c>
      <c r="D17" s="116" t="str">
        <f>_xll.qlSimpleQuote(C17,,RateTickValue,Permanent,EvaluationDate,ObjectOverwrite)</f>
        <v>USD2WD_SYNTH6M_Quote#0001</v>
      </c>
      <c r="E17" s="116" t="str">
        <f>_xll.ohRangeRetrieveError(D17)</f>
        <v/>
      </c>
      <c r="F17" s="2"/>
      <c r="G17" s="279" t="s">
        <v>53</v>
      </c>
      <c r="H17" s="277">
        <f>'6MSynthDepo'!C30</f>
        <v>6.6070222238742305E-3</v>
      </c>
      <c r="I17" s="7"/>
      <c r="J17" s="268">
        <v>5.0583545255244999E-3</v>
      </c>
      <c r="K17" s="6"/>
      <c r="L17" s="255">
        <v>6.6070222238742305E-3</v>
      </c>
      <c r="M17" s="256" t="e">
        <f>_xll.qlSimpleQuoteSetValue(D17,ROUND($L17,6),EvaluationDate)</f>
        <v>#N/A</v>
      </c>
      <c r="N17" s="246"/>
    </row>
    <row r="18" spans="1:14" x14ac:dyDescent="0.2">
      <c r="A18" s="244"/>
      <c r="B18" s="299" t="s">
        <v>54</v>
      </c>
      <c r="C18" s="116" t="str">
        <f t="shared" si="3"/>
        <v>USD3WD_SYNTH6M_Quote</v>
      </c>
      <c r="D18" s="116" t="str">
        <f>_xll.qlSimpleQuote(C18,,RateTickValue,Permanent,EvaluationDate,ObjectOverwrite)</f>
        <v>USD3WD_SYNTH6M_Quote#0001</v>
      </c>
      <c r="E18" s="116" t="str">
        <f>_xll.ohRangeRetrieveError(D18)</f>
        <v/>
      </c>
      <c r="F18" s="2"/>
      <c r="G18" s="279" t="s">
        <v>54</v>
      </c>
      <c r="H18" s="277">
        <f>'6MSynthDepo'!C31</f>
        <v>6.6834356473106328E-3</v>
      </c>
      <c r="I18" s="7"/>
      <c r="J18" s="268">
        <v>5.028653598886379E-3</v>
      </c>
      <c r="K18" s="6"/>
      <c r="L18" s="255">
        <v>6.6834356473106328E-3</v>
      </c>
      <c r="M18" s="256" t="e">
        <f>_xll.qlSimpleQuoteSetValue(D18,ROUND($L18,6),EvaluationDate)</f>
        <v>#N/A</v>
      </c>
      <c r="N18" s="246"/>
    </row>
    <row r="19" spans="1:14" x14ac:dyDescent="0.2">
      <c r="A19" s="244"/>
      <c r="B19" s="299" t="s">
        <v>55</v>
      </c>
      <c r="C19" s="116" t="str">
        <f t="shared" si="3"/>
        <v>USD1MD_SYNTH6M_Quote</v>
      </c>
      <c r="D19" s="116" t="str">
        <f>_xll.qlSimpleQuote(C19,,RateTickValue,Permanent,EvaluationDate,ObjectOverwrite)</f>
        <v>USD1MD_SYNTH6M_Quote#0001</v>
      </c>
      <c r="E19" s="116" t="str">
        <f>_xll.ohRangeRetrieveError(D19)</f>
        <v/>
      </c>
      <c r="F19" s="2"/>
      <c r="G19" s="282" t="s">
        <v>55</v>
      </c>
      <c r="H19" s="283">
        <f>'6MSynthDepo'!C32</f>
        <v>6.8208770133984806E-3</v>
      </c>
      <c r="I19" s="62"/>
      <c r="J19" s="270">
        <v>5.008939286938463E-3</v>
      </c>
      <c r="K19" s="63"/>
      <c r="L19" s="259">
        <v>6.8208770133984806E-3</v>
      </c>
      <c r="M19" s="260" t="e">
        <f>_xll.qlSimpleQuoteSetValue(D19,ROUND($L19,6),EvaluationDate)</f>
        <v>#N/A</v>
      </c>
      <c r="N19" s="246"/>
    </row>
    <row r="20" spans="1:14" x14ac:dyDescent="0.2">
      <c r="A20" s="244"/>
      <c r="B20" s="299" t="s">
        <v>56</v>
      </c>
      <c r="C20" s="116" t="str">
        <f t="shared" si="3"/>
        <v>USD2MD_SYNTH6M_Quote</v>
      </c>
      <c r="D20" s="116" t="str">
        <f>_xll.qlSimpleQuote(C20,,RateTickValue,Permanent,EvaluationDate,ObjectOverwrite)</f>
        <v>USD2MD_SYNTH6M_Quote#0001</v>
      </c>
      <c r="E20" s="116" t="str">
        <f>_xll.ohRangeRetrieveError(D20)</f>
        <v/>
      </c>
      <c r="F20" s="2"/>
      <c r="G20" s="279" t="s">
        <v>56</v>
      </c>
      <c r="H20" s="277">
        <f>'6MSynthDepo'!C33</f>
        <v>7.1045909280709196E-3</v>
      </c>
      <c r="I20" s="7"/>
      <c r="J20" s="268">
        <v>4.9171255634054122E-3</v>
      </c>
      <c r="K20" s="6"/>
      <c r="L20" s="255">
        <v>7.1045909280709196E-3</v>
      </c>
      <c r="M20" s="256" t="e">
        <f>_xll.qlSimpleQuoteSetValue(D20,ROUND($L20,6),EvaluationDate)</f>
        <v>#N/A</v>
      </c>
      <c r="N20" s="246"/>
    </row>
    <row r="21" spans="1:14" x14ac:dyDescent="0.2">
      <c r="A21" s="244"/>
      <c r="B21" s="299" t="s">
        <v>57</v>
      </c>
      <c r="C21" s="116" t="str">
        <f t="shared" si="3"/>
        <v>USD3MD_SYNTH6M_Quote</v>
      </c>
      <c r="D21" s="116" t="str">
        <f>_xll.qlSimpleQuote(C21,,RateTickValue,Permanent,EvaluationDate,ObjectOverwrite)</f>
        <v>USD3MD_SYNTH6M_Quote#0001</v>
      </c>
      <c r="E21" s="116" t="str">
        <f>_xll.ohRangeRetrieveError(D21)</f>
        <v/>
      </c>
      <c r="F21" s="2"/>
      <c r="G21" s="279" t="s">
        <v>57</v>
      </c>
      <c r="H21" s="277">
        <f>'6MSynthDepo'!C34</f>
        <v>7.4297965179292141E-3</v>
      </c>
      <c r="I21" s="7"/>
      <c r="J21" s="268">
        <v>4.9807313704000244E-3</v>
      </c>
      <c r="K21" s="6"/>
      <c r="L21" s="255">
        <v>7.4297965179292141E-3</v>
      </c>
      <c r="M21" s="256" t="e">
        <f>_xll.qlSimpleQuoteSetValue(D21,ROUND($L21,6),EvaluationDate)</f>
        <v>#N/A</v>
      </c>
      <c r="N21" s="246"/>
    </row>
    <row r="22" spans="1:14" x14ac:dyDescent="0.2">
      <c r="A22" s="244"/>
      <c r="B22" s="299" t="s">
        <v>58</v>
      </c>
      <c r="C22" s="116" t="str">
        <f t="shared" si="3"/>
        <v>USD4MD_SYNTH6M_Quote</v>
      </c>
      <c r="D22" s="116" t="str">
        <f>_xll.qlSimpleQuote(C22,,RateTickValue,Permanent,EvaluationDate,ObjectOverwrite)</f>
        <v>USD4MD_SYNTH6M_Quote#0001</v>
      </c>
      <c r="E22" s="116" t="str">
        <f>_xll.ohRangeRetrieveError(D22)</f>
        <v/>
      </c>
      <c r="F22" s="2"/>
      <c r="G22" s="279" t="s">
        <v>58</v>
      </c>
      <c r="H22" s="277">
        <f>'6MSynthDepo'!C35</f>
        <v>7.7910397614087135E-3</v>
      </c>
      <c r="I22" s="7"/>
      <c r="J22" s="268">
        <v>5.0503342942548185E-3</v>
      </c>
      <c r="K22" s="6"/>
      <c r="L22" s="255">
        <v>7.7910397614087135E-3</v>
      </c>
      <c r="M22" s="256" t="e">
        <f>_xll.qlSimpleQuoteSetValue(D22,ROUND($L22,6),EvaluationDate)</f>
        <v>#N/A</v>
      </c>
      <c r="N22" s="246"/>
    </row>
    <row r="23" spans="1:14" x14ac:dyDescent="0.2">
      <c r="A23" s="244"/>
      <c r="B23" s="299" t="s">
        <v>59</v>
      </c>
      <c r="C23" s="116" t="str">
        <f t="shared" si="3"/>
        <v>USD5MD_SYNTH6M_Quote</v>
      </c>
      <c r="D23" s="116" t="str">
        <f>_xll.qlSimpleQuote(C23,,RateTickValue,Permanent,EvaluationDate,ObjectOverwrite)</f>
        <v>USD5MD_SYNTH6M_Quote#0001</v>
      </c>
      <c r="E23" s="116" t="str">
        <f>_xll.ohRangeRetrieveError(D23)</f>
        <v/>
      </c>
      <c r="F23" s="2"/>
      <c r="G23" s="279" t="s">
        <v>59</v>
      </c>
      <c r="H23" s="277">
        <f>'6MSynthDepo'!C36</f>
        <v>8.0589096830777814E-3</v>
      </c>
      <c r="I23" s="7"/>
      <c r="J23" s="268">
        <v>5.1299740935001632E-3</v>
      </c>
      <c r="K23" s="6"/>
      <c r="L23" s="255">
        <v>8.0589096830777814E-3</v>
      </c>
      <c r="M23" s="256" t="e">
        <f>_xll.qlSimpleQuoteSetValue(D23,ROUND($L23,6),EvaluationDate)</f>
        <v>#N/A</v>
      </c>
      <c r="N23" s="246"/>
    </row>
    <row r="24" spans="1:14" x14ac:dyDescent="0.2">
      <c r="A24" s="244"/>
      <c r="B24" s="303" t="s">
        <v>60</v>
      </c>
      <c r="C24" s="140" t="str">
        <f t="shared" si="3"/>
        <v>USD6MD_SYNTH6M_Quote</v>
      </c>
      <c r="D24" s="140" t="str">
        <f>_xll.qlSimpleQuote(C24,,RateTickValue,Permanent,EvaluationDate,ObjectOverwrite)</f>
        <v>USD6MD_SYNTH6M_Quote#0001</v>
      </c>
      <c r="E24" s="140" t="str">
        <f>_xll.ohRangeRetrieveError(D24)</f>
        <v/>
      </c>
      <c r="F24" s="2"/>
      <c r="G24" s="280" t="s">
        <v>60</v>
      </c>
      <c r="H24" s="281">
        <f>'6MSynthDepo'!C37</f>
        <v>8.2750000000000792E-3</v>
      </c>
      <c r="I24" s="7"/>
      <c r="J24" s="269">
        <v>5.2499999999999951E-3</v>
      </c>
      <c r="K24" s="6"/>
      <c r="L24" s="257">
        <v>8.2750000000000792E-3</v>
      </c>
      <c r="M24" s="258" t="e">
        <f>_xll.qlSimpleQuoteSetValue(D24,ROUND($L24,6),EvaluationDate)</f>
        <v>#N/A</v>
      </c>
      <c r="N24" s="246"/>
    </row>
    <row r="25" spans="1:14" x14ac:dyDescent="0.2">
      <c r="A25" s="304">
        <v>12</v>
      </c>
      <c r="B25" s="301" t="s">
        <v>50</v>
      </c>
      <c r="C25" s="302" t="str">
        <f t="shared" ref="C25:C40" si="4">Currency&amp;$B25&amp;"_SYNTH"&amp;Tenor12M&amp;QuoteSuffix</f>
        <v>USDSND_SYNTH1Y_Quote</v>
      </c>
      <c r="D25" s="302" t="str">
        <f>_xll.qlSimpleQuote(C25,,RateTickValue,Permanent,EvaluationDate,ObjectOverwrite)</f>
        <v>USDSND_SYNTH1Y_Quote#0001</v>
      </c>
      <c r="E25" s="302" t="str">
        <f>_xll.ohRangeRetrieveError(D25)</f>
        <v/>
      </c>
      <c r="F25" s="6"/>
      <c r="G25" s="292" t="s">
        <v>50</v>
      </c>
      <c r="H25" s="283">
        <f>'1YSynthDepo'!C34</f>
        <v>9.4635832171729994E-3</v>
      </c>
      <c r="I25" s="7"/>
      <c r="J25" s="270">
        <v>1.1023926894857539E-2</v>
      </c>
      <c r="K25" s="6"/>
      <c r="L25" s="259">
        <v>9.4635832171729994E-3</v>
      </c>
      <c r="M25" s="260" t="e">
        <f>_xll.qlSimpleQuoteSetValue(D25,ROUND($L25,6),EvaluationDate)</f>
        <v>#N/A</v>
      </c>
      <c r="N25" s="245">
        <f>_xll.ohTrigger(M25:M40)</f>
        <v>7</v>
      </c>
    </row>
    <row r="26" spans="1:14" x14ac:dyDescent="0.2">
      <c r="A26" s="304" t="str">
        <f>_xll.qlPeriodEquivalent(Months12M&amp;"M")</f>
        <v>1Y</v>
      </c>
      <c r="B26" s="299" t="s">
        <v>52</v>
      </c>
      <c r="C26" s="116" t="str">
        <f t="shared" si="4"/>
        <v>USDSWD_SYNTH1Y_Quote</v>
      </c>
      <c r="D26" s="116" t="str">
        <f>_xll.qlSimpleQuote(C26,,RateTickValue,Permanent,EvaluationDate,ObjectOverwrite)</f>
        <v>USDSWD_SYNTH1Y_Quote#0001</v>
      </c>
      <c r="E26" s="116" t="str">
        <f>_xll.ohRangeRetrieveError(D26)</f>
        <v/>
      </c>
      <c r="F26" s="6"/>
      <c r="G26" s="284" t="s">
        <v>52</v>
      </c>
      <c r="H26" s="277">
        <f>'1YSynthDepo'!C35</f>
        <v>9.3491307014824179E-3</v>
      </c>
      <c r="I26" s="7"/>
      <c r="J26" s="268">
        <v>1.0215943544597142E-2</v>
      </c>
      <c r="K26" s="6"/>
      <c r="L26" s="255">
        <v>9.3491307014824179E-3</v>
      </c>
      <c r="M26" s="256" t="e">
        <f>_xll.qlSimpleQuoteSetValue(D26,ROUND($L26,6),EvaluationDate)</f>
        <v>#N/A</v>
      </c>
      <c r="N26" s="246"/>
    </row>
    <row r="27" spans="1:14" x14ac:dyDescent="0.2">
      <c r="A27" s="244"/>
      <c r="B27" s="299" t="s">
        <v>53</v>
      </c>
      <c r="C27" s="116" t="str">
        <f t="shared" si="4"/>
        <v>USD2WD_SYNTH1Y_Quote</v>
      </c>
      <c r="D27" s="116" t="str">
        <f>_xll.qlSimpleQuote(C27,,RateTickValue,Permanent,EvaluationDate,ObjectOverwrite)</f>
        <v>USD2WD_SYNTH1Y_Quote#0001</v>
      </c>
      <c r="E27" s="116" t="str">
        <f>_xll.ohRangeRetrieveError(D27)</f>
        <v/>
      </c>
      <c r="F27" s="2"/>
      <c r="G27" s="284" t="s">
        <v>53</v>
      </c>
      <c r="H27" s="277">
        <f>'1YSynthDepo'!C36</f>
        <v>9.518109047974883E-3</v>
      </c>
      <c r="I27" s="7"/>
      <c r="J27" s="268">
        <v>1.0146212892698792E-2</v>
      </c>
      <c r="K27" s="6"/>
      <c r="L27" s="255">
        <v>9.518109047974883E-3</v>
      </c>
      <c r="M27" s="256" t="e">
        <f>_xll.qlSimpleQuoteSetValue(D27,ROUND($L27,6),EvaluationDate)</f>
        <v>#N/A</v>
      </c>
      <c r="N27" s="246"/>
    </row>
    <row r="28" spans="1:14" x14ac:dyDescent="0.2">
      <c r="A28" s="244"/>
      <c r="B28" s="299" t="s">
        <v>54</v>
      </c>
      <c r="C28" s="116" t="str">
        <f t="shared" si="4"/>
        <v>USD3WD_SYNTH1Y_Quote</v>
      </c>
      <c r="D28" s="116" t="str">
        <f>_xll.qlSimpleQuote(C28,,RateTickValue,Permanent,EvaluationDate,ObjectOverwrite)</f>
        <v>USD3WD_SYNTH1Y_Quote#0001</v>
      </c>
      <c r="E28" s="116" t="str">
        <f>_xll.ohRangeRetrieveError(D28)</f>
        <v/>
      </c>
      <c r="F28" s="2"/>
      <c r="G28" s="285" t="s">
        <v>54</v>
      </c>
      <c r="H28" s="281">
        <f>'1YSynthDepo'!C37</f>
        <v>9.544891388366037E-3</v>
      </c>
      <c r="I28" s="7"/>
      <c r="J28" s="269">
        <v>1.0086459773745051E-2</v>
      </c>
      <c r="K28" s="6"/>
      <c r="L28" s="257">
        <v>9.544891388366037E-3</v>
      </c>
      <c r="M28" s="258" t="e">
        <f>_xll.qlSimpleQuoteSetValue(D28,ROUND($L28,6),EvaluationDate)</f>
        <v>#N/A</v>
      </c>
      <c r="N28" s="246"/>
    </row>
    <row r="29" spans="1:14" x14ac:dyDescent="0.2">
      <c r="A29" s="244"/>
      <c r="B29" s="299" t="s">
        <v>55</v>
      </c>
      <c r="C29" s="116" t="str">
        <f t="shared" si="4"/>
        <v>USD1MD_SYNTH1Y_Quote</v>
      </c>
      <c r="D29" s="116" t="str">
        <f>_xll.qlSimpleQuote(C29,,RateTickValue,Permanent,EvaluationDate,ObjectOverwrite)</f>
        <v>USD1MD_SYNTH1Y_Quote#0001</v>
      </c>
      <c r="E29" s="116" t="str">
        <f>_xll.ohRangeRetrieveError(D29)</f>
        <v/>
      </c>
      <c r="F29" s="2"/>
      <c r="G29" s="284" t="s">
        <v>55</v>
      </c>
      <c r="H29" s="277">
        <f>'1YSynthDepo'!C38</f>
        <v>9.6273983011914369E-3</v>
      </c>
      <c r="I29" s="7"/>
      <c r="J29" s="268">
        <v>1.0016817993758198E-2</v>
      </c>
      <c r="K29" s="6"/>
      <c r="L29" s="255">
        <v>9.6273983011914369E-3</v>
      </c>
      <c r="M29" s="256" t="e">
        <f>_xll.qlSimpleQuoteSetValue(D29,ROUND($L29,6),EvaluationDate)</f>
        <v>#N/A</v>
      </c>
      <c r="N29" s="246"/>
    </row>
    <row r="30" spans="1:14" x14ac:dyDescent="0.2">
      <c r="A30" s="244"/>
      <c r="B30" s="299" t="s">
        <v>56</v>
      </c>
      <c r="C30" s="116" t="str">
        <f t="shared" si="4"/>
        <v>USD2MD_SYNTH1Y_Quote</v>
      </c>
      <c r="D30" s="116" t="str">
        <f>_xll.qlSimpleQuote(C30,,RateTickValue,Permanent,EvaluationDate,ObjectOverwrite)</f>
        <v>USD2MD_SYNTH1Y_Quote#0001</v>
      </c>
      <c r="E30" s="116" t="str">
        <f>_xll.ohRangeRetrieveError(D30)</f>
        <v/>
      </c>
      <c r="F30" s="2"/>
      <c r="G30" s="284" t="s">
        <v>56</v>
      </c>
      <c r="H30" s="277">
        <f>'1YSynthDepo'!C39</f>
        <v>9.716086242857358E-3</v>
      </c>
      <c r="I30" s="7"/>
      <c r="J30" s="268">
        <v>9.7774627836170313E-3</v>
      </c>
      <c r="K30" s="6"/>
      <c r="L30" s="255">
        <v>9.716086242857358E-3</v>
      </c>
      <c r="M30" s="256" t="e">
        <f>_xll.qlSimpleQuoteSetValue(D30,ROUND($L30,6),EvaluationDate)</f>
        <v>#N/A</v>
      </c>
      <c r="N30" s="245"/>
    </row>
    <row r="31" spans="1:14" x14ac:dyDescent="0.2">
      <c r="A31" s="244"/>
      <c r="B31" s="299" t="s">
        <v>57</v>
      </c>
      <c r="C31" s="116" t="str">
        <f t="shared" si="4"/>
        <v>USD3MD_SYNTH1Y_Quote</v>
      </c>
      <c r="D31" s="116" t="str">
        <f>_xll.qlSimpleQuote(C31,,RateTickValue,Permanent,EvaluationDate,ObjectOverwrite)</f>
        <v>USD3MD_SYNTH1Y_Quote#0001</v>
      </c>
      <c r="E31" s="116" t="str">
        <f>_xll.ohRangeRetrieveError(D31)</f>
        <v/>
      </c>
      <c r="F31" s="2"/>
      <c r="G31" s="284" t="s">
        <v>57</v>
      </c>
      <c r="H31" s="277">
        <f>'1YSynthDepo'!C40</f>
        <v>9.8747671980144187E-3</v>
      </c>
      <c r="I31" s="7"/>
      <c r="J31" s="268">
        <v>9.6580101032196358E-3</v>
      </c>
      <c r="K31" s="6"/>
      <c r="L31" s="255">
        <v>9.8747671980144187E-3</v>
      </c>
      <c r="M31" s="256" t="e">
        <f>_xll.qlSimpleQuoteSetValue(D31,ROUND($L31,6),EvaluationDate)</f>
        <v>#N/A</v>
      </c>
      <c r="N31" s="246"/>
    </row>
    <row r="32" spans="1:14" x14ac:dyDescent="0.2">
      <c r="A32" s="244"/>
      <c r="B32" s="299" t="s">
        <v>58</v>
      </c>
      <c r="C32" s="116" t="str">
        <f t="shared" si="4"/>
        <v>USD4MD_SYNTH1Y_Quote</v>
      </c>
      <c r="D32" s="116" t="str">
        <f>_xll.qlSimpleQuote(C32,,RateTickValue,Permanent,EvaluationDate,ObjectOverwrite)</f>
        <v>USD4MD_SYNTH1Y_Quote#0001</v>
      </c>
      <c r="E32" s="116" t="str">
        <f>_xll.ohRangeRetrieveError(D32)</f>
        <v/>
      </c>
      <c r="F32" s="2"/>
      <c r="G32" s="284" t="s">
        <v>58</v>
      </c>
      <c r="H32" s="277">
        <f>'1YSynthDepo'!C41</f>
        <v>1.0106115225836598E-2</v>
      </c>
      <c r="I32" s="7"/>
      <c r="J32" s="268">
        <v>9.5182436363890708E-3</v>
      </c>
      <c r="K32" s="6"/>
      <c r="L32" s="255">
        <v>1.0106115225836598E-2</v>
      </c>
      <c r="M32" s="256" t="e">
        <f>_xll.qlSimpleQuoteSetValue(D32,ROUND($L32,6),EvaluationDate)</f>
        <v>#N/A</v>
      </c>
      <c r="N32" s="246"/>
    </row>
    <row r="33" spans="1:14" x14ac:dyDescent="0.2">
      <c r="A33" s="244"/>
      <c r="B33" s="299" t="s">
        <v>59</v>
      </c>
      <c r="C33" s="116" t="str">
        <f t="shared" si="4"/>
        <v>USD5MD_SYNTH1Y_Quote</v>
      </c>
      <c r="D33" s="116" t="str">
        <f>_xll.qlSimpleQuote(C33,,RateTickValue,Permanent,EvaluationDate,ObjectOverwrite)</f>
        <v>USD5MD_SYNTH1Y_Quote#0001</v>
      </c>
      <c r="E33" s="116" t="str">
        <f>_xll.ohRangeRetrieveError(D33)</f>
        <v/>
      </c>
      <c r="F33" s="6"/>
      <c r="G33" s="284" t="s">
        <v>59</v>
      </c>
      <c r="H33" s="277">
        <f>'1YSynthDepo'!C42</f>
        <v>1.0259600920790327E-2</v>
      </c>
      <c r="I33" s="7"/>
      <c r="J33" s="268">
        <v>9.3781730292544947E-3</v>
      </c>
      <c r="K33" s="6"/>
      <c r="L33" s="255">
        <v>1.0259600920790327E-2</v>
      </c>
      <c r="M33" s="256" t="e">
        <f>_xll.qlSimpleQuoteSetValue(D33,ROUND($L33,6),EvaluationDate)</f>
        <v>#N/A</v>
      </c>
      <c r="N33" s="246"/>
    </row>
    <row r="34" spans="1:14" x14ac:dyDescent="0.2">
      <c r="A34" s="244"/>
      <c r="B34" s="299" t="s">
        <v>60</v>
      </c>
      <c r="C34" s="116" t="str">
        <f t="shared" si="4"/>
        <v>USD6MD_SYNTH1Y_Quote</v>
      </c>
      <c r="D34" s="116" t="str">
        <f>_xll.qlSimpleQuote(C34,,RateTickValue,Permanent,EvaluationDate,ObjectOverwrite)</f>
        <v>USD6MD_SYNTH1Y_Quote#0001</v>
      </c>
      <c r="E34" s="116" t="str">
        <f>_xll.ohRangeRetrieveError(D34)</f>
        <v/>
      </c>
      <c r="F34" s="6"/>
      <c r="G34" s="284" t="s">
        <v>60</v>
      </c>
      <c r="H34" s="277">
        <f>'1YSynthDepo'!C43</f>
        <v>1.039614425768825E-2</v>
      </c>
      <c r="I34" s="7"/>
      <c r="J34" s="268">
        <v>9.2378425364880185E-3</v>
      </c>
      <c r="K34" s="6"/>
      <c r="L34" s="255">
        <v>1.039614425768825E-2</v>
      </c>
      <c r="M34" s="256" t="e">
        <f>_xll.qlSimpleQuoteSetValue(D34,ROUND($L34,6),EvaluationDate)</f>
        <v>#N/A</v>
      </c>
      <c r="N34" s="246"/>
    </row>
    <row r="35" spans="1:14" x14ac:dyDescent="0.2">
      <c r="A35" s="244"/>
      <c r="B35" s="299" t="s">
        <v>61</v>
      </c>
      <c r="C35" s="116" t="str">
        <f t="shared" si="4"/>
        <v>USD7MD_SYNTH1Y_Quote</v>
      </c>
      <c r="D35" s="116" t="str">
        <f>_xll.qlSimpleQuote(C35,,RateTickValue,Permanent,EvaluationDate,ObjectOverwrite)</f>
        <v>USD7MD_SYNTH1Y_Quote#0001</v>
      </c>
      <c r="E35" s="116" t="str">
        <f>_xll.ohRangeRetrieveError(D35)</f>
        <v/>
      </c>
      <c r="F35" s="6"/>
      <c r="G35" s="284" t="s">
        <v>61</v>
      </c>
      <c r="H35" s="277">
        <f>'1YSynthDepo'!C44</f>
        <v>1.0524258390704748E-2</v>
      </c>
      <c r="I35" s="7"/>
      <c r="J35" s="268">
        <v>9.0871790878708884E-3</v>
      </c>
      <c r="K35" s="6"/>
      <c r="L35" s="255">
        <v>1.0524258390704748E-2</v>
      </c>
      <c r="M35" s="256" t="e">
        <f>_xll.qlSimpleQuoteSetValue(D35,ROUND($L35,6),EvaluationDate)</f>
        <v>#N/A</v>
      </c>
      <c r="N35" s="246"/>
    </row>
    <row r="36" spans="1:14" x14ac:dyDescent="0.2">
      <c r="A36" s="244"/>
      <c r="B36" s="299" t="s">
        <v>62</v>
      </c>
      <c r="C36" s="116" t="str">
        <f t="shared" si="4"/>
        <v>USD8MD_SYNTH1Y_Quote</v>
      </c>
      <c r="D36" s="116" t="str">
        <f>_xll.qlSimpleQuote(C36,,RateTickValue,Permanent,EvaluationDate,ObjectOverwrite)</f>
        <v>USD8MD_SYNTH1Y_Quote#0001</v>
      </c>
      <c r="E36" s="116" t="str">
        <f>_xll.ohRangeRetrieveError(D36)</f>
        <v/>
      </c>
      <c r="F36" s="6"/>
      <c r="G36" s="284" t="s">
        <v>62</v>
      </c>
      <c r="H36" s="277">
        <f>'1YSynthDepo'!C45</f>
        <v>1.073317721841419E-2</v>
      </c>
      <c r="I36" s="7"/>
      <c r="J36" s="268">
        <v>8.9362277581101195E-3</v>
      </c>
      <c r="K36" s="6"/>
      <c r="L36" s="255">
        <v>1.073317721841419E-2</v>
      </c>
      <c r="M36" s="256" t="e">
        <f>_xll.qlSimpleQuoteSetValue(D36,ROUND($L36,6),EvaluationDate)</f>
        <v>#N/A</v>
      </c>
      <c r="N36" s="246"/>
    </row>
    <row r="37" spans="1:14" x14ac:dyDescent="0.2">
      <c r="A37" s="296"/>
      <c r="B37" s="299" t="s">
        <v>63</v>
      </c>
      <c r="C37" s="116" t="str">
        <f t="shared" si="4"/>
        <v>USD9MD_SYNTH1Y_Quote</v>
      </c>
      <c r="D37" s="116" t="str">
        <f>_xll.qlSimpleQuote(C37,,RateTickValue,Permanent,EvaluationDate,ObjectOverwrite)</f>
        <v>USD9MD_SYNTH1Y_Quote#0001</v>
      </c>
      <c r="E37" s="116" t="str">
        <f>_xll.ohRangeRetrieveError(D37)</f>
        <v/>
      </c>
      <c r="F37" s="6"/>
      <c r="G37" s="284" t="s">
        <v>63</v>
      </c>
      <c r="H37" s="277">
        <f>'1YSynthDepo'!C46</f>
        <v>1.0902091496481922E-2</v>
      </c>
      <c r="I37" s="7"/>
      <c r="J37" s="268">
        <v>8.7950368170252105E-3</v>
      </c>
      <c r="K37" s="6"/>
      <c r="L37" s="255">
        <v>1.0902091496481922E-2</v>
      </c>
      <c r="M37" s="256" t="e">
        <f>_xll.qlSimpleQuoteSetValue(D37,ROUND($L37,6),EvaluationDate)</f>
        <v>#N/A</v>
      </c>
      <c r="N37" s="246"/>
    </row>
    <row r="38" spans="1:14" x14ac:dyDescent="0.2">
      <c r="A38" s="297"/>
      <c r="B38" s="299" t="s">
        <v>64</v>
      </c>
      <c r="C38" s="116" t="str">
        <f t="shared" si="4"/>
        <v>USD10MD_SYNTH1Y_Quote</v>
      </c>
      <c r="D38" s="116" t="str">
        <f>_xll.qlSimpleQuote(C38,,RateTickValue,Permanent,EvaluationDate,ObjectOverwrite)</f>
        <v>USD10MD_SYNTH1Y_Quote#0001</v>
      </c>
      <c r="E38" s="116" t="str">
        <f>_xll.ohRangeRetrieveError(D38)</f>
        <v/>
      </c>
      <c r="F38" s="6"/>
      <c r="G38" s="284" t="s">
        <v>64</v>
      </c>
      <c r="H38" s="277">
        <f>'1YSynthDepo'!C47</f>
        <v>1.1117105569412061E-2</v>
      </c>
      <c r="I38" s="7"/>
      <c r="J38" s="268">
        <v>8.6535335549023113E-3</v>
      </c>
      <c r="K38" s="6"/>
      <c r="L38" s="255">
        <v>1.1117105569412061E-2</v>
      </c>
      <c r="M38" s="256" t="e">
        <f>_xll.qlSimpleQuoteSetValue(D38,ROUND($L38,6),EvaluationDate)</f>
        <v>#N/A</v>
      </c>
      <c r="N38" s="246"/>
    </row>
    <row r="39" spans="1:14" x14ac:dyDescent="0.2">
      <c r="A39" s="244"/>
      <c r="B39" s="299" t="s">
        <v>65</v>
      </c>
      <c r="C39" s="116" t="str">
        <f t="shared" si="4"/>
        <v>USD11MD_SYNTH1Y_Quote</v>
      </c>
      <c r="D39" s="116" t="str">
        <f>_xll.qlSimpleQuote(C39,,RateTickValue,Permanent,EvaluationDate,ObjectOverwrite)</f>
        <v>USD11MD_SYNTH1Y_Quote#0001</v>
      </c>
      <c r="E39" s="116" t="str">
        <f>_xll.ohRangeRetrieveError(D39)</f>
        <v/>
      </c>
      <c r="F39" s="6"/>
      <c r="G39" s="284" t="s">
        <v>65</v>
      </c>
      <c r="H39" s="277">
        <f>'1YSynthDepo'!C48</f>
        <v>1.1253332807654002E-2</v>
      </c>
      <c r="I39" s="7"/>
      <c r="J39" s="268">
        <v>8.501677595791346E-3</v>
      </c>
      <c r="K39" s="6"/>
      <c r="L39" s="255">
        <v>1.1253332807654002E-2</v>
      </c>
      <c r="M39" s="256" t="e">
        <f>_xll.qlSimpleQuoteSetValue(D39,ROUND($L39,6),EvaluationDate)</f>
        <v>#N/A</v>
      </c>
      <c r="N39" s="246"/>
    </row>
    <row r="40" spans="1:14" x14ac:dyDescent="0.2">
      <c r="A40" s="247"/>
      <c r="B40" s="303" t="s">
        <v>66</v>
      </c>
      <c r="C40" s="140" t="str">
        <f t="shared" si="4"/>
        <v>USD1YD_SYNTH1Y_Quote</v>
      </c>
      <c r="D40" s="140" t="str">
        <f>_xll.qlSimpleQuote(C40,,RateTickValue,Permanent,EvaluationDate,ObjectOverwrite)</f>
        <v>USD1YD_SYNTH1Y_Quote#0001</v>
      </c>
      <c r="E40" s="140" t="str">
        <f>_xll.ohRangeRetrieveError(D40)</f>
        <v/>
      </c>
      <c r="F40" s="6"/>
      <c r="G40" s="285" t="s">
        <v>66</v>
      </c>
      <c r="H40" s="281">
        <f>'1YSynthDepo'!C49</f>
        <v>1.1440000000000047E-2</v>
      </c>
      <c r="I40" s="7"/>
      <c r="J40" s="269">
        <v>8.373570381690525E-3</v>
      </c>
      <c r="K40" s="6"/>
      <c r="L40" s="257">
        <v>1.1440000000000047E-2</v>
      </c>
      <c r="M40" s="258" t="e">
        <f>_xll.qlSimpleQuoteSetValue(D40,ROUND($L40,6),EvaluationDate)</f>
        <v>#N/A</v>
      </c>
      <c r="N40" s="245"/>
    </row>
    <row r="41" spans="1:14" hidden="1" outlineLevel="1" x14ac:dyDescent="0.2">
      <c r="A41" s="298">
        <v>1</v>
      </c>
      <c r="B41" s="301" t="str">
        <f t="shared" ref="B41:B84" si="5">A41&amp;"x"&amp;A41+Months12M&amp;"F"</f>
        <v>1x13F</v>
      </c>
      <c r="C41" s="302" t="str">
        <f t="shared" ref="C41:C84" si="6">Currency&amp;$B41&amp;"_SYNTH"&amp;"1Y"&amp;"_Quote"</f>
        <v>USD1x13F_SYNTH1Y_Quote</v>
      </c>
      <c r="D41" s="302"/>
      <c r="E41" s="302" t="str">
        <f>_xll.ohRangeRetrieveError(D41)</f>
        <v/>
      </c>
      <c r="F41" s="2">
        <v>1</v>
      </c>
      <c r="G41" s="290" t="str">
        <f t="shared" ref="G41:G84" si="7">F41&amp;"x"&amp;(F41+Months12M)&amp;"F"</f>
        <v>1x13F</v>
      </c>
      <c r="H41" s="291"/>
      <c r="I41" s="8"/>
      <c r="J41" s="271">
        <v>0</v>
      </c>
      <c r="K41" s="9"/>
      <c r="L41" s="265">
        <v>0</v>
      </c>
      <c r="M41" s="266"/>
      <c r="N41" s="245">
        <f>_xll.ohTrigger(M41:M84)</f>
        <v>0</v>
      </c>
    </row>
    <row r="42" spans="1:14" hidden="1" outlineLevel="1" x14ac:dyDescent="0.2">
      <c r="A42" s="298">
        <v>2</v>
      </c>
      <c r="B42" s="299" t="str">
        <f t="shared" si="5"/>
        <v>2x14F</v>
      </c>
      <c r="C42" s="116" t="str">
        <f t="shared" si="6"/>
        <v>USD2x14F_SYNTH1Y_Quote</v>
      </c>
      <c r="D42" s="116"/>
      <c r="E42" s="116" t="str">
        <f>_xll.ohRangeRetrieveError(D42)</f>
        <v/>
      </c>
      <c r="F42" s="2">
        <v>2</v>
      </c>
      <c r="G42" s="286" t="str">
        <f t="shared" si="7"/>
        <v>2x14F</v>
      </c>
      <c r="H42" s="287"/>
      <c r="I42" s="9"/>
      <c r="J42" s="272">
        <v>0</v>
      </c>
      <c r="K42" s="9"/>
      <c r="L42" s="261">
        <v>0</v>
      </c>
      <c r="M42" s="262"/>
      <c r="N42" s="246"/>
    </row>
    <row r="43" spans="1:14" hidden="1" outlineLevel="1" x14ac:dyDescent="0.2">
      <c r="A43" s="298">
        <v>3</v>
      </c>
      <c r="B43" s="299" t="str">
        <f t="shared" si="5"/>
        <v>3x15F</v>
      </c>
      <c r="C43" s="116" t="str">
        <f t="shared" si="6"/>
        <v>USD3x15F_SYNTH1Y_Quote</v>
      </c>
      <c r="D43" s="116"/>
      <c r="E43" s="116" t="str">
        <f>_xll.ohRangeRetrieveError(D43)</f>
        <v/>
      </c>
      <c r="F43" s="2">
        <v>3</v>
      </c>
      <c r="G43" s="286" t="str">
        <f t="shared" si="7"/>
        <v>3x15F</v>
      </c>
      <c r="H43" s="287"/>
      <c r="I43" s="9"/>
      <c r="J43" s="272">
        <v>0</v>
      </c>
      <c r="K43" s="9"/>
      <c r="L43" s="261">
        <v>0</v>
      </c>
      <c r="M43" s="262"/>
      <c r="N43" s="246"/>
    </row>
    <row r="44" spans="1:14" hidden="1" outlineLevel="1" x14ac:dyDescent="0.2">
      <c r="A44" s="298">
        <v>4</v>
      </c>
      <c r="B44" s="299" t="str">
        <f t="shared" si="5"/>
        <v>4x16F</v>
      </c>
      <c r="C44" s="116" t="str">
        <f t="shared" si="6"/>
        <v>USD4x16F_SYNTH1Y_Quote</v>
      </c>
      <c r="D44" s="116"/>
      <c r="E44" s="116" t="str">
        <f>_xll.ohRangeRetrieveError(D44)</f>
        <v/>
      </c>
      <c r="F44" s="2">
        <v>4</v>
      </c>
      <c r="G44" s="286" t="str">
        <f t="shared" si="7"/>
        <v>4x16F</v>
      </c>
      <c r="H44" s="287"/>
      <c r="I44" s="9"/>
      <c r="J44" s="272">
        <v>0</v>
      </c>
      <c r="K44" s="9"/>
      <c r="L44" s="261">
        <v>0</v>
      </c>
      <c r="M44" s="262"/>
      <c r="N44" s="246"/>
    </row>
    <row r="45" spans="1:14" hidden="1" outlineLevel="1" x14ac:dyDescent="0.2">
      <c r="A45" s="298">
        <v>5</v>
      </c>
      <c r="B45" s="299" t="str">
        <f t="shared" si="5"/>
        <v>5x17F</v>
      </c>
      <c r="C45" s="116" t="str">
        <f t="shared" si="6"/>
        <v>USD5x17F_SYNTH1Y_Quote</v>
      </c>
      <c r="D45" s="116"/>
      <c r="E45" s="116" t="str">
        <f>_xll.ohRangeRetrieveError(D45)</f>
        <v/>
      </c>
      <c r="F45" s="2">
        <v>5</v>
      </c>
      <c r="G45" s="286" t="str">
        <f t="shared" si="7"/>
        <v>5x17F</v>
      </c>
      <c r="H45" s="287"/>
      <c r="I45" s="9"/>
      <c r="J45" s="272">
        <v>0</v>
      </c>
      <c r="K45" s="9"/>
      <c r="L45" s="261">
        <v>0</v>
      </c>
      <c r="M45" s="262"/>
      <c r="N45" s="246"/>
    </row>
    <row r="46" spans="1:14" hidden="1" outlineLevel="1" x14ac:dyDescent="0.2">
      <c r="A46" s="298">
        <v>6</v>
      </c>
      <c r="B46" s="299" t="str">
        <f t="shared" si="5"/>
        <v>6x18F</v>
      </c>
      <c r="C46" s="116" t="str">
        <f t="shared" si="6"/>
        <v>USD6x18F_SYNTH1Y_Quote</v>
      </c>
      <c r="D46" s="116"/>
      <c r="E46" s="116" t="str">
        <f>_xll.ohRangeRetrieveError(D46)</f>
        <v/>
      </c>
      <c r="F46" s="2">
        <v>6</v>
      </c>
      <c r="G46" s="286" t="str">
        <f t="shared" si="7"/>
        <v>6x18F</v>
      </c>
      <c r="H46" s="287"/>
      <c r="I46" s="9"/>
      <c r="J46" s="272">
        <v>0</v>
      </c>
      <c r="K46" s="9"/>
      <c r="L46" s="261">
        <v>0</v>
      </c>
      <c r="M46" s="262"/>
      <c r="N46" s="246"/>
    </row>
    <row r="47" spans="1:14" hidden="1" outlineLevel="1" x14ac:dyDescent="0.2">
      <c r="A47" s="298">
        <v>7</v>
      </c>
      <c r="B47" s="299" t="str">
        <f t="shared" si="5"/>
        <v>7x19F</v>
      </c>
      <c r="C47" s="116" t="str">
        <f t="shared" si="6"/>
        <v>USD7x19F_SYNTH1Y_Quote</v>
      </c>
      <c r="D47" s="116"/>
      <c r="E47" s="116" t="str">
        <f>_xll.ohRangeRetrieveError(D47)</f>
        <v/>
      </c>
      <c r="F47" s="2">
        <v>7</v>
      </c>
      <c r="G47" s="286" t="str">
        <f t="shared" si="7"/>
        <v>7x19F</v>
      </c>
      <c r="H47" s="287"/>
      <c r="I47" s="9"/>
      <c r="J47" s="272">
        <v>0</v>
      </c>
      <c r="K47" s="9"/>
      <c r="L47" s="261">
        <v>0</v>
      </c>
      <c r="M47" s="262"/>
      <c r="N47" s="246"/>
    </row>
    <row r="48" spans="1:14" hidden="1" outlineLevel="1" x14ac:dyDescent="0.2">
      <c r="A48" s="298">
        <v>8</v>
      </c>
      <c r="B48" s="299" t="str">
        <f t="shared" si="5"/>
        <v>8x20F</v>
      </c>
      <c r="C48" s="116" t="str">
        <f t="shared" si="6"/>
        <v>USD8x20F_SYNTH1Y_Quote</v>
      </c>
      <c r="D48" s="116"/>
      <c r="E48" s="116" t="str">
        <f>_xll.ohRangeRetrieveError(D48)</f>
        <v/>
      </c>
      <c r="F48" s="2">
        <v>8</v>
      </c>
      <c r="G48" s="286" t="str">
        <f t="shared" si="7"/>
        <v>8x20F</v>
      </c>
      <c r="H48" s="287"/>
      <c r="I48" s="9"/>
      <c r="J48" s="272">
        <v>0</v>
      </c>
      <c r="K48" s="9"/>
      <c r="L48" s="261">
        <v>0</v>
      </c>
      <c r="M48" s="262"/>
      <c r="N48" s="246"/>
    </row>
    <row r="49" spans="1:14" hidden="1" outlineLevel="1" x14ac:dyDescent="0.2">
      <c r="A49" s="298">
        <v>9</v>
      </c>
      <c r="B49" s="299" t="str">
        <f t="shared" si="5"/>
        <v>9x21F</v>
      </c>
      <c r="C49" s="116" t="str">
        <f t="shared" si="6"/>
        <v>USD9x21F_SYNTH1Y_Quote</v>
      </c>
      <c r="D49" s="116"/>
      <c r="E49" s="116" t="str">
        <f>_xll.ohRangeRetrieveError(D49)</f>
        <v/>
      </c>
      <c r="F49" s="2">
        <v>9</v>
      </c>
      <c r="G49" s="286" t="str">
        <f t="shared" si="7"/>
        <v>9x21F</v>
      </c>
      <c r="H49" s="287"/>
      <c r="I49" s="9"/>
      <c r="J49" s="272">
        <v>0</v>
      </c>
      <c r="K49" s="9"/>
      <c r="L49" s="261">
        <v>0</v>
      </c>
      <c r="M49" s="262"/>
      <c r="N49" s="246"/>
    </row>
    <row r="50" spans="1:14" hidden="1" outlineLevel="1" x14ac:dyDescent="0.2">
      <c r="A50" s="298">
        <v>10</v>
      </c>
      <c r="B50" s="299" t="str">
        <f t="shared" si="5"/>
        <v>10x22F</v>
      </c>
      <c r="C50" s="116" t="str">
        <f t="shared" si="6"/>
        <v>USD10x22F_SYNTH1Y_Quote</v>
      </c>
      <c r="D50" s="116"/>
      <c r="E50" s="116" t="str">
        <f>_xll.ohRangeRetrieveError(D50)</f>
        <v/>
      </c>
      <c r="F50" s="2">
        <v>10</v>
      </c>
      <c r="G50" s="286" t="str">
        <f t="shared" si="7"/>
        <v>10x22F</v>
      </c>
      <c r="H50" s="287"/>
      <c r="I50" s="9"/>
      <c r="J50" s="272">
        <v>0</v>
      </c>
      <c r="K50" s="9"/>
      <c r="L50" s="261">
        <v>0</v>
      </c>
      <c r="M50" s="262"/>
      <c r="N50" s="246"/>
    </row>
    <row r="51" spans="1:14" hidden="1" outlineLevel="1" x14ac:dyDescent="0.2">
      <c r="A51" s="298">
        <v>11</v>
      </c>
      <c r="B51" s="299" t="str">
        <f t="shared" si="5"/>
        <v>11x23F</v>
      </c>
      <c r="C51" s="116" t="str">
        <f t="shared" si="6"/>
        <v>USD11x23F_SYNTH1Y_Quote</v>
      </c>
      <c r="D51" s="116"/>
      <c r="E51" s="116" t="str">
        <f>_xll.ohRangeRetrieveError(D51)</f>
        <v/>
      </c>
      <c r="F51" s="2">
        <v>11</v>
      </c>
      <c r="G51" s="286" t="str">
        <f t="shared" si="7"/>
        <v>11x23F</v>
      </c>
      <c r="H51" s="287"/>
      <c r="I51" s="9"/>
      <c r="J51" s="272">
        <v>0</v>
      </c>
      <c r="K51" s="9"/>
      <c r="L51" s="261">
        <v>0</v>
      </c>
      <c r="M51" s="262"/>
      <c r="N51" s="246"/>
    </row>
    <row r="52" spans="1:14" hidden="1" outlineLevel="1" x14ac:dyDescent="0.2">
      <c r="A52" s="298">
        <v>13</v>
      </c>
      <c r="B52" s="299" t="str">
        <f t="shared" si="5"/>
        <v>13x25F</v>
      </c>
      <c r="C52" s="116" t="str">
        <f t="shared" si="6"/>
        <v>USD13x25F_SYNTH1Y_Quote</v>
      </c>
      <c r="D52" s="116"/>
      <c r="E52" s="116" t="str">
        <f>_xll.ohRangeRetrieveError(D52)</f>
        <v/>
      </c>
      <c r="F52" s="2">
        <v>13</v>
      </c>
      <c r="G52" s="286" t="str">
        <f t="shared" si="7"/>
        <v>13x25F</v>
      </c>
      <c r="H52" s="287"/>
      <c r="I52" s="9"/>
      <c r="J52" s="272">
        <v>0</v>
      </c>
      <c r="K52" s="9"/>
      <c r="L52" s="261">
        <v>0</v>
      </c>
      <c r="M52" s="262"/>
      <c r="N52" s="246"/>
    </row>
    <row r="53" spans="1:14" hidden="1" outlineLevel="1" x14ac:dyDescent="0.2">
      <c r="A53" s="298">
        <v>14</v>
      </c>
      <c r="B53" s="299" t="str">
        <f t="shared" si="5"/>
        <v>14x26F</v>
      </c>
      <c r="C53" s="116" t="str">
        <f t="shared" si="6"/>
        <v>USD14x26F_SYNTH1Y_Quote</v>
      </c>
      <c r="D53" s="116"/>
      <c r="E53" s="116" t="str">
        <f>_xll.ohRangeRetrieveError(D53)</f>
        <v/>
      </c>
      <c r="F53" s="2">
        <v>14</v>
      </c>
      <c r="G53" s="286" t="str">
        <f t="shared" si="7"/>
        <v>14x26F</v>
      </c>
      <c r="H53" s="287"/>
      <c r="I53" s="9"/>
      <c r="J53" s="272">
        <v>0</v>
      </c>
      <c r="K53" s="9"/>
      <c r="L53" s="261">
        <v>0</v>
      </c>
      <c r="M53" s="262"/>
      <c r="N53" s="246"/>
    </row>
    <row r="54" spans="1:14" hidden="1" outlineLevel="1" x14ac:dyDescent="0.2">
      <c r="A54" s="298">
        <v>15</v>
      </c>
      <c r="B54" s="299" t="str">
        <f t="shared" si="5"/>
        <v>15x27F</v>
      </c>
      <c r="C54" s="116" t="str">
        <f t="shared" si="6"/>
        <v>USD15x27F_SYNTH1Y_Quote</v>
      </c>
      <c r="D54" s="116"/>
      <c r="E54" s="116" t="str">
        <f>_xll.ohRangeRetrieveError(D54)</f>
        <v/>
      </c>
      <c r="F54" s="2">
        <v>15</v>
      </c>
      <c r="G54" s="286" t="str">
        <f t="shared" si="7"/>
        <v>15x27F</v>
      </c>
      <c r="H54" s="287"/>
      <c r="I54" s="9"/>
      <c r="J54" s="272">
        <v>0</v>
      </c>
      <c r="K54" s="9"/>
      <c r="L54" s="261">
        <v>0</v>
      </c>
      <c r="M54" s="262"/>
      <c r="N54" s="246"/>
    </row>
    <row r="55" spans="1:14" hidden="1" outlineLevel="1" x14ac:dyDescent="0.2">
      <c r="A55" s="298">
        <v>16</v>
      </c>
      <c r="B55" s="299" t="str">
        <f t="shared" si="5"/>
        <v>16x28F</v>
      </c>
      <c r="C55" s="116" t="str">
        <f t="shared" si="6"/>
        <v>USD16x28F_SYNTH1Y_Quote</v>
      </c>
      <c r="D55" s="116"/>
      <c r="E55" s="116" t="str">
        <f>_xll.ohRangeRetrieveError(D55)</f>
        <v/>
      </c>
      <c r="F55" s="2">
        <v>16</v>
      </c>
      <c r="G55" s="286" t="str">
        <f t="shared" si="7"/>
        <v>16x28F</v>
      </c>
      <c r="H55" s="287"/>
      <c r="I55" s="9"/>
      <c r="J55" s="272">
        <v>0</v>
      </c>
      <c r="K55" s="9"/>
      <c r="L55" s="261">
        <v>0</v>
      </c>
      <c r="M55" s="262"/>
      <c r="N55" s="246"/>
    </row>
    <row r="56" spans="1:14" hidden="1" outlineLevel="1" x14ac:dyDescent="0.2">
      <c r="A56" s="298">
        <v>17</v>
      </c>
      <c r="B56" s="299" t="str">
        <f t="shared" si="5"/>
        <v>17x29F</v>
      </c>
      <c r="C56" s="116" t="str">
        <f t="shared" si="6"/>
        <v>USD17x29F_SYNTH1Y_Quote</v>
      </c>
      <c r="D56" s="116"/>
      <c r="E56" s="116" t="str">
        <f>_xll.ohRangeRetrieveError(D56)</f>
        <v/>
      </c>
      <c r="F56" s="2">
        <v>17</v>
      </c>
      <c r="G56" s="286" t="str">
        <f t="shared" si="7"/>
        <v>17x29F</v>
      </c>
      <c r="H56" s="287"/>
      <c r="I56" s="9"/>
      <c r="J56" s="272">
        <v>0</v>
      </c>
      <c r="K56" s="9"/>
      <c r="L56" s="261">
        <v>0</v>
      </c>
      <c r="M56" s="262"/>
      <c r="N56" s="246"/>
    </row>
    <row r="57" spans="1:14" hidden="1" outlineLevel="1" x14ac:dyDescent="0.2">
      <c r="A57" s="298">
        <v>18</v>
      </c>
      <c r="B57" s="299" t="str">
        <f t="shared" si="5"/>
        <v>18x30F</v>
      </c>
      <c r="C57" s="116" t="str">
        <f t="shared" si="6"/>
        <v>USD18x30F_SYNTH1Y_Quote</v>
      </c>
      <c r="D57" s="116"/>
      <c r="E57" s="116" t="str">
        <f>_xll.ohRangeRetrieveError(D57)</f>
        <v/>
      </c>
      <c r="F57" s="2">
        <v>18</v>
      </c>
      <c r="G57" s="286" t="str">
        <f t="shared" si="7"/>
        <v>18x30F</v>
      </c>
      <c r="H57" s="287"/>
      <c r="I57" s="9"/>
      <c r="J57" s="272">
        <v>0</v>
      </c>
      <c r="K57" s="9"/>
      <c r="L57" s="261">
        <v>0</v>
      </c>
      <c r="M57" s="262"/>
      <c r="N57" s="246"/>
    </row>
    <row r="58" spans="1:14" hidden="1" outlineLevel="1" x14ac:dyDescent="0.2">
      <c r="A58" s="298">
        <v>19</v>
      </c>
      <c r="B58" s="299" t="str">
        <f t="shared" si="5"/>
        <v>19x31F</v>
      </c>
      <c r="C58" s="116" t="str">
        <f t="shared" si="6"/>
        <v>USD19x31F_SYNTH1Y_Quote</v>
      </c>
      <c r="D58" s="116"/>
      <c r="E58" s="116" t="str">
        <f>_xll.ohRangeRetrieveError(D58)</f>
        <v/>
      </c>
      <c r="F58" s="2">
        <v>19</v>
      </c>
      <c r="G58" s="286" t="str">
        <f t="shared" si="7"/>
        <v>19x31F</v>
      </c>
      <c r="H58" s="287"/>
      <c r="I58" s="9"/>
      <c r="J58" s="272">
        <v>0</v>
      </c>
      <c r="K58" s="9"/>
      <c r="L58" s="261">
        <v>0</v>
      </c>
      <c r="M58" s="262"/>
      <c r="N58" s="246"/>
    </row>
    <row r="59" spans="1:14" hidden="1" outlineLevel="1" x14ac:dyDescent="0.2">
      <c r="A59" s="298">
        <v>20</v>
      </c>
      <c r="B59" s="299" t="str">
        <f t="shared" si="5"/>
        <v>20x32F</v>
      </c>
      <c r="C59" s="116" t="str">
        <f t="shared" si="6"/>
        <v>USD20x32F_SYNTH1Y_Quote</v>
      </c>
      <c r="D59" s="116"/>
      <c r="E59" s="116" t="str">
        <f>_xll.ohRangeRetrieveError(D59)</f>
        <v/>
      </c>
      <c r="F59" s="2">
        <v>20</v>
      </c>
      <c r="G59" s="286" t="str">
        <f t="shared" si="7"/>
        <v>20x32F</v>
      </c>
      <c r="H59" s="287"/>
      <c r="I59" s="9"/>
      <c r="J59" s="272">
        <v>0</v>
      </c>
      <c r="K59" s="9"/>
      <c r="L59" s="261">
        <v>0</v>
      </c>
      <c r="M59" s="262"/>
      <c r="N59" s="246"/>
    </row>
    <row r="60" spans="1:14" hidden="1" outlineLevel="1" x14ac:dyDescent="0.2">
      <c r="A60" s="298">
        <v>21</v>
      </c>
      <c r="B60" s="299" t="str">
        <f t="shared" si="5"/>
        <v>21x33F</v>
      </c>
      <c r="C60" s="116" t="str">
        <f t="shared" si="6"/>
        <v>USD21x33F_SYNTH1Y_Quote</v>
      </c>
      <c r="D60" s="116"/>
      <c r="E60" s="116" t="str">
        <f>_xll.ohRangeRetrieveError(D60)</f>
        <v/>
      </c>
      <c r="F60" s="2">
        <v>21</v>
      </c>
      <c r="G60" s="286" t="str">
        <f t="shared" si="7"/>
        <v>21x33F</v>
      </c>
      <c r="H60" s="287"/>
      <c r="I60" s="9"/>
      <c r="J60" s="272">
        <v>0</v>
      </c>
      <c r="K60" s="9"/>
      <c r="L60" s="261">
        <v>0</v>
      </c>
      <c r="M60" s="262"/>
      <c r="N60" s="246"/>
    </row>
    <row r="61" spans="1:14" hidden="1" outlineLevel="1" x14ac:dyDescent="0.2">
      <c r="A61" s="298">
        <v>22</v>
      </c>
      <c r="B61" s="299" t="str">
        <f t="shared" si="5"/>
        <v>22x34F</v>
      </c>
      <c r="C61" s="116" t="str">
        <f t="shared" si="6"/>
        <v>USD22x34F_SYNTH1Y_Quote</v>
      </c>
      <c r="D61" s="116"/>
      <c r="E61" s="116" t="str">
        <f>_xll.ohRangeRetrieveError(D61)</f>
        <v/>
      </c>
      <c r="F61" s="2">
        <v>22</v>
      </c>
      <c r="G61" s="286" t="str">
        <f t="shared" si="7"/>
        <v>22x34F</v>
      </c>
      <c r="H61" s="287"/>
      <c r="I61" s="9"/>
      <c r="J61" s="272">
        <v>0</v>
      </c>
      <c r="K61" s="9"/>
      <c r="L61" s="261">
        <v>0</v>
      </c>
      <c r="M61" s="262"/>
      <c r="N61" s="246"/>
    </row>
    <row r="62" spans="1:14" hidden="1" outlineLevel="1" x14ac:dyDescent="0.2">
      <c r="A62" s="298">
        <v>23</v>
      </c>
      <c r="B62" s="299" t="str">
        <f t="shared" si="5"/>
        <v>23x35F</v>
      </c>
      <c r="C62" s="116" t="str">
        <f t="shared" si="6"/>
        <v>USD23x35F_SYNTH1Y_Quote</v>
      </c>
      <c r="D62" s="116"/>
      <c r="E62" s="116" t="str">
        <f>_xll.ohRangeRetrieveError(D62)</f>
        <v/>
      </c>
      <c r="F62" s="2">
        <v>23</v>
      </c>
      <c r="G62" s="286" t="str">
        <f t="shared" si="7"/>
        <v>23x35F</v>
      </c>
      <c r="H62" s="287"/>
      <c r="I62" s="9"/>
      <c r="J62" s="272">
        <v>0</v>
      </c>
      <c r="K62" s="9"/>
      <c r="L62" s="261">
        <v>0</v>
      </c>
      <c r="M62" s="262"/>
      <c r="N62" s="246"/>
    </row>
    <row r="63" spans="1:14" hidden="1" outlineLevel="1" x14ac:dyDescent="0.2">
      <c r="A63" s="298">
        <v>25</v>
      </c>
      <c r="B63" s="299" t="str">
        <f t="shared" si="5"/>
        <v>25x37F</v>
      </c>
      <c r="C63" s="116" t="str">
        <f t="shared" si="6"/>
        <v>USD25x37F_SYNTH1Y_Quote</v>
      </c>
      <c r="D63" s="116"/>
      <c r="E63" s="116" t="str">
        <f>_xll.ohRangeRetrieveError(D63)</f>
        <v/>
      </c>
      <c r="F63" s="2">
        <v>25</v>
      </c>
      <c r="G63" s="286" t="str">
        <f t="shared" si="7"/>
        <v>25x37F</v>
      </c>
      <c r="H63" s="287"/>
      <c r="I63" s="9"/>
      <c r="J63" s="272">
        <v>0</v>
      </c>
      <c r="K63" s="9"/>
      <c r="L63" s="261">
        <v>0</v>
      </c>
      <c r="M63" s="262"/>
      <c r="N63" s="246"/>
    </row>
    <row r="64" spans="1:14" hidden="1" outlineLevel="1" x14ac:dyDescent="0.2">
      <c r="A64" s="298">
        <v>26</v>
      </c>
      <c r="B64" s="299" t="str">
        <f t="shared" si="5"/>
        <v>26x38F</v>
      </c>
      <c r="C64" s="116" t="str">
        <f t="shared" si="6"/>
        <v>USD26x38F_SYNTH1Y_Quote</v>
      </c>
      <c r="D64" s="116"/>
      <c r="E64" s="116" t="str">
        <f>_xll.ohRangeRetrieveError(D64)</f>
        <v/>
      </c>
      <c r="F64" s="2">
        <v>26</v>
      </c>
      <c r="G64" s="286" t="str">
        <f t="shared" si="7"/>
        <v>26x38F</v>
      </c>
      <c r="H64" s="287"/>
      <c r="I64" s="9"/>
      <c r="J64" s="272">
        <v>0</v>
      </c>
      <c r="K64" s="9"/>
      <c r="L64" s="261">
        <v>0</v>
      </c>
      <c r="M64" s="262"/>
      <c r="N64" s="246"/>
    </row>
    <row r="65" spans="1:14" hidden="1" outlineLevel="1" x14ac:dyDescent="0.2">
      <c r="A65" s="298">
        <v>27</v>
      </c>
      <c r="B65" s="299" t="str">
        <f t="shared" si="5"/>
        <v>27x39F</v>
      </c>
      <c r="C65" s="116" t="str">
        <f t="shared" si="6"/>
        <v>USD27x39F_SYNTH1Y_Quote</v>
      </c>
      <c r="D65" s="116"/>
      <c r="E65" s="116" t="str">
        <f>_xll.ohRangeRetrieveError(D65)</f>
        <v/>
      </c>
      <c r="F65" s="2">
        <v>27</v>
      </c>
      <c r="G65" s="286" t="str">
        <f t="shared" si="7"/>
        <v>27x39F</v>
      </c>
      <c r="H65" s="287"/>
      <c r="I65" s="9"/>
      <c r="J65" s="272">
        <v>0</v>
      </c>
      <c r="K65" s="9"/>
      <c r="L65" s="261">
        <v>0</v>
      </c>
      <c r="M65" s="262"/>
      <c r="N65" s="246"/>
    </row>
    <row r="66" spans="1:14" hidden="1" outlineLevel="1" x14ac:dyDescent="0.2">
      <c r="A66" s="298">
        <v>28</v>
      </c>
      <c r="B66" s="299" t="str">
        <f t="shared" si="5"/>
        <v>28x40F</v>
      </c>
      <c r="C66" s="116" t="str">
        <f t="shared" si="6"/>
        <v>USD28x40F_SYNTH1Y_Quote</v>
      </c>
      <c r="D66" s="116"/>
      <c r="E66" s="116" t="str">
        <f>_xll.ohRangeRetrieveError(D66)</f>
        <v/>
      </c>
      <c r="F66" s="2">
        <v>28</v>
      </c>
      <c r="G66" s="286" t="str">
        <f t="shared" si="7"/>
        <v>28x40F</v>
      </c>
      <c r="H66" s="287"/>
      <c r="I66" s="9"/>
      <c r="J66" s="272">
        <v>0</v>
      </c>
      <c r="K66" s="9"/>
      <c r="L66" s="261">
        <v>0</v>
      </c>
      <c r="M66" s="262"/>
      <c r="N66" s="246"/>
    </row>
    <row r="67" spans="1:14" hidden="1" outlineLevel="1" x14ac:dyDescent="0.2">
      <c r="A67" s="298">
        <v>29</v>
      </c>
      <c r="B67" s="299" t="str">
        <f t="shared" si="5"/>
        <v>29x41F</v>
      </c>
      <c r="C67" s="116" t="str">
        <f t="shared" si="6"/>
        <v>USD29x41F_SYNTH1Y_Quote</v>
      </c>
      <c r="D67" s="116"/>
      <c r="E67" s="116" t="str">
        <f>_xll.ohRangeRetrieveError(D67)</f>
        <v/>
      </c>
      <c r="F67" s="2">
        <v>29</v>
      </c>
      <c r="G67" s="286" t="str">
        <f t="shared" si="7"/>
        <v>29x41F</v>
      </c>
      <c r="H67" s="287"/>
      <c r="I67" s="9"/>
      <c r="J67" s="272">
        <v>0</v>
      </c>
      <c r="K67" s="9"/>
      <c r="L67" s="261">
        <v>0</v>
      </c>
      <c r="M67" s="262"/>
      <c r="N67" s="246"/>
    </row>
    <row r="68" spans="1:14" hidden="1" outlineLevel="1" x14ac:dyDescent="0.2">
      <c r="A68" s="298">
        <v>30</v>
      </c>
      <c r="B68" s="299" t="str">
        <f t="shared" si="5"/>
        <v>30x42F</v>
      </c>
      <c r="C68" s="116" t="str">
        <f t="shared" si="6"/>
        <v>USD30x42F_SYNTH1Y_Quote</v>
      </c>
      <c r="D68" s="116"/>
      <c r="E68" s="116" t="str">
        <f>_xll.ohRangeRetrieveError(D68)</f>
        <v/>
      </c>
      <c r="F68" s="2">
        <v>30</v>
      </c>
      <c r="G68" s="286" t="str">
        <f t="shared" si="7"/>
        <v>30x42F</v>
      </c>
      <c r="H68" s="287"/>
      <c r="I68" s="9"/>
      <c r="J68" s="272">
        <v>0</v>
      </c>
      <c r="K68" s="9"/>
      <c r="L68" s="261">
        <v>0</v>
      </c>
      <c r="M68" s="262"/>
      <c r="N68" s="246"/>
    </row>
    <row r="69" spans="1:14" hidden="1" outlineLevel="1" x14ac:dyDescent="0.2">
      <c r="A69" s="298">
        <v>31</v>
      </c>
      <c r="B69" s="299" t="str">
        <f t="shared" si="5"/>
        <v>31x43F</v>
      </c>
      <c r="C69" s="116" t="str">
        <f t="shared" si="6"/>
        <v>USD31x43F_SYNTH1Y_Quote</v>
      </c>
      <c r="D69" s="116"/>
      <c r="E69" s="116" t="str">
        <f>_xll.ohRangeRetrieveError(D69)</f>
        <v/>
      </c>
      <c r="F69" s="2">
        <v>31</v>
      </c>
      <c r="G69" s="286" t="str">
        <f t="shared" si="7"/>
        <v>31x43F</v>
      </c>
      <c r="H69" s="287"/>
      <c r="I69" s="9"/>
      <c r="J69" s="272">
        <v>0</v>
      </c>
      <c r="K69" s="9"/>
      <c r="L69" s="261">
        <v>0</v>
      </c>
      <c r="M69" s="262"/>
      <c r="N69" s="246"/>
    </row>
    <row r="70" spans="1:14" hidden="1" outlineLevel="1" x14ac:dyDescent="0.2">
      <c r="A70" s="298">
        <v>32</v>
      </c>
      <c r="B70" s="299" t="str">
        <f t="shared" si="5"/>
        <v>32x44F</v>
      </c>
      <c r="C70" s="116" t="str">
        <f t="shared" si="6"/>
        <v>USD32x44F_SYNTH1Y_Quote</v>
      </c>
      <c r="D70" s="116"/>
      <c r="E70" s="116" t="str">
        <f>_xll.ohRangeRetrieveError(D70)</f>
        <v/>
      </c>
      <c r="F70" s="2">
        <v>32</v>
      </c>
      <c r="G70" s="286" t="str">
        <f t="shared" si="7"/>
        <v>32x44F</v>
      </c>
      <c r="H70" s="287"/>
      <c r="I70" s="9"/>
      <c r="J70" s="272">
        <v>0</v>
      </c>
      <c r="K70" s="9"/>
      <c r="L70" s="261">
        <v>0</v>
      </c>
      <c r="M70" s="262"/>
      <c r="N70" s="246"/>
    </row>
    <row r="71" spans="1:14" hidden="1" outlineLevel="1" x14ac:dyDescent="0.2">
      <c r="A71" s="298">
        <v>33</v>
      </c>
      <c r="B71" s="299" t="str">
        <f t="shared" si="5"/>
        <v>33x45F</v>
      </c>
      <c r="C71" s="116" t="str">
        <f t="shared" si="6"/>
        <v>USD33x45F_SYNTH1Y_Quote</v>
      </c>
      <c r="D71" s="116"/>
      <c r="E71" s="116" t="str">
        <f>_xll.ohRangeRetrieveError(D71)</f>
        <v/>
      </c>
      <c r="F71" s="2">
        <v>33</v>
      </c>
      <c r="G71" s="286" t="str">
        <f t="shared" si="7"/>
        <v>33x45F</v>
      </c>
      <c r="H71" s="287"/>
      <c r="I71" s="9"/>
      <c r="J71" s="272">
        <v>0</v>
      </c>
      <c r="K71" s="9"/>
      <c r="L71" s="261">
        <v>0</v>
      </c>
      <c r="M71" s="262"/>
      <c r="N71" s="246"/>
    </row>
    <row r="72" spans="1:14" hidden="1" outlineLevel="1" x14ac:dyDescent="0.2">
      <c r="A72" s="298">
        <v>34</v>
      </c>
      <c r="B72" s="299" t="str">
        <f t="shared" si="5"/>
        <v>34x46F</v>
      </c>
      <c r="C72" s="116" t="str">
        <f t="shared" si="6"/>
        <v>USD34x46F_SYNTH1Y_Quote</v>
      </c>
      <c r="D72" s="116"/>
      <c r="E72" s="116" t="str">
        <f>_xll.ohRangeRetrieveError(D72)</f>
        <v/>
      </c>
      <c r="F72" s="2">
        <v>34</v>
      </c>
      <c r="G72" s="286" t="str">
        <f t="shared" si="7"/>
        <v>34x46F</v>
      </c>
      <c r="H72" s="287"/>
      <c r="I72" s="9"/>
      <c r="J72" s="272">
        <v>0</v>
      </c>
      <c r="K72" s="9"/>
      <c r="L72" s="261">
        <v>0</v>
      </c>
      <c r="M72" s="262"/>
      <c r="N72" s="246"/>
    </row>
    <row r="73" spans="1:14" hidden="1" outlineLevel="1" x14ac:dyDescent="0.2">
      <c r="A73" s="298">
        <v>35</v>
      </c>
      <c r="B73" s="299" t="str">
        <f t="shared" si="5"/>
        <v>35x47F</v>
      </c>
      <c r="C73" s="116" t="str">
        <f t="shared" si="6"/>
        <v>USD35x47F_SYNTH1Y_Quote</v>
      </c>
      <c r="D73" s="116"/>
      <c r="E73" s="116" t="str">
        <f>_xll.ohRangeRetrieveError(D73)</f>
        <v/>
      </c>
      <c r="F73" s="2">
        <v>35</v>
      </c>
      <c r="G73" s="286" t="str">
        <f t="shared" si="7"/>
        <v>35x47F</v>
      </c>
      <c r="H73" s="287"/>
      <c r="I73" s="9"/>
      <c r="J73" s="272">
        <v>0</v>
      </c>
      <c r="K73" s="9"/>
      <c r="L73" s="261">
        <v>0</v>
      </c>
      <c r="M73" s="262"/>
      <c r="N73" s="246"/>
    </row>
    <row r="74" spans="1:14" hidden="1" outlineLevel="1" x14ac:dyDescent="0.2">
      <c r="A74" s="298">
        <v>37</v>
      </c>
      <c r="B74" s="299" t="str">
        <f t="shared" si="5"/>
        <v>37x49F</v>
      </c>
      <c r="C74" s="116" t="str">
        <f t="shared" si="6"/>
        <v>USD37x49F_SYNTH1Y_Quote</v>
      </c>
      <c r="D74" s="116"/>
      <c r="E74" s="116" t="str">
        <f>_xll.ohRangeRetrieveError(D74)</f>
        <v/>
      </c>
      <c r="F74" s="2">
        <v>37</v>
      </c>
      <c r="G74" s="286" t="str">
        <f t="shared" si="7"/>
        <v>37x49F</v>
      </c>
      <c r="H74" s="287"/>
      <c r="I74" s="9"/>
      <c r="J74" s="272">
        <v>0</v>
      </c>
      <c r="K74" s="9"/>
      <c r="L74" s="261">
        <v>0</v>
      </c>
      <c r="M74" s="262"/>
      <c r="N74" s="246"/>
    </row>
    <row r="75" spans="1:14" hidden="1" outlineLevel="1" x14ac:dyDescent="0.2">
      <c r="A75" s="298">
        <v>38</v>
      </c>
      <c r="B75" s="299" t="str">
        <f t="shared" si="5"/>
        <v>38x50F</v>
      </c>
      <c r="C75" s="116" t="str">
        <f t="shared" si="6"/>
        <v>USD38x50F_SYNTH1Y_Quote</v>
      </c>
      <c r="D75" s="116"/>
      <c r="E75" s="116" t="str">
        <f>_xll.ohRangeRetrieveError(D75)</f>
        <v/>
      </c>
      <c r="F75" s="2">
        <v>38</v>
      </c>
      <c r="G75" s="286" t="str">
        <f t="shared" si="7"/>
        <v>38x50F</v>
      </c>
      <c r="H75" s="287"/>
      <c r="I75" s="9"/>
      <c r="J75" s="272">
        <v>0</v>
      </c>
      <c r="K75" s="9"/>
      <c r="L75" s="261">
        <v>0</v>
      </c>
      <c r="M75" s="262"/>
      <c r="N75" s="246"/>
    </row>
    <row r="76" spans="1:14" hidden="1" outlineLevel="1" x14ac:dyDescent="0.2">
      <c r="A76" s="298">
        <v>39</v>
      </c>
      <c r="B76" s="299" t="str">
        <f t="shared" si="5"/>
        <v>39x51F</v>
      </c>
      <c r="C76" s="116" t="str">
        <f t="shared" si="6"/>
        <v>USD39x51F_SYNTH1Y_Quote</v>
      </c>
      <c r="D76" s="116"/>
      <c r="E76" s="116" t="str">
        <f>_xll.ohRangeRetrieveError(D76)</f>
        <v/>
      </c>
      <c r="F76" s="2">
        <v>39</v>
      </c>
      <c r="G76" s="286" t="str">
        <f t="shared" si="7"/>
        <v>39x51F</v>
      </c>
      <c r="H76" s="287"/>
      <c r="I76" s="9"/>
      <c r="J76" s="272">
        <v>0</v>
      </c>
      <c r="K76" s="9"/>
      <c r="L76" s="261">
        <v>0</v>
      </c>
      <c r="M76" s="262"/>
      <c r="N76" s="246"/>
    </row>
    <row r="77" spans="1:14" hidden="1" outlineLevel="1" x14ac:dyDescent="0.2">
      <c r="A77" s="298">
        <v>40</v>
      </c>
      <c r="B77" s="299" t="str">
        <f t="shared" si="5"/>
        <v>40x52F</v>
      </c>
      <c r="C77" s="116" t="str">
        <f t="shared" si="6"/>
        <v>USD40x52F_SYNTH1Y_Quote</v>
      </c>
      <c r="D77" s="116"/>
      <c r="E77" s="116" t="str">
        <f>_xll.ohRangeRetrieveError(D77)</f>
        <v/>
      </c>
      <c r="F77" s="2">
        <v>40</v>
      </c>
      <c r="G77" s="286" t="str">
        <f t="shared" si="7"/>
        <v>40x52F</v>
      </c>
      <c r="H77" s="287"/>
      <c r="I77" s="9"/>
      <c r="J77" s="272">
        <v>0</v>
      </c>
      <c r="K77" s="9"/>
      <c r="L77" s="261">
        <v>0</v>
      </c>
      <c r="M77" s="262"/>
      <c r="N77" s="246"/>
    </row>
    <row r="78" spans="1:14" hidden="1" outlineLevel="1" x14ac:dyDescent="0.2">
      <c r="A78" s="298">
        <v>41</v>
      </c>
      <c r="B78" s="299" t="str">
        <f t="shared" si="5"/>
        <v>41x53F</v>
      </c>
      <c r="C78" s="116" t="str">
        <f t="shared" si="6"/>
        <v>USD41x53F_SYNTH1Y_Quote</v>
      </c>
      <c r="D78" s="116"/>
      <c r="E78" s="116" t="str">
        <f>_xll.ohRangeRetrieveError(D78)</f>
        <v/>
      </c>
      <c r="F78" s="2">
        <v>41</v>
      </c>
      <c r="G78" s="286" t="str">
        <f t="shared" si="7"/>
        <v>41x53F</v>
      </c>
      <c r="H78" s="287"/>
      <c r="I78" s="9"/>
      <c r="J78" s="272">
        <v>0</v>
      </c>
      <c r="K78" s="9"/>
      <c r="L78" s="261">
        <v>0</v>
      </c>
      <c r="M78" s="262"/>
      <c r="N78" s="246"/>
    </row>
    <row r="79" spans="1:14" hidden="1" outlineLevel="1" x14ac:dyDescent="0.2">
      <c r="A79" s="298">
        <v>42</v>
      </c>
      <c r="B79" s="299" t="str">
        <f t="shared" si="5"/>
        <v>42x54F</v>
      </c>
      <c r="C79" s="116" t="str">
        <f t="shared" si="6"/>
        <v>USD42x54F_SYNTH1Y_Quote</v>
      </c>
      <c r="D79" s="116"/>
      <c r="E79" s="116" t="str">
        <f>_xll.ohRangeRetrieveError(D79)</f>
        <v/>
      </c>
      <c r="F79" s="2">
        <v>42</v>
      </c>
      <c r="G79" s="286" t="str">
        <f t="shared" si="7"/>
        <v>42x54F</v>
      </c>
      <c r="H79" s="287"/>
      <c r="I79" s="9"/>
      <c r="J79" s="272">
        <v>0</v>
      </c>
      <c r="K79" s="9"/>
      <c r="L79" s="261">
        <v>0</v>
      </c>
      <c r="M79" s="262"/>
      <c r="N79" s="246"/>
    </row>
    <row r="80" spans="1:14" hidden="1" outlineLevel="1" x14ac:dyDescent="0.2">
      <c r="A80" s="298">
        <v>43</v>
      </c>
      <c r="B80" s="299" t="str">
        <f t="shared" si="5"/>
        <v>43x55F</v>
      </c>
      <c r="C80" s="116" t="str">
        <f t="shared" si="6"/>
        <v>USD43x55F_SYNTH1Y_Quote</v>
      </c>
      <c r="D80" s="116"/>
      <c r="E80" s="116" t="str">
        <f>_xll.ohRangeRetrieveError(D80)</f>
        <v/>
      </c>
      <c r="F80" s="2">
        <v>43</v>
      </c>
      <c r="G80" s="286" t="str">
        <f t="shared" si="7"/>
        <v>43x55F</v>
      </c>
      <c r="H80" s="287"/>
      <c r="I80" s="9"/>
      <c r="J80" s="272">
        <v>0</v>
      </c>
      <c r="K80" s="9"/>
      <c r="L80" s="261">
        <v>0</v>
      </c>
      <c r="M80" s="262"/>
      <c r="N80" s="246"/>
    </row>
    <row r="81" spans="1:14" hidden="1" outlineLevel="1" x14ac:dyDescent="0.2">
      <c r="A81" s="298">
        <v>44</v>
      </c>
      <c r="B81" s="299" t="str">
        <f t="shared" si="5"/>
        <v>44x56F</v>
      </c>
      <c r="C81" s="116" t="str">
        <f t="shared" si="6"/>
        <v>USD44x56F_SYNTH1Y_Quote</v>
      </c>
      <c r="D81" s="116"/>
      <c r="E81" s="116" t="str">
        <f>_xll.ohRangeRetrieveError(D81)</f>
        <v/>
      </c>
      <c r="F81" s="2">
        <v>44</v>
      </c>
      <c r="G81" s="286" t="str">
        <f t="shared" si="7"/>
        <v>44x56F</v>
      </c>
      <c r="H81" s="287"/>
      <c r="I81" s="9"/>
      <c r="J81" s="272">
        <v>0</v>
      </c>
      <c r="K81" s="9"/>
      <c r="L81" s="261">
        <v>0</v>
      </c>
      <c r="M81" s="262"/>
      <c r="N81" s="246"/>
    </row>
    <row r="82" spans="1:14" hidden="1" outlineLevel="1" x14ac:dyDescent="0.2">
      <c r="A82" s="298">
        <v>45</v>
      </c>
      <c r="B82" s="299" t="str">
        <f t="shared" si="5"/>
        <v>45x57F</v>
      </c>
      <c r="C82" s="116" t="str">
        <f t="shared" si="6"/>
        <v>USD45x57F_SYNTH1Y_Quote</v>
      </c>
      <c r="D82" s="116"/>
      <c r="E82" s="116" t="str">
        <f>_xll.ohRangeRetrieveError(D82)</f>
        <v/>
      </c>
      <c r="F82" s="2">
        <v>45</v>
      </c>
      <c r="G82" s="286" t="str">
        <f t="shared" si="7"/>
        <v>45x57F</v>
      </c>
      <c r="H82" s="287"/>
      <c r="I82" s="9"/>
      <c r="J82" s="272">
        <v>0</v>
      </c>
      <c r="K82" s="9"/>
      <c r="L82" s="261">
        <v>0</v>
      </c>
      <c r="M82" s="262"/>
      <c r="N82" s="246"/>
    </row>
    <row r="83" spans="1:14" hidden="1" outlineLevel="1" x14ac:dyDescent="0.2">
      <c r="A83" s="298">
        <v>46</v>
      </c>
      <c r="B83" s="299" t="str">
        <f t="shared" si="5"/>
        <v>46x58F</v>
      </c>
      <c r="C83" s="116" t="str">
        <f t="shared" si="6"/>
        <v>USD46x58F_SYNTH1Y_Quote</v>
      </c>
      <c r="D83" s="116"/>
      <c r="E83" s="116" t="str">
        <f>_xll.ohRangeRetrieveError(D83)</f>
        <v/>
      </c>
      <c r="F83" s="2">
        <v>46</v>
      </c>
      <c r="G83" s="286" t="str">
        <f t="shared" si="7"/>
        <v>46x58F</v>
      </c>
      <c r="H83" s="287"/>
      <c r="I83" s="9"/>
      <c r="J83" s="272">
        <v>0</v>
      </c>
      <c r="K83" s="9"/>
      <c r="L83" s="261">
        <v>0</v>
      </c>
      <c r="M83" s="262"/>
      <c r="N83" s="246"/>
    </row>
    <row r="84" spans="1:14" hidden="1" outlineLevel="1" x14ac:dyDescent="0.2">
      <c r="A84" s="351">
        <v>47</v>
      </c>
      <c r="B84" s="303" t="str">
        <f t="shared" si="5"/>
        <v>47x59F</v>
      </c>
      <c r="C84" s="140" t="str">
        <f t="shared" si="6"/>
        <v>USD47x59F_SYNTH1Y_Quote</v>
      </c>
      <c r="D84" s="140"/>
      <c r="E84" s="140" t="str">
        <f>_xll.ohRangeRetrieveError(D84)</f>
        <v/>
      </c>
      <c r="F84" s="2">
        <v>47</v>
      </c>
      <c r="G84" s="288" t="str">
        <f t="shared" si="7"/>
        <v>47x59F</v>
      </c>
      <c r="H84" s="289"/>
      <c r="I84" s="9"/>
      <c r="J84" s="273">
        <v>0</v>
      </c>
      <c r="K84" s="9"/>
      <c r="L84" s="263">
        <v>0</v>
      </c>
      <c r="M84" s="264"/>
      <c r="N84" s="246"/>
    </row>
    <row r="85" spans="1:14" collapsed="1" x14ac:dyDescent="0.2">
      <c r="A85" s="247"/>
      <c r="B85" s="248"/>
      <c r="C85" s="249"/>
      <c r="D85" s="249"/>
      <c r="E85" s="249"/>
      <c r="F85" s="250"/>
      <c r="G85" s="250"/>
      <c r="H85" s="250"/>
      <c r="I85" s="250"/>
      <c r="J85" s="250"/>
      <c r="K85" s="250"/>
      <c r="L85" s="250"/>
      <c r="M85" s="250"/>
      <c r="N85" s="25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opLeftCell="O1" workbookViewId="0">
      <selection activeCell="P2" sqref="P2"/>
    </sheetView>
  </sheetViews>
  <sheetFormatPr defaultRowHeight="11.25" outlineLevelCol="1" x14ac:dyDescent="0.2"/>
  <cols>
    <col min="1" max="1" width="3.1640625" style="115" hidden="1" customWidth="1" outlineLevel="1"/>
    <col min="2" max="3" width="7" style="115" hidden="1" customWidth="1" outlineLevel="1"/>
    <col min="4" max="4" width="3.5" style="115" hidden="1" customWidth="1" outlineLevel="1"/>
    <col min="5" max="5" width="2.33203125" style="144" hidden="1" customWidth="1" outlineLevel="1"/>
    <col min="6" max="6" width="4.6640625" style="144" hidden="1" customWidth="1" outlineLevel="1"/>
    <col min="7" max="7" width="8.1640625" style="115" hidden="1" customWidth="1" outlineLevel="1"/>
    <col min="8" max="8" width="22.5" style="115" hidden="1" customWidth="1" outlineLevel="1"/>
    <col min="9" max="9" width="12.83203125" style="115" hidden="1" customWidth="1" outlineLevel="1"/>
    <col min="10" max="10" width="9.33203125" style="115" hidden="1" customWidth="1" outlineLevel="1"/>
    <col min="11" max="11" width="31.1640625" style="115" hidden="1" customWidth="1" outlineLevel="1"/>
    <col min="12" max="12" width="17.83203125" style="146" hidden="1" customWidth="1" outlineLevel="1"/>
    <col min="13" max="13" width="21.83203125" style="115" hidden="1" customWidth="1" outlineLevel="1"/>
    <col min="14" max="14" width="3.5" style="115" hidden="1" customWidth="1" outlineLevel="1"/>
    <col min="15" max="15" width="3.5" style="115" customWidth="1" collapsed="1"/>
    <col min="16" max="16" width="31.1640625" style="115" bestFit="1" customWidth="1"/>
    <col min="17" max="21" width="20.1640625" style="115" bestFit="1" customWidth="1"/>
    <col min="22" max="22" width="20.1640625" style="115" hidden="1" customWidth="1" outlineLevel="1"/>
    <col min="23" max="23" width="14.1640625" style="115" hidden="1" customWidth="1" outlineLevel="1"/>
    <col min="24" max="24" width="10.5" style="115" bestFit="1" customWidth="1" collapsed="1"/>
    <col min="25" max="25" width="9.33203125" style="115" customWidth="1"/>
    <col min="26" max="26" width="9.33203125" style="115" bestFit="1" customWidth="1"/>
    <col min="27" max="27" width="7" style="115" bestFit="1" customWidth="1"/>
    <col min="28" max="16384" width="9.33203125" style="115"/>
  </cols>
  <sheetData>
    <row r="1" spans="2:21" ht="11.25" customHeight="1" x14ac:dyDescent="0.2">
      <c r="B1" s="373" t="s">
        <v>181</v>
      </c>
      <c r="C1" s="373" t="s">
        <v>181</v>
      </c>
      <c r="D1" s="373"/>
      <c r="E1" s="373"/>
      <c r="F1" s="373"/>
      <c r="G1" s="373"/>
      <c r="H1" s="373"/>
      <c r="I1" s="373"/>
      <c r="J1" s="373"/>
      <c r="K1" s="373" t="s">
        <v>31</v>
      </c>
      <c r="L1" s="373" t="str">
        <f>PROPER(Currency)&amp;IborType&amp;K1</f>
        <v>UsdLibor1M</v>
      </c>
      <c r="M1" s="373" t="str">
        <f>_xll.ohRangeRetrieveError(L1)</f>
        <v/>
      </c>
    </row>
    <row r="2" spans="2:21" ht="24" customHeight="1" x14ac:dyDescent="0.2">
      <c r="B2" s="118" t="s">
        <v>183</v>
      </c>
      <c r="C2" s="118" t="s">
        <v>104</v>
      </c>
      <c r="D2" s="118"/>
      <c r="E2" s="119"/>
      <c r="F2" s="119"/>
      <c r="G2" s="118" t="s">
        <v>105</v>
      </c>
      <c r="H2" s="118" t="s">
        <v>106</v>
      </c>
      <c r="I2" s="118" t="s">
        <v>107</v>
      </c>
      <c r="J2" s="118" t="s">
        <v>108</v>
      </c>
      <c r="K2" s="118" t="s">
        <v>67</v>
      </c>
      <c r="L2" s="118" t="s">
        <v>68</v>
      </c>
      <c r="M2" s="120" t="s">
        <v>27</v>
      </c>
      <c r="O2" s="142"/>
      <c r="P2" s="121" t="s">
        <v>109</v>
      </c>
      <c r="Q2" s="121" t="s">
        <v>69</v>
      </c>
      <c r="R2" s="121" t="s">
        <v>108</v>
      </c>
      <c r="S2" s="121" t="s">
        <v>70</v>
      </c>
      <c r="T2" s="118" t="s">
        <v>71</v>
      </c>
      <c r="U2" s="118" t="s">
        <v>72</v>
      </c>
    </row>
    <row r="3" spans="2:21" ht="11.25" customHeight="1" x14ac:dyDescent="0.2">
      <c r="B3" s="125"/>
      <c r="C3" s="125" t="s">
        <v>112</v>
      </c>
      <c r="D3" s="126"/>
      <c r="E3" s="127"/>
      <c r="F3" s="127"/>
      <c r="G3" s="126"/>
      <c r="H3" s="128" t="s">
        <v>110</v>
      </c>
      <c r="I3" s="126"/>
      <c r="J3" s="126"/>
      <c r="K3" s="126" t="str">
        <f>PROPER((Currency))&amp;IborType&amp;K1&amp;"LastFixing"&amp;QuoteSuffix</f>
        <v>UsdLibor1MLastFixing_Quote</v>
      </c>
      <c r="L3" s="129" t="str">
        <f>_xll.qlDepositRateHelper2(,K3,K1,2,Calendar,H3,,DayCounter,Permanent,Trigger,ObjectOverwrite)</f>
        <v>obj_00206#0000</v>
      </c>
      <c r="M3" s="374" t="str">
        <f>_xll.ohRangeRetrieveError(L3)</f>
        <v/>
      </c>
      <c r="O3" s="143"/>
      <c r="P3" s="28" t="str">
        <f>_xll.qlRateHelperQuoteName(L3,Trigger)</f>
        <v>UsdLibor1MLastFixing_Quote</v>
      </c>
      <c r="Q3" s="29">
        <f>_xll.qlQuoteValue(K3,AllTriggers)</f>
        <v>4.2160000000000001E-3</v>
      </c>
      <c r="R3" s="43" t="str">
        <f>IF(ISBLANK(J3),"--",_xll.qlSwapRateHelperSpread(L3,AllTriggers))</f>
        <v>--</v>
      </c>
      <c r="S3" s="28" t="b">
        <f>NOT(ISERROR(Q3))</f>
        <v>1</v>
      </c>
      <c r="T3" s="30">
        <f>_xll.qlRateHelperEarliestDate(L3,Trigger)</f>
        <v>42369</v>
      </c>
      <c r="U3" s="30">
        <f>_xll.qlRateHelperPillarDate(L3,Trigger)</f>
        <v>42398</v>
      </c>
    </row>
    <row r="4" spans="2:21" ht="11.25" customHeight="1" x14ac:dyDescent="0.2">
      <c r="B4" s="125"/>
      <c r="C4" s="125" t="s">
        <v>112</v>
      </c>
      <c r="D4" s="130" t="s">
        <v>38</v>
      </c>
      <c r="E4" s="131">
        <v>2</v>
      </c>
      <c r="F4" s="131" t="s">
        <v>113</v>
      </c>
      <c r="G4" s="125" t="s">
        <v>114</v>
      </c>
      <c r="H4" s="128" t="s">
        <v>110</v>
      </c>
      <c r="I4" s="128" t="s">
        <v>174</v>
      </c>
      <c r="J4" s="132">
        <v>0</v>
      </c>
      <c r="K4" s="133" t="str">
        <f t="shared" ref="K4:K9" si="0">Currency&amp;$E4&amp;$F4&amp;"_Quote"</f>
        <v>USD2X1S_Quote</v>
      </c>
      <c r="L4" s="116" t="str">
        <f>_xll.qlSwapRateHelper2(,$K4,,D4,Calendar,$G4,$H4,$I4,$L$1,$J4,C4,Discounting,,,Permanent,Trigger,ObjectOverwrite)</f>
        <v>obj_001cd#0000</v>
      </c>
      <c r="M4" s="374" t="str">
        <f>_xll.ohRangeRetrieveError(L4)</f>
        <v/>
      </c>
      <c r="O4" s="143"/>
      <c r="P4" s="28" t="str">
        <f>_xll.qlRateHelperQuoteName(L4,Trigger)</f>
        <v>USD2X1S_Quote</v>
      </c>
      <c r="Q4" s="29">
        <f>_xll.qlQuoteValue(K4,AllTriggers)</f>
        <v>4.2999999999999991E-3</v>
      </c>
      <c r="R4" s="45">
        <f>IF(ISBLANK(J4),"--",_xll.qlSwapRateHelperSpread(L4,AllTriggers))</f>
        <v>0</v>
      </c>
      <c r="S4" s="28" t="b">
        <f t="shared" ref="S4:S9" si="1">NOT(ISERROR(Q4))</f>
        <v>1</v>
      </c>
      <c r="T4" s="30">
        <f>_xll.qlRateHelperEarliestDate(L4,Trigger)</f>
        <v>42369</v>
      </c>
      <c r="U4" s="30">
        <f>_xll.qlRateHelperPillarDate(L4,Trigger)</f>
        <v>42429</v>
      </c>
    </row>
    <row r="5" spans="2:21" ht="11.25" customHeight="1" x14ac:dyDescent="0.2">
      <c r="B5" s="125"/>
      <c r="C5" s="125" t="s">
        <v>112</v>
      </c>
      <c r="D5" s="130" t="s">
        <v>32</v>
      </c>
      <c r="E5" s="131">
        <v>3</v>
      </c>
      <c r="F5" s="131" t="s">
        <v>113</v>
      </c>
      <c r="G5" s="125" t="s">
        <v>114</v>
      </c>
      <c r="H5" s="128" t="s">
        <v>110</v>
      </c>
      <c r="I5" s="128" t="s">
        <v>174</v>
      </c>
      <c r="J5" s="132">
        <v>0</v>
      </c>
      <c r="K5" s="133" t="str">
        <f t="shared" si="0"/>
        <v>USD3X1S_Quote</v>
      </c>
      <c r="L5" s="116" t="str">
        <f>_xll.qlSwapRateHelper2(,$K5,,D5,Calendar,$G5,$H5,$I5,$L$1,$J5,C5,Discounting,,,Permanent,Trigger,ObjectOverwrite)</f>
        <v>obj_001cc#0000</v>
      </c>
      <c r="M5" s="374" t="str">
        <f>_xll.ohRangeRetrieveError(L5)</f>
        <v/>
      </c>
      <c r="O5" s="143"/>
      <c r="P5" s="28" t="str">
        <f>_xll.qlRateHelperQuoteName(L5,Trigger)</f>
        <v>USD3X1S_Quote</v>
      </c>
      <c r="Q5" s="29">
        <f>_xll.qlQuoteValue(K5,AllTriggers)</f>
        <v>4.4999999999999997E-3</v>
      </c>
      <c r="R5" s="45">
        <f>IF(ISBLANK(J5),"--",_xll.qlSwapRateHelperSpread(L5,AllTriggers))</f>
        <v>0</v>
      </c>
      <c r="S5" s="28" t="b">
        <f t="shared" si="1"/>
        <v>1</v>
      </c>
      <c r="T5" s="30">
        <f>_xll.qlRateHelperEarliestDate(L5,Trigger)</f>
        <v>42369</v>
      </c>
      <c r="U5" s="30">
        <f>_xll.qlRateHelperPillarDate(L5,Trigger)</f>
        <v>42460</v>
      </c>
    </row>
    <row r="6" spans="2:21" ht="11.25" customHeight="1" x14ac:dyDescent="0.2">
      <c r="B6" s="125"/>
      <c r="C6" s="125" t="s">
        <v>112</v>
      </c>
      <c r="D6" s="130" t="s">
        <v>39</v>
      </c>
      <c r="E6" s="131">
        <v>4</v>
      </c>
      <c r="F6" s="131" t="s">
        <v>113</v>
      </c>
      <c r="G6" s="125" t="s">
        <v>114</v>
      </c>
      <c r="H6" s="128" t="s">
        <v>110</v>
      </c>
      <c r="I6" s="128" t="s">
        <v>174</v>
      </c>
      <c r="J6" s="132">
        <v>0</v>
      </c>
      <c r="K6" s="133" t="str">
        <f t="shared" si="0"/>
        <v>USD4X1S_Quote</v>
      </c>
      <c r="L6" s="116" t="str">
        <f>_xll.qlSwapRateHelper2(,$K6,,D6,Calendar,$G6,$H6,$I6,$L$1,$J6,C6,Discounting,,,Permanent,Trigger,ObjectOverwrite)</f>
        <v>obj_001c9#0000</v>
      </c>
      <c r="M6" s="374" t="str">
        <f>_xll.ohRangeRetrieveError(L6)</f>
        <v/>
      </c>
      <c r="O6" s="143"/>
      <c r="P6" s="28" t="str">
        <f>_xll.qlRateHelperQuoteName(L6,Trigger)</f>
        <v>USD4X1S_Quote</v>
      </c>
      <c r="Q6" s="29">
        <f>_xll.qlQuoteValue(K6,AllTriggers)</f>
        <v>4.7300000000000007E-3</v>
      </c>
      <c r="R6" s="45">
        <f>IF(ISBLANK(J6),"--",_xll.qlSwapRateHelperSpread(L6,AllTriggers))</f>
        <v>0</v>
      </c>
      <c r="S6" s="28" t="b">
        <f t="shared" si="1"/>
        <v>1</v>
      </c>
      <c r="T6" s="30">
        <f>_xll.qlRateHelperEarliestDate(L6,Trigger)</f>
        <v>42369</v>
      </c>
      <c r="U6" s="30">
        <f>_xll.qlRateHelperPillarDate(L6,Trigger)</f>
        <v>42489</v>
      </c>
    </row>
    <row r="7" spans="2:21" ht="11.25" customHeight="1" x14ac:dyDescent="0.2">
      <c r="B7" s="125"/>
      <c r="C7" s="125" t="s">
        <v>112</v>
      </c>
      <c r="D7" s="130" t="s">
        <v>40</v>
      </c>
      <c r="E7" s="131">
        <v>5</v>
      </c>
      <c r="F7" s="131" t="s">
        <v>113</v>
      </c>
      <c r="G7" s="125" t="s">
        <v>114</v>
      </c>
      <c r="H7" s="128" t="s">
        <v>110</v>
      </c>
      <c r="I7" s="128" t="s">
        <v>174</v>
      </c>
      <c r="J7" s="132">
        <v>0</v>
      </c>
      <c r="K7" s="133" t="str">
        <f t="shared" si="0"/>
        <v>USD5X1S_Quote</v>
      </c>
      <c r="L7" s="116" t="str">
        <f>_xll.qlSwapRateHelper2(,$K7,,D7,Calendar,$G7,$H7,$I7,$L$1,$J7,C7,Discounting,,,Permanent,Trigger,ObjectOverwrite)</f>
        <v>obj_001ca#0000</v>
      </c>
      <c r="M7" s="374" t="str">
        <f>_xll.ohRangeRetrieveError(L7)</f>
        <v/>
      </c>
      <c r="O7" s="143"/>
      <c r="P7" s="28" t="str">
        <f>_xll.qlRateHelperQuoteName(L7,Trigger)</f>
        <v>USD5X1S_Quote</v>
      </c>
      <c r="Q7" s="29">
        <f>_xll.qlQuoteValue(K7,AllTriggers)</f>
        <v>4.9499999999999995E-3</v>
      </c>
      <c r="R7" s="45">
        <f>IF(ISBLANK(J7),"--",_xll.qlSwapRateHelperSpread(L7,AllTriggers))</f>
        <v>0</v>
      </c>
      <c r="S7" s="28" t="b">
        <f t="shared" si="1"/>
        <v>1</v>
      </c>
      <c r="T7" s="30">
        <f>_xll.qlRateHelperEarliestDate(L7,Trigger)</f>
        <v>42369</v>
      </c>
      <c r="U7" s="30">
        <f>_xll.qlRateHelperPillarDate(L7,Trigger)</f>
        <v>42521</v>
      </c>
    </row>
    <row r="8" spans="2:21" ht="11.25" customHeight="1" x14ac:dyDescent="0.2">
      <c r="B8" s="125"/>
      <c r="C8" s="125" t="s">
        <v>112</v>
      </c>
      <c r="D8" s="130" t="s">
        <v>33</v>
      </c>
      <c r="E8" s="131">
        <v>6</v>
      </c>
      <c r="F8" s="131" t="s">
        <v>113</v>
      </c>
      <c r="G8" s="125" t="s">
        <v>114</v>
      </c>
      <c r="H8" s="128" t="s">
        <v>110</v>
      </c>
      <c r="I8" s="128" t="s">
        <v>174</v>
      </c>
      <c r="J8" s="132">
        <v>0</v>
      </c>
      <c r="K8" s="133" t="str">
        <f t="shared" si="0"/>
        <v>USD6X1S_Quote</v>
      </c>
      <c r="L8" s="116" t="str">
        <f>_xll.qlSwapRateHelper2(,$K8,,D8,Calendar,$G8,$H8,$I8,$L$1,$J8,C8,Discounting,,,Permanent,Trigger,ObjectOverwrite)</f>
        <v>obj_001cb#0000</v>
      </c>
      <c r="M8" s="374" t="str">
        <f>_xll.ohRangeRetrieveError(L8)</f>
        <v/>
      </c>
      <c r="O8" s="143"/>
      <c r="P8" s="28" t="str">
        <f>_xll.qlRateHelperQuoteName(L8,Trigger)</f>
        <v>USD6X1S_Quote</v>
      </c>
      <c r="Q8" s="29">
        <f>_xll.qlQuoteValue(K8,AllTriggers)</f>
        <v>5.1600000000000005E-3</v>
      </c>
      <c r="R8" s="45">
        <f>IF(ISBLANK(J8),"--",_xll.qlSwapRateHelperSpread(L8,AllTriggers))</f>
        <v>0</v>
      </c>
      <c r="S8" s="28" t="b">
        <f t="shared" si="1"/>
        <v>1</v>
      </c>
      <c r="T8" s="30">
        <f>_xll.qlRateHelperEarliestDate(L8,Trigger)</f>
        <v>42369</v>
      </c>
      <c r="U8" s="30">
        <f>_xll.qlRateHelperPillarDate(L8,Trigger)</f>
        <v>42551</v>
      </c>
    </row>
    <row r="9" spans="2:21" ht="11.25" customHeight="1" x14ac:dyDescent="0.2">
      <c r="B9" s="134"/>
      <c r="C9" s="134" t="s">
        <v>112</v>
      </c>
      <c r="D9" s="135" t="s">
        <v>41</v>
      </c>
      <c r="E9" s="136">
        <v>7</v>
      </c>
      <c r="F9" s="136" t="s">
        <v>113</v>
      </c>
      <c r="G9" s="134" t="s">
        <v>114</v>
      </c>
      <c r="H9" s="137" t="s">
        <v>110</v>
      </c>
      <c r="I9" s="137" t="s">
        <v>174</v>
      </c>
      <c r="J9" s="138">
        <v>0</v>
      </c>
      <c r="K9" s="139" t="str">
        <f t="shared" si="0"/>
        <v>USD7X1S_Quote</v>
      </c>
      <c r="L9" s="140" t="str">
        <f>_xll.qlSwapRateHelper2(,$K9,,D9,Calendar,$G9,$H9,$I9,$L$1,$J9,C9,Discounting,,,Permanent,Trigger,ObjectOverwrite)</f>
        <v>obj_001c8#0000</v>
      </c>
      <c r="M9" s="375" t="str">
        <f>_xll.ohRangeRetrieveError(L9)</f>
        <v/>
      </c>
      <c r="P9" s="31" t="str">
        <f>_xll.qlRateHelperQuoteName(L9,Trigger)</f>
        <v>USD7X1S_Quote</v>
      </c>
      <c r="Q9" s="32">
        <f>_xll.qlQuoteValue(K9,AllTriggers)</f>
        <v>5.3800000000000002E-3</v>
      </c>
      <c r="R9" s="46">
        <f>IF(ISBLANK(J9),"--",_xll.qlSwapRateHelperSpread(L9,AllTriggers))</f>
        <v>0</v>
      </c>
      <c r="S9" s="31" t="b">
        <f t="shared" si="1"/>
        <v>1</v>
      </c>
      <c r="T9" s="33">
        <f>_xll.qlRateHelperEarliestDate(L9,Trigger)</f>
        <v>42369</v>
      </c>
      <c r="U9" s="33">
        <f>_xll.qlRateHelperPillarDate(L9,Trigger)</f>
        <v>42580</v>
      </c>
    </row>
    <row r="10" spans="2:21" x14ac:dyDescent="0.2">
      <c r="J10" s="145"/>
      <c r="K10" s="145"/>
      <c r="M10" s="143"/>
    </row>
    <row r="11" spans="2:21" x14ac:dyDescent="0.2">
      <c r="J11" s="145"/>
      <c r="K11" s="145"/>
      <c r="M11" s="143"/>
      <c r="P11" s="122" t="str">
        <f>K1&amp;" "&amp;PROPER(Currency)&amp;IborType&amp;" Curve"</f>
        <v>1M UsdLibor Curve</v>
      </c>
      <c r="Q11" s="123"/>
      <c r="R11" s="123"/>
      <c r="S11" s="123"/>
      <c r="T11" s="123"/>
      <c r="U11" s="124" t="s">
        <v>134</v>
      </c>
    </row>
    <row r="12" spans="2:21" ht="11.25" customHeight="1" x14ac:dyDescent="0.2">
      <c r="J12" s="145"/>
      <c r="K12" s="145"/>
      <c r="M12" s="121" t="s">
        <v>111</v>
      </c>
      <c r="P12" s="121" t="s">
        <v>76</v>
      </c>
      <c r="Q12" s="121" t="s">
        <v>77</v>
      </c>
      <c r="R12" s="121" t="s">
        <v>108</v>
      </c>
      <c r="S12" s="121" t="s">
        <v>71</v>
      </c>
      <c r="T12" s="121" t="s">
        <v>72</v>
      </c>
      <c r="U12" s="34">
        <f t="array" ref="U12:U21">_xll.qlPiecewiseYieldCurveData('General Settings'!D31,InterestRatesTrigger)</f>
        <v>1</v>
      </c>
    </row>
    <row r="13" spans="2:21" x14ac:dyDescent="0.2">
      <c r="J13" s="145"/>
      <c r="K13" s="145"/>
      <c r="M13" s="126" t="str">
        <f t="array" ref="M13:M21">_xll.ohFilter(L3:L9,S3:S9)</f>
        <v>obj_00206#0000</v>
      </c>
      <c r="P13" s="37" t="str">
        <f>IFERROR(_xll.qlRateHelperQuoteName(M13,Trigger),"")</f>
        <v>UsdLibor1MLastFixing_Quote</v>
      </c>
      <c r="Q13" s="29">
        <f>IFERROR(_xll.qlRateHelperRate(M13,AllTriggers),"")</f>
        <v>4.2160000000000001E-3</v>
      </c>
      <c r="R13" s="43" t="str">
        <f>IFERROR(_xll.qlSwapRateHelperSpread(M13,Trigger),"")</f>
        <v/>
      </c>
      <c r="S13" s="30">
        <f>IFERROR(_xll.qlRateHelperEarliestDate(M13,Trigger),"")</f>
        <v>42369</v>
      </c>
      <c r="T13" s="30">
        <f>IFERROR(_xll.qlRateHelperPillarDate(M13,Trigger),"")</f>
        <v>42398</v>
      </c>
      <c r="U13" s="35">
        <v>0.99964875704305833</v>
      </c>
    </row>
    <row r="14" spans="2:21" x14ac:dyDescent="0.2">
      <c r="J14" s="145"/>
      <c r="K14" s="145"/>
      <c r="M14" s="126" t="str">
        <v>obj_001cd#0000</v>
      </c>
      <c r="P14" s="37" t="str">
        <f>IFERROR(_xll.qlRateHelperQuoteName(M14,Trigger),"")</f>
        <v>USD2X1S_Quote</v>
      </c>
      <c r="Q14" s="29">
        <f>IFERROR(_xll.qlRateHelperRate(M14,AllTriggers),"")</f>
        <v>4.2999999999999991E-3</v>
      </c>
      <c r="R14" s="43">
        <f>IFERROR(_xll.qlSwapRateHelperSpread(M14,Trigger),"")</f>
        <v>0</v>
      </c>
      <c r="S14" s="30">
        <f>IFERROR(_xll.qlRateHelperEarliestDate(M14,Trigger),"")</f>
        <v>42369</v>
      </c>
      <c r="T14" s="30">
        <f>IFERROR(_xll.qlRateHelperPillarDate(M14,Trigger),"")</f>
        <v>42429</v>
      </c>
      <c r="U14" s="35">
        <v>0.99927209444237153</v>
      </c>
    </row>
    <row r="15" spans="2:21" x14ac:dyDescent="0.2">
      <c r="J15" s="145"/>
      <c r="K15" s="145"/>
      <c r="M15" s="126" t="str">
        <v>obj_001cc#0000</v>
      </c>
      <c r="P15" s="37" t="str">
        <f>IFERROR(_xll.qlRateHelperQuoteName(M15,Trigger),"")</f>
        <v>USD3X1S_Quote</v>
      </c>
      <c r="Q15" s="29">
        <f>IFERROR(_xll.qlRateHelperRate(M15,AllTriggers),"")</f>
        <v>4.4999999999999997E-3</v>
      </c>
      <c r="R15" s="43">
        <f>IFERROR(_xll.qlSwapRateHelperSpread(M15,Trigger),"")</f>
        <v>0</v>
      </c>
      <c r="S15" s="30">
        <f>IFERROR(_xll.qlRateHelperEarliestDate(M15,Trigger),"")</f>
        <v>42369</v>
      </c>
      <c r="T15" s="30">
        <f>IFERROR(_xll.qlRateHelperPillarDate(M15,Trigger),"")</f>
        <v>42460</v>
      </c>
      <c r="U15" s="35">
        <v>0.99885200121519069</v>
      </c>
    </row>
    <row r="16" spans="2:21" x14ac:dyDescent="0.2">
      <c r="J16" s="145"/>
      <c r="K16" s="145"/>
      <c r="M16" s="126" t="str">
        <v>obj_001c9#0000</v>
      </c>
      <c r="P16" s="37" t="str">
        <f>IFERROR(_xll.qlRateHelperQuoteName(M16,Trigger),"")</f>
        <v>USD4X1S_Quote</v>
      </c>
      <c r="Q16" s="29">
        <f>IFERROR(_xll.qlRateHelperRate(M16,AllTriggers),"")</f>
        <v>4.7300000000000007E-3</v>
      </c>
      <c r="R16" s="43">
        <f>IFERROR(_xll.qlSwapRateHelperSpread(M16,Trigger),"")</f>
        <v>0</v>
      </c>
      <c r="S16" s="30">
        <f>IFERROR(_xll.qlRateHelperEarliestDate(M16,Trigger),"")</f>
        <v>42369</v>
      </c>
      <c r="T16" s="30">
        <f>IFERROR(_xll.qlRateHelperPillarDate(M16,Trigger),"")</f>
        <v>42489</v>
      </c>
      <c r="U16" s="35">
        <v>0.99841398193951036</v>
      </c>
    </row>
    <row r="17" spans="10:25" x14ac:dyDescent="0.2">
      <c r="J17" s="145"/>
      <c r="K17" s="145"/>
      <c r="M17" s="126" t="str">
        <v>obj_001ca#0000</v>
      </c>
      <c r="P17" s="37" t="str">
        <f>IFERROR(_xll.qlRateHelperQuoteName(M17,Trigger),"")</f>
        <v>USD5X1S_Quote</v>
      </c>
      <c r="Q17" s="29">
        <f>IFERROR(_xll.qlRateHelperRate(M17,AllTriggers),"")</f>
        <v>4.9499999999999995E-3</v>
      </c>
      <c r="R17" s="43">
        <f>IFERROR(_xll.qlSwapRateHelperSpread(M17,Trigger),"")</f>
        <v>0</v>
      </c>
      <c r="S17" s="30">
        <f>IFERROR(_xll.qlRateHelperEarliestDate(M17,Trigger),"")</f>
        <v>42369</v>
      </c>
      <c r="T17" s="30">
        <f>IFERROR(_xll.qlRateHelperPillarDate(M17,Trigger),"")</f>
        <v>42521</v>
      </c>
      <c r="U17" s="35">
        <v>0.99790242957091313</v>
      </c>
    </row>
    <row r="18" spans="10:25" x14ac:dyDescent="0.2">
      <c r="J18" s="145"/>
      <c r="K18" s="145"/>
      <c r="M18" s="126" t="str">
        <v>obj_001cb#0000</v>
      </c>
      <c r="P18" s="37" t="str">
        <f>IFERROR(_xll.qlRateHelperQuoteName(M18,Trigger),"")</f>
        <v>USD6X1S_Quote</v>
      </c>
      <c r="Q18" s="29">
        <f>IFERROR(_xll.qlRateHelperRate(M18,AllTriggers),"")</f>
        <v>5.1600000000000005E-3</v>
      </c>
      <c r="R18" s="43">
        <f>IFERROR(_xll.qlSwapRateHelperSpread(M18,Trigger),"")</f>
        <v>0</v>
      </c>
      <c r="S18" s="30">
        <f>IFERROR(_xll.qlRateHelperEarliestDate(M18,Trigger),"")</f>
        <v>42369</v>
      </c>
      <c r="T18" s="30">
        <f>IFERROR(_xll.qlRateHelperPillarDate(M18,Trigger),"")</f>
        <v>42551</v>
      </c>
      <c r="U18" s="35">
        <v>0.99738605684499515</v>
      </c>
    </row>
    <row r="19" spans="10:25" x14ac:dyDescent="0.2">
      <c r="J19" s="145"/>
      <c r="K19" s="145"/>
      <c r="M19" s="126" t="str">
        <v>obj_001c8#0000</v>
      </c>
      <c r="P19" s="37" t="str">
        <f>IFERROR(_xll.qlRateHelperQuoteName(M19,Trigger),"")</f>
        <v>USD7X1S_Quote</v>
      </c>
      <c r="Q19" s="29">
        <f>IFERROR(_xll.qlRateHelperRate(M19,AllTriggers),"")</f>
        <v>5.3800000000000002E-3</v>
      </c>
      <c r="R19" s="43">
        <f>IFERROR(_xll.qlSwapRateHelperSpread(M19,Trigger),"")</f>
        <v>0</v>
      </c>
      <c r="S19" s="30">
        <f>IFERROR(_xll.qlRateHelperEarliestDate(M19,Trigger),"")</f>
        <v>42369</v>
      </c>
      <c r="T19" s="30">
        <f>IFERROR(_xll.qlRateHelperPillarDate(M19,Trigger),"")</f>
        <v>42580</v>
      </c>
      <c r="U19" s="35">
        <v>0.99684436708163859</v>
      </c>
    </row>
    <row r="20" spans="10:25" x14ac:dyDescent="0.2">
      <c r="J20" s="145"/>
      <c r="K20" s="145"/>
      <c r="M20" s="126" t="e">
        <v>#N/A</v>
      </c>
      <c r="P20" s="37" t="str">
        <f>IFERROR(_xll.qlRateHelperQuoteName(M20,Trigger),"")</f>
        <v/>
      </c>
      <c r="Q20" s="29" t="str">
        <f>IFERROR(_xll.qlRateHelperRate(M20,AllTriggers),"")</f>
        <v/>
      </c>
      <c r="R20" s="43" t="str">
        <f>IFERROR(_xll.qlSwapRateHelperSpread(M20,Trigger),"")</f>
        <v/>
      </c>
      <c r="S20" s="30" t="str">
        <f>IFERROR(_xll.qlRateHelperEarliestDate(M20,Trigger),"")</f>
        <v/>
      </c>
      <c r="T20" s="30" t="str">
        <f>IFERROR(_xll.qlRateHelperPillarDate(M20,Trigger),"")</f>
        <v/>
      </c>
      <c r="U20" s="35" t="e">
        <v>#N/A</v>
      </c>
    </row>
    <row r="21" spans="10:25" x14ac:dyDescent="0.2">
      <c r="J21" s="145"/>
      <c r="K21" s="145"/>
      <c r="M21" s="141" t="e">
        <v>#N/A</v>
      </c>
      <c r="P21" s="38" t="str">
        <f>IFERROR(_xll.qlRateHelperQuoteName(M21,Trigger),"")</f>
        <v/>
      </c>
      <c r="Q21" s="32" t="str">
        <f>IFERROR(_xll.qlRateHelperRate(M21,AllTriggers),"")</f>
        <v/>
      </c>
      <c r="R21" s="44" t="str">
        <f>IFERROR(_xll.qlSwapRateHelperSpread(M21,Trigger),"")</f>
        <v/>
      </c>
      <c r="S21" s="33" t="str">
        <f>IFERROR(_xll.qlRateHelperEarliestDate(M21,Trigger),"")</f>
        <v/>
      </c>
      <c r="T21" s="33" t="str">
        <f>IFERROR(_xll.qlRateHelperPillarDate(M21,Trigger),"")</f>
        <v/>
      </c>
      <c r="U21" s="36" t="e">
        <v>#N/A</v>
      </c>
    </row>
    <row r="22" spans="10:25" x14ac:dyDescent="0.2">
      <c r="J22" s="145"/>
      <c r="K22" s="145"/>
    </row>
    <row r="23" spans="10:25" x14ac:dyDescent="0.2">
      <c r="P23" s="122" t="str">
        <f>"Delta "&amp;K1</f>
        <v>Delta 1M</v>
      </c>
      <c r="Q23" s="123"/>
      <c r="R23" s="123"/>
      <c r="S23" s="123"/>
      <c r="T23" s="123"/>
      <c r="U23" s="124"/>
    </row>
    <row r="24" spans="10:25" x14ac:dyDescent="0.2">
      <c r="J24" s="145"/>
      <c r="K24" s="145"/>
      <c r="P24" s="171" t="str">
        <f>K1&amp;" Instruments"</f>
        <v>1M Instruments</v>
      </c>
      <c r="Q24" s="171" t="s">
        <v>98</v>
      </c>
      <c r="R24" s="171" t="s">
        <v>99</v>
      </c>
      <c r="S24" s="171" t="s">
        <v>120</v>
      </c>
      <c r="T24" s="171" t="str">
        <f>"F "&amp;K1</f>
        <v>F 1M</v>
      </c>
      <c r="U24" s="171" t="s">
        <v>123</v>
      </c>
      <c r="V24" s="171" t="s">
        <v>121</v>
      </c>
      <c r="W24" s="171" t="s">
        <v>122</v>
      </c>
      <c r="X24" s="171" t="s">
        <v>124</v>
      </c>
      <c r="Y24" s="171" t="s">
        <v>133</v>
      </c>
    </row>
    <row r="25" spans="10:25" x14ac:dyDescent="0.2">
      <c r="N25" s="115">
        <v>0</v>
      </c>
      <c r="O25" s="115">
        <f>N25+SUBSTITUTE($K$1,"M","")</f>
        <v>1</v>
      </c>
      <c r="P25" s="206" t="str">
        <f>N25&amp;"x"&amp;O25</f>
        <v>0x1</v>
      </c>
      <c r="Q25" s="39">
        <f>SettlementDate</f>
        <v>42369</v>
      </c>
      <c r="R25" s="39">
        <f>_xll.qlInterestRateIndexMaturity(iborindex1M,Q25,Trigger)</f>
        <v>42398</v>
      </c>
      <c r="S25" s="49">
        <f>_xll.qlDayCounterYearFraction(DayCounter,Q25,R25,,,Trigger)</f>
        <v>8.0555555555555561E-2</v>
      </c>
      <c r="T25" s="3">
        <f>_xll.qlIndexFixing(iborindex1M,_xll.qlInterestRateIndexFixingDate(iborindex1M,Q25,Trigger),TRUE,AllTriggers)</f>
        <v>4.2160000000007166E-3</v>
      </c>
      <c r="U25" s="3">
        <f>(V25/W25-1)/S25</f>
        <v>3.3943738178951943E-3</v>
      </c>
      <c r="V25" s="50">
        <f>_xll.qlYieldTSDiscount(Discounting,Q25,,AllTriggers)</f>
        <v>0.99996012451818017</v>
      </c>
      <c r="W25" s="50">
        <f>_xll.qlYieldTSDiscount(Discounting,R25,,AllTriggers)</f>
        <v>0.99968677449654142</v>
      </c>
      <c r="X25" s="207">
        <f>LN((1+T25*S25)/(1+U25*S25))</f>
        <v>6.61662717052205E-5</v>
      </c>
      <c r="Y25" s="3">
        <f>T25-U25</f>
        <v>8.2162618210552228E-4</v>
      </c>
    </row>
    <row r="26" spans="10:25" x14ac:dyDescent="0.2">
      <c r="J26" s="145"/>
      <c r="K26" s="145"/>
      <c r="N26" s="115">
        <v>1</v>
      </c>
      <c r="O26" s="115">
        <f t="shared" ref="O26:O28" si="2">N26+SUBSTITUTE($K$1,"M","")</f>
        <v>2</v>
      </c>
      <c r="P26" s="206" t="str">
        <f t="shared" ref="P26:P28" si="3">N26&amp;"x"&amp;O26</f>
        <v>1x2</v>
      </c>
      <c r="Q26" s="39">
        <f>R25</f>
        <v>42398</v>
      </c>
      <c r="R26" s="39">
        <f>_xll.qlInterestRateIndexMaturity(iborindex1M,Q26,Trigger)</f>
        <v>42429</v>
      </c>
      <c r="S26" s="49">
        <f>_xll.qlDayCounterYearFraction(DayCounter,Q26,R26,,,Trigger)</f>
        <v>8.611111111111111E-2</v>
      </c>
      <c r="T26" s="3">
        <f>_xll.qlIndexFixing(iborindex1M,_xll.qlInterestRateIndexFixingDate(iborindex1M,Q26,Trigger),TRUE,AllTriggers)</f>
        <v>4.377332615295733E-3</v>
      </c>
      <c r="U26" s="3">
        <f>(V26/W26-1)/S26</f>
        <v>3.6747591464943745E-3</v>
      </c>
      <c r="V26" s="50">
        <f>_xll.qlYieldTSDiscount(Discounting,Q26,,AllTriggers)</f>
        <v>0.99968677449654142</v>
      </c>
      <c r="W26" s="50">
        <f>_xll.qlYieldTSDiscount(Discounting,R26,,AllTriggers)</f>
        <v>0.99937053608941584</v>
      </c>
      <c r="X26" s="207">
        <f>LN((1+T26*S26)/(1+U26*S26))</f>
        <v>6.0478414956681767E-5</v>
      </c>
      <c r="Y26" s="3">
        <f t="shared" ref="Y26:Y28" si="4">T26-U26</f>
        <v>7.0257346880135858E-4</v>
      </c>
    </row>
    <row r="27" spans="10:25" x14ac:dyDescent="0.2">
      <c r="N27" s="115">
        <v>2</v>
      </c>
      <c r="O27" s="115">
        <f t="shared" si="2"/>
        <v>3</v>
      </c>
      <c r="P27" s="206" t="str">
        <f t="shared" si="3"/>
        <v>2x3</v>
      </c>
      <c r="Q27" s="39">
        <f>R26</f>
        <v>42429</v>
      </c>
      <c r="R27" s="39">
        <f>_xll.qlInterestRateIndexMaturity(iborindex1M,Q27,Trigger)</f>
        <v>42460</v>
      </c>
      <c r="S27" s="49">
        <f>_xll.qlDayCounterYearFraction(DayCounter,Q27,R27,,,Trigger)</f>
        <v>8.611111111111111E-2</v>
      </c>
      <c r="T27" s="3">
        <f>_xll.qlIndexFixing(iborindex1M,_xll.qlInterestRateIndexFixingDate(iborindex1M,Q27,Trigger),TRUE,AllTriggers)</f>
        <v>4.8841089441995934E-3</v>
      </c>
      <c r="U27" s="3">
        <f>(V27/W27-1)/S27</f>
        <v>4.1690651022821632E-3</v>
      </c>
      <c r="V27" s="50">
        <f>_xll.qlYieldTSDiscount(Discounting,Q27,,AllTriggers)</f>
        <v>0.99937053608941584</v>
      </c>
      <c r="W27" s="50">
        <f>_xll.qlYieldTSDiscount(Discounting,R27,,AllTriggers)</f>
        <v>0.9990118879961678</v>
      </c>
      <c r="X27" s="207">
        <f>LN((1+T27*S27)/(1+U27*S27))</f>
        <v>6.1549228500944189E-5</v>
      </c>
      <c r="Y27" s="3">
        <f t="shared" si="4"/>
        <v>7.1504384191743015E-4</v>
      </c>
    </row>
    <row r="28" spans="10:25" x14ac:dyDescent="0.2">
      <c r="J28" s="145"/>
      <c r="K28" s="145"/>
      <c r="N28" s="115">
        <v>3</v>
      </c>
      <c r="O28" s="115">
        <f t="shared" si="2"/>
        <v>4</v>
      </c>
      <c r="P28" s="208" t="str">
        <f t="shared" si="3"/>
        <v>3x4</v>
      </c>
      <c r="Q28" s="209">
        <f>R27</f>
        <v>42460</v>
      </c>
      <c r="R28" s="209">
        <f>_xll.qlInterestRateIndexMaturity(iborindex1M,Q28,Trigger)</f>
        <v>42489</v>
      </c>
      <c r="S28" s="72">
        <f>_xll.qlDayCounterYearFraction(DayCounter,Q28,R28,,,Trigger)</f>
        <v>8.0555555555555561E-2</v>
      </c>
      <c r="T28" s="60">
        <f>_xll.qlIndexFixing(iborindex1M,_xll.qlInterestRateIndexFixingDate(iborindex1M,Q28,Trigger),TRUE,AllTriggers)</f>
        <v>5.446118305609815E-3</v>
      </c>
      <c r="U28" s="60">
        <f>(V28/W28-1)/S28</f>
        <v>4.9253107751506629E-3</v>
      </c>
      <c r="V28" s="61">
        <f>_xll.qlYieldTSDiscount(Discounting,Q28,,AllTriggers)</f>
        <v>0.9990118879961678</v>
      </c>
      <c r="W28" s="61">
        <f>_xll.qlYieldTSDiscount(Discounting,R28,,AllTriggers)</f>
        <v>0.99861567609632995</v>
      </c>
      <c r="X28" s="210">
        <f>LN((1+T28*S28)/(1+U28*S28))</f>
        <v>4.1936421518198905E-5</v>
      </c>
      <c r="Y28" s="60">
        <f t="shared" si="4"/>
        <v>5.2080753045915217E-4</v>
      </c>
    </row>
    <row r="30" spans="10:25" x14ac:dyDescent="0.2">
      <c r="J30" s="145"/>
      <c r="K30" s="145"/>
    </row>
    <row r="32" spans="10:25" x14ac:dyDescent="0.2">
      <c r="J32" s="145"/>
      <c r="K32" s="145"/>
    </row>
    <row r="34" spans="10:11" x14ac:dyDescent="0.2">
      <c r="J34" s="145"/>
      <c r="K34" s="145"/>
    </row>
    <row r="36" spans="10:11" x14ac:dyDescent="0.2">
      <c r="J36" s="145"/>
      <c r="K36" s="145"/>
    </row>
  </sheetData>
  <dataValidations disablePrompts="1" count="3">
    <dataValidation type="list" allowBlank="1" showInputMessage="1" showErrorMessage="1" sqref="H3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84" customWidth="1"/>
    <col min="2" max="2" width="2.33203125" style="84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bestFit="1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customWidth="1"/>
    <col min="15" max="15" width="7" style="84" bestFit="1" customWidth="1"/>
    <col min="16" max="16" width="9.33203125" style="84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20" width="17.83203125" style="84" bestFit="1" customWidth="1"/>
    <col min="21" max="22" width="15.33203125" style="84" bestFit="1" customWidth="1"/>
    <col min="23" max="23" width="9.33203125" style="84"/>
    <col min="24" max="24" width="14.1640625" style="84" bestFit="1" customWidth="1"/>
    <col min="25" max="25" width="15.33203125" style="84" bestFit="1" customWidth="1"/>
    <col min="26" max="16384" width="9.33203125" style="84"/>
  </cols>
  <sheetData>
    <row r="1" spans="1:25" x14ac:dyDescent="0.2">
      <c r="E1" s="224" t="s">
        <v>97</v>
      </c>
      <c r="F1" s="225" t="s">
        <v>32</v>
      </c>
      <c r="N1" s="211" t="str">
        <f>_xll.qlInterpolation(,interpolator3M,_xll.ohFilter(E3:E15,M3:M15),_xll.ohFilter(L3:L15,M3:M15))</f>
        <v>obj_00444#0004</v>
      </c>
    </row>
    <row r="2" spans="1:25" ht="26.25" customHeight="1" x14ac:dyDescent="0.2">
      <c r="D2" s="171" t="str">
        <f>F1&amp;" Instruments"</f>
        <v>3M Instruments</v>
      </c>
      <c r="E2" s="171" t="s">
        <v>98</v>
      </c>
      <c r="F2" s="171" t="s">
        <v>99</v>
      </c>
      <c r="G2" s="171" t="s">
        <v>120</v>
      </c>
      <c r="H2" s="171" t="str">
        <f>F1&amp;" Market quote"</f>
        <v>3M Market quote</v>
      </c>
      <c r="I2" s="171" t="s">
        <v>121</v>
      </c>
      <c r="J2" s="171" t="s">
        <v>122</v>
      </c>
      <c r="K2" s="171" t="s">
        <v>123</v>
      </c>
      <c r="L2" s="171" t="s">
        <v>133</v>
      </c>
      <c r="M2" s="171" t="s">
        <v>76</v>
      </c>
      <c r="N2" s="171" t="s">
        <v>127</v>
      </c>
      <c r="O2" s="171" t="s">
        <v>136</v>
      </c>
      <c r="P2" s="171" t="s">
        <v>124</v>
      </c>
      <c r="R2" s="171" t="s">
        <v>98</v>
      </c>
      <c r="S2" s="227" t="s">
        <v>127</v>
      </c>
    </row>
    <row r="3" spans="1:25" ht="11.25" customHeight="1" x14ac:dyDescent="0.2">
      <c r="D3" s="215" t="str">
        <f>PROPER(Currency&amp;IborType)&amp;F1&amp;"LastFixing"&amp;QuoteSuffix</f>
        <v>Usdlibor3MLastFixing_Quote</v>
      </c>
      <c r="E3" s="216">
        <f>SettlementDate</f>
        <v>42369</v>
      </c>
      <c r="F3" s="216">
        <f>_xll.qlCalendarAdvance(Calendar,E3,F1,"mf",,Trigger)</f>
        <v>42460</v>
      </c>
      <c r="G3" s="217">
        <f>_xll.qlDayCounterYearFraction(DayCounter,E3,F3,,,Trigger)</f>
        <v>0.25277777777777777</v>
      </c>
      <c r="H3" s="218">
        <f>_xll.qlQuoteValue(D3,LastFixingsTrigger)</f>
        <v>6.0309999999999999E-3</v>
      </c>
      <c r="I3" s="219">
        <f>_xll.qlYieldTSDiscount(Discounting,E3,,AllTriggers)</f>
        <v>0.99996012451818017</v>
      </c>
      <c r="J3" s="219">
        <f>_xll.qlYieldTSDiscount(Discounting,F3,,AllTriggers)</f>
        <v>0.9990118879961678</v>
      </c>
      <c r="K3" s="218">
        <f>(I3/J3-1)/G3</f>
        <v>3.7549756983691206E-3</v>
      </c>
      <c r="L3" s="218">
        <f>H3-K3</f>
        <v>2.2760243016308793E-3</v>
      </c>
      <c r="M3" s="220" t="b">
        <v>1</v>
      </c>
      <c r="N3" s="221">
        <f>_xll.qlInterpolationInterpolate(B3Minterpolation,E3,TRUE,Trigger)</f>
        <v>2.2760243016308793E-3</v>
      </c>
      <c r="O3" s="222">
        <f>(L3-N3)*10000</f>
        <v>0</v>
      </c>
      <c r="P3" s="223">
        <f>LN((1+H3*G3)/(1+K3*G3))</f>
        <v>5.7461767165107723E-4</v>
      </c>
      <c r="R3" s="228">
        <f>E3</f>
        <v>42369</v>
      </c>
      <c r="S3" s="58">
        <f>_xll.qlInterpolationInterpolate(B3Minterpolation,R3,TRUE)</f>
        <v>2.2760243016308793E-3</v>
      </c>
      <c r="X3" s="112"/>
      <c r="Y3" s="112"/>
    </row>
    <row r="4" spans="1:25" ht="11.25" customHeight="1" x14ac:dyDescent="0.2">
      <c r="A4" s="84">
        <v>1</v>
      </c>
      <c r="B4" s="84" t="s">
        <v>28</v>
      </c>
      <c r="C4" s="84">
        <f>A4+SUBSTITUTE($F$1,"M","")</f>
        <v>4</v>
      </c>
      <c r="D4" s="212" t="str">
        <f>Currency&amp;A4&amp;B4&amp;C4&amp;"F"&amp;QuoteSuffix</f>
        <v>USD1x4F_Quote</v>
      </c>
      <c r="E4" s="27">
        <f>_xll.qlCalendarAdvance("target",$E$3,A4&amp;"M","mf",,Trigger)</f>
        <v>42398</v>
      </c>
      <c r="F4" s="27">
        <f>_xll.qlCalendarAdvance(Calendar,E4,$F$1,"mf",,Trigger)</f>
        <v>42489</v>
      </c>
      <c r="G4" s="49">
        <f>_xll.qlDayCounterYearFraction(DayCounter,E4,F4,,,Trigger)</f>
        <v>0.25277777777777777</v>
      </c>
      <c r="H4" s="3">
        <f>_xll.qlQuoteValue(D4,AllTriggers)</f>
        <v>6.3299999999999997E-3</v>
      </c>
      <c r="I4" s="50">
        <f>_xll.qlYieldTSDiscount(Discounting,E4,,AllTriggers)</f>
        <v>0.99968677449654142</v>
      </c>
      <c r="J4" s="50">
        <f>_xll.qlYieldTSDiscount(Discounting,F4,,AllTriggers)</f>
        <v>0.99861567609632995</v>
      </c>
      <c r="K4" s="3">
        <f t="shared" ref="K4:K6" si="0">(I4/J4-1)/G4</f>
        <v>4.2431862967034261E-3</v>
      </c>
      <c r="L4" s="3">
        <f t="shared" ref="L4:L15" si="1">H4-K4</f>
        <v>2.0868137032965736E-3</v>
      </c>
      <c r="M4" s="48" t="b">
        <v>0</v>
      </c>
      <c r="N4" s="3">
        <f>_xll.qlInterpolationInterpolate(B3Minterpolation,E4,TRUE,Trigger)</f>
        <v>2.2324371657094998E-3</v>
      </c>
      <c r="O4" s="74">
        <f t="shared" ref="O4:O15" si="2">(L4-N4)*10000</f>
        <v>-1.4562346241292621</v>
      </c>
      <c r="P4" s="68">
        <f t="shared" ref="P4:P15" si="3">LN((1+H4*G4)/(1+K4*G4))</f>
        <v>5.2679616751043136E-4</v>
      </c>
      <c r="R4" s="27">
        <f>_xll.qlCalendarAdvance(Calendar,R3,"1D","f")</f>
        <v>42373</v>
      </c>
      <c r="S4" s="3">
        <f>_xll.qlInterpolationInterpolate(B3Minterpolation,R4,TRUE)</f>
        <v>2.2694394917576895E-3</v>
      </c>
      <c r="X4" s="112"/>
      <c r="Y4" s="112"/>
    </row>
    <row r="5" spans="1:25" ht="11.25" customHeight="1" x14ac:dyDescent="0.2">
      <c r="A5" s="84">
        <v>2</v>
      </c>
      <c r="B5" s="84" t="s">
        <v>28</v>
      </c>
      <c r="C5" s="84">
        <f t="shared" ref="C5:C6" si="4">A5+SUBSTITUTE($F$1,"M","")</f>
        <v>5</v>
      </c>
      <c r="D5" s="212" t="str">
        <f>Currency&amp;A5&amp;B5&amp;C5&amp;"F"&amp;QuoteSuffix</f>
        <v>USD2x5F_Quote</v>
      </c>
      <c r="E5" s="27">
        <f>_xll.qlCalendarAdvance("target",$E$3,A5&amp;"M","mf",,Trigger)</f>
        <v>42429</v>
      </c>
      <c r="F5" s="27">
        <f>_xll.qlCalendarAdvance(Calendar,E5,$F$1,"mf",,Trigger)</f>
        <v>42521</v>
      </c>
      <c r="G5" s="49">
        <f>_xll.qlDayCounterYearFraction(DayCounter,E5,F5,,,Trigger)</f>
        <v>0.25555555555555554</v>
      </c>
      <c r="H5" s="3">
        <f>_xll.qlQuoteValue(D5,AllTriggers)</f>
        <v>6.8500000000000002E-3</v>
      </c>
      <c r="I5" s="50">
        <f>_xll.qlYieldTSDiscount(Discounting,E5,,AllTriggers)</f>
        <v>0.99937053608941584</v>
      </c>
      <c r="J5" s="50">
        <f>_xll.qlYieldTSDiscount(Discounting,F5,,AllTriggers)</f>
        <v>0.99816874293523461</v>
      </c>
      <c r="K5" s="3">
        <f t="shared" si="0"/>
        <v>4.7112964591119908E-3</v>
      </c>
      <c r="L5" s="3">
        <f t="shared" si="1"/>
        <v>2.1387035408880093E-3</v>
      </c>
      <c r="M5" s="48" t="b">
        <v>0</v>
      </c>
      <c r="N5" s="3">
        <f>_xll.qlInterpolationInterpolate(B3Minterpolation,E5,TRUE,Trigger)</f>
        <v>2.2145773061417774E-3</v>
      </c>
      <c r="O5" s="74">
        <f t="shared" si="2"/>
        <v>-0.75873765253768077</v>
      </c>
      <c r="P5" s="68">
        <f t="shared" si="3"/>
        <v>5.4575135932086541E-4</v>
      </c>
      <c r="R5" s="27">
        <f>_xll.qlCalendarAdvance(Calendar,R4,"1D","f")</f>
        <v>42374</v>
      </c>
      <c r="S5" s="3">
        <f>_xll.qlInterpolationInterpolate(B3Minterpolation,R5,TRUE)</f>
        <v>2.2678011000774661E-3</v>
      </c>
      <c r="X5" s="112"/>
      <c r="Y5" s="112"/>
    </row>
    <row r="6" spans="1:25" ht="11.25" customHeight="1" x14ac:dyDescent="0.2">
      <c r="A6" s="84">
        <v>3</v>
      </c>
      <c r="B6" s="84" t="s">
        <v>28</v>
      </c>
      <c r="C6" s="84">
        <f t="shared" si="4"/>
        <v>6</v>
      </c>
      <c r="D6" s="213" t="str">
        <f>Currency&amp;A6&amp;B6&amp;C6&amp;"F"&amp;QuoteSuffix</f>
        <v>USD3x6F_Quote</v>
      </c>
      <c r="E6" s="71">
        <f>_xll.qlCalendarAdvance("target",$E$3,A6&amp;"M","mf",,Trigger)</f>
        <v>42460</v>
      </c>
      <c r="F6" s="71">
        <f>_xll.qlCalendarAdvance(Calendar,E6,$F$1,"mf",,Trigger)</f>
        <v>42551</v>
      </c>
      <c r="G6" s="72">
        <f>_xll.qlDayCounterYearFraction(DayCounter,E6,F6,,,Trigger)</f>
        <v>0.25277777777777777</v>
      </c>
      <c r="H6" s="60">
        <f>_xll.qlQuoteValue(D6,AllTriggers)</f>
        <v>7.4099999999999999E-3</v>
      </c>
      <c r="I6" s="61">
        <f>_xll.qlYieldTSDiscount(Discounting,E6,,AllTriggers)</f>
        <v>0.9990118879961678</v>
      </c>
      <c r="J6" s="61">
        <f>_xll.qlYieldTSDiscount(Discounting,F6,,AllTriggers)</f>
        <v>0.9977198315673238</v>
      </c>
      <c r="K6" s="60">
        <f t="shared" si="0"/>
        <v>5.123113588076933E-3</v>
      </c>
      <c r="L6" s="60">
        <f t="shared" si="1"/>
        <v>2.286886411923067E-3</v>
      </c>
      <c r="M6" s="73" t="b">
        <v>0</v>
      </c>
      <c r="N6" s="60">
        <f>_xll.qlInterpolationInterpolate(B3Minterpolation,E6,TRUE,Trigger)</f>
        <v>2.2564480759380535E-3</v>
      </c>
      <c r="O6" s="80">
        <f t="shared" si="2"/>
        <v>0.30438335985013504</v>
      </c>
      <c r="P6" s="214">
        <f t="shared" si="3"/>
        <v>5.7715983338413183E-4</v>
      </c>
      <c r="R6" s="27">
        <f>_xll.qlCalendarAdvance(Calendar,R5,"1D","f")</f>
        <v>42375</v>
      </c>
      <c r="S6" s="3">
        <f>_xll.qlInterpolationInterpolate(B3Minterpolation,R6,TRUE)</f>
        <v>2.2661679155892918E-3</v>
      </c>
      <c r="X6" s="112"/>
      <c r="Y6" s="112"/>
    </row>
    <row r="7" spans="1:25" ht="11.25" customHeight="1" x14ac:dyDescent="0.2">
      <c r="C7" s="84" t="str">
        <f>_xll.qlIMMNextCode(SettlementDate,TRUE)</f>
        <v>H6</v>
      </c>
      <c r="D7" s="212" t="str">
        <f t="shared" ref="D7:D15" si="5">Currency&amp;"FUT"&amp;"3M"&amp;C7&amp;QuoteSuffix</f>
        <v>USDFUT3MH6_Quote</v>
      </c>
      <c r="E7" s="27">
        <f>_xll.qlIMMdate(C7,$E$3,Trigger)</f>
        <v>42445</v>
      </c>
      <c r="F7" s="27">
        <f>_xll.qlCalendarAdvance(Calendar,E7,$F$1,"mf",,Trigger)</f>
        <v>42537</v>
      </c>
      <c r="G7" s="49">
        <f>_xll.qlDayCounterYearFraction(DayCounter,E7,F7,,,Trigger)</f>
        <v>0.25555555555555554</v>
      </c>
      <c r="H7" s="3">
        <f>1-_xll.qlQuoteValue(D7,AllTriggers)/100</f>
        <v>7.1750000000000425E-3</v>
      </c>
      <c r="I7" s="50">
        <f>_xll.qlYieldTSDiscount(Discounting,E7,,AllTriggers)</f>
        <v>0.99919439761361517</v>
      </c>
      <c r="J7" s="50">
        <f>_xll.qlYieldTSDiscount(Discounting,F7,,AllTriggers)</f>
        <v>0.99793249660338568</v>
      </c>
      <c r="K7" s="3">
        <f t="shared" ref="K7:K15" si="6">(I7/J7-1)/G7</f>
        <v>4.9481037395776827E-3</v>
      </c>
      <c r="L7" s="3">
        <f t="shared" si="1"/>
        <v>2.2268962604223598E-3</v>
      </c>
      <c r="M7" s="48" t="b">
        <v>1</v>
      </c>
      <c r="N7" s="3">
        <f>_xll.qlInterpolationInterpolate(B3Minterpolation,E7,TRUE,Trigger)</f>
        <v>2.2268962604223598E-3</v>
      </c>
      <c r="O7" s="74">
        <f t="shared" si="2"/>
        <v>0</v>
      </c>
      <c r="P7" s="68">
        <f t="shared" si="3"/>
        <v>5.6821552451836121E-4</v>
      </c>
      <c r="R7" s="27">
        <f>_xll.qlCalendarAdvance(Calendar,R6,"1D","f")</f>
        <v>42376</v>
      </c>
      <c r="S7" s="3">
        <f>_xll.qlInterpolationInterpolate(B3Minterpolation,R7,TRUE)</f>
        <v>2.2645409797315765E-3</v>
      </c>
      <c r="X7" s="112"/>
      <c r="Y7" s="112"/>
    </row>
    <row r="8" spans="1:25" ht="11.25" customHeight="1" x14ac:dyDescent="0.2">
      <c r="C8" s="84" t="str">
        <f>_xll.qlIMMNextCode($E$7,TRUE)</f>
        <v>M6</v>
      </c>
      <c r="D8" s="212" t="str">
        <f t="shared" si="5"/>
        <v>USDFUT3MM6_Quote</v>
      </c>
      <c r="E8" s="27">
        <f>_xll.qlIMMdate(C8,$E$3,Trigger)</f>
        <v>42536</v>
      </c>
      <c r="F8" s="27">
        <f>_xll.qlCalendarAdvance(Calendar,E8,$F$1,"mf",,Trigger)</f>
        <v>42628</v>
      </c>
      <c r="G8" s="49">
        <f>_xll.qlDayCounterYearFraction(DayCounter,E8,F8,,,Trigger)</f>
        <v>0.25555555555555554</v>
      </c>
      <c r="H8" s="3">
        <f>1-_xll.qlQuoteValue(D8,AllTriggers)/100</f>
        <v>8.6249999999999938E-3</v>
      </c>
      <c r="I8" s="50">
        <f>_xll.qlYieldTSDiscount(Discounting,E8,,AllTriggers)</f>
        <v>0.99794753342181497</v>
      </c>
      <c r="J8" s="50">
        <f>_xll.qlYieldTSDiscount(Discounting,F8,,AllTriggers)</f>
        <v>0.99637719482858345</v>
      </c>
      <c r="K8" s="3">
        <f t="shared" si="6"/>
        <v>6.1671455577252112E-3</v>
      </c>
      <c r="L8" s="3">
        <f t="shared" si="1"/>
        <v>2.4578544422747825E-3</v>
      </c>
      <c r="M8" s="48" t="b">
        <v>1</v>
      </c>
      <c r="N8" s="3">
        <f>_xll.qlInterpolationInterpolate(B3Minterpolation,E8,TRUE,Trigger)</f>
        <v>2.4578544422747825E-3</v>
      </c>
      <c r="O8" s="74">
        <f t="shared" si="2"/>
        <v>0</v>
      </c>
      <c r="P8" s="68">
        <f t="shared" si="3"/>
        <v>6.2693340651721191E-4</v>
      </c>
      <c r="R8" s="27">
        <f>_xll.qlCalendarAdvance(Calendar,R7,"1D","f")</f>
        <v>42377</v>
      </c>
      <c r="S8" s="3">
        <f>_xll.qlInterpolationInterpolate(B3Minterpolation,R8,TRUE)</f>
        <v>2.26292133394273E-3</v>
      </c>
      <c r="X8" s="112"/>
      <c r="Y8" s="112"/>
    </row>
    <row r="9" spans="1:25" ht="11.25" customHeight="1" x14ac:dyDescent="0.2">
      <c r="C9" s="84" t="str">
        <f>_xll.qlIMMNextCode($E8,TRUE)</f>
        <v>U6</v>
      </c>
      <c r="D9" s="212" t="str">
        <f t="shared" si="5"/>
        <v>USDFUT3MU6_Quote</v>
      </c>
      <c r="E9" s="27">
        <f>_xll.qlIMMdate(C9,$E$3,Trigger)</f>
        <v>42634</v>
      </c>
      <c r="F9" s="27">
        <f>_xll.qlCalendarAdvance(Calendar,E9,$F$1,"mf",,Trigger)</f>
        <v>42725</v>
      </c>
      <c r="G9" s="49">
        <f>_xll.qlDayCounterYearFraction(DayCounter,E9,F9,,,Trigger)</f>
        <v>0.25277777777777777</v>
      </c>
      <c r="H9" s="3">
        <f>1-_xll.qlQuoteValue(D9,AllTriggers)/100</f>
        <v>1.0174999999999934E-2</v>
      </c>
      <c r="I9" s="50">
        <f>_xll.qlYieldTSDiscount(Discounting,E9,,AllTriggers)</f>
        <v>0.99626249811608891</v>
      </c>
      <c r="J9" s="50">
        <f>_xll.qlYieldTSDiscount(Discounting,F9,,AllTriggers)</f>
        <v>0.99431721234405956</v>
      </c>
      <c r="K9" s="3">
        <f t="shared" si="6"/>
        <v>7.7396186304299003E-3</v>
      </c>
      <c r="L9" s="3">
        <f t="shared" si="1"/>
        <v>2.4353813695700338E-3</v>
      </c>
      <c r="M9" s="48" t="b">
        <v>1</v>
      </c>
      <c r="N9" s="3">
        <f>_xll.qlInterpolationInterpolate(B3Minterpolation,E9,TRUE,Trigger)</f>
        <v>2.4353813695700338E-3</v>
      </c>
      <c r="O9" s="74">
        <f t="shared" si="2"/>
        <v>0</v>
      </c>
      <c r="P9" s="68">
        <f t="shared" si="3"/>
        <v>6.1421958863237434E-4</v>
      </c>
      <c r="R9" s="27">
        <f>_xll.qlCalendarAdvance(Calendar,R8,"1D","f")</f>
        <v>42380</v>
      </c>
      <c r="S9" s="3">
        <f>_xll.qlInterpolationInterpolate(B3Minterpolation,R9,TRUE)</f>
        <v>2.2581165513735025E-3</v>
      </c>
      <c r="X9" s="112"/>
      <c r="Y9" s="112"/>
    </row>
    <row r="10" spans="1:25" ht="11.25" customHeight="1" x14ac:dyDescent="0.2">
      <c r="C10" s="84" t="str">
        <f>_xll.qlIMMNextCode($E9,TRUE)</f>
        <v>Z6</v>
      </c>
      <c r="D10" s="212" t="str">
        <f t="shared" si="5"/>
        <v>USDFUT3MZ6_Quote</v>
      </c>
      <c r="E10" s="27">
        <f>_xll.qlIMMdate(C10,$E$3,Trigger)</f>
        <v>42725</v>
      </c>
      <c r="F10" s="27">
        <f>_xll.qlCalendarAdvance(Calendar,E10,$F$1,"mf",,Trigger)</f>
        <v>42815</v>
      </c>
      <c r="G10" s="49">
        <f>_xll.qlDayCounterYearFraction(DayCounter,E10,F10,,,Trigger)</f>
        <v>0.25</v>
      </c>
      <c r="H10" s="3">
        <f>1-_xll.qlQuoteValue(D10,AllTriggers)/100</f>
        <v>1.1825000000000085E-2</v>
      </c>
      <c r="I10" s="50">
        <f>_xll.qlYieldTSDiscount(Discounting,E10,,AllTriggers)</f>
        <v>0.99431721234405956</v>
      </c>
      <c r="J10" s="50">
        <f>_xll.qlYieldTSDiscount(Discounting,F10,,AllTriggers)</f>
        <v>0.99203926413212851</v>
      </c>
      <c r="K10" s="3">
        <f t="shared" si="6"/>
        <v>9.1849115021629402E-3</v>
      </c>
      <c r="L10" s="3">
        <f t="shared" si="1"/>
        <v>2.6400884978371453E-3</v>
      </c>
      <c r="M10" s="48" t="b">
        <v>1</v>
      </c>
      <c r="N10" s="3">
        <f>_xll.qlInterpolationInterpolate(B3Minterpolation,E10,TRUE,Trigger)</f>
        <v>2.6400884978371453E-3</v>
      </c>
      <c r="O10" s="74">
        <f t="shared" si="2"/>
        <v>0</v>
      </c>
      <c r="P10" s="68">
        <f t="shared" si="3"/>
        <v>6.5829331276388728E-4</v>
      </c>
      <c r="R10" s="27">
        <f>_xll.qlCalendarAdvance(Calendar,R9,"1D","f")</f>
        <v>42381</v>
      </c>
      <c r="S10" s="3">
        <f>_xll.qlInterpolationInterpolate(B3Minterpolation,R10,TRUE)</f>
        <v>2.2565364802442298E-3</v>
      </c>
      <c r="X10" s="112"/>
      <c r="Y10" s="112"/>
    </row>
    <row r="11" spans="1:25" ht="11.25" customHeight="1" x14ac:dyDescent="0.2">
      <c r="C11" s="84" t="str">
        <f>_xll.qlIMMNextCode($E10,TRUE)</f>
        <v>H7</v>
      </c>
      <c r="D11" s="212" t="str">
        <f t="shared" si="5"/>
        <v>USDFUT3MH7_Quote</v>
      </c>
      <c r="E11" s="27">
        <f>_xll.qlIMMdate(C11,$E$3,Trigger)</f>
        <v>42809</v>
      </c>
      <c r="F11" s="27">
        <f>_xll.qlCalendarAdvance(Calendar,E11,$F$1,"mf",,Trigger)</f>
        <v>42901</v>
      </c>
      <c r="G11" s="49">
        <f>_xll.qlDayCounterYearFraction(DayCounter,E11,F11,,,Trigger)</f>
        <v>0.25555555555555554</v>
      </c>
      <c r="H11" s="3">
        <f>1-_xll.qlQuoteValue(D11,AllTriggers)/100</f>
        <v>1.3275000000000037E-2</v>
      </c>
      <c r="I11" s="50">
        <f>_xll.qlYieldTSDiscount(Discounting,E11,,AllTriggers)</f>
        <v>0.99220047978317483</v>
      </c>
      <c r="J11" s="50">
        <f>_xll.qlYieldTSDiscount(Discounting,F11,,AllTriggers)</f>
        <v>0.98952816062798787</v>
      </c>
      <c r="K11" s="3">
        <f t="shared" si="6"/>
        <v>1.0567562862889701E-2</v>
      </c>
      <c r="L11" s="3">
        <f t="shared" si="1"/>
        <v>2.7074371371103353E-3</v>
      </c>
      <c r="M11" s="48" t="b">
        <v>1</v>
      </c>
      <c r="N11" s="3">
        <f>_xll.qlInterpolationInterpolate(B3Minterpolation,E11,TRUE,Trigger)</f>
        <v>2.7074371371103353E-3</v>
      </c>
      <c r="O11" s="74">
        <f t="shared" si="2"/>
        <v>0</v>
      </c>
      <c r="P11" s="68">
        <f t="shared" si="3"/>
        <v>6.8979912183385491E-4</v>
      </c>
      <c r="R11" s="27">
        <f>_xll.qlCalendarAdvance(Calendar,R10,"1D","f")</f>
        <v>42382</v>
      </c>
      <c r="S11" s="3">
        <f>_xll.qlInterpolationInterpolate(B3Minterpolation,R11,TRUE)</f>
        <v>2.2549689063758758E-3</v>
      </c>
      <c r="X11" s="112"/>
      <c r="Y11" s="112"/>
    </row>
    <row r="12" spans="1:25" ht="11.25" customHeight="1" x14ac:dyDescent="0.2">
      <c r="C12" s="84" t="str">
        <f>_xll.qlIMMNextCode($E11,TRUE)</f>
        <v>M7</v>
      </c>
      <c r="D12" s="212" t="str">
        <f t="shared" si="5"/>
        <v>USDFUT3MM7_Quote</v>
      </c>
      <c r="E12" s="27">
        <f>_xll.qlIMMdate(C12,$E$3,Trigger)</f>
        <v>42907</v>
      </c>
      <c r="F12" s="27">
        <f>_xll.qlCalendarAdvance(Calendar,E12,$F$1,"mf",,Trigger)</f>
        <v>42999</v>
      </c>
      <c r="G12" s="49">
        <f>_xll.qlDayCounterYearFraction(DayCounter,E12,F12,,,Trigger)</f>
        <v>0.25555555555555554</v>
      </c>
      <c r="H12" s="3">
        <f>1-_xll.qlQuoteValue(D12,AllTriggers)/100</f>
        <v>1.4774999999999872E-2</v>
      </c>
      <c r="I12" s="50">
        <f>_xll.qlYieldTSDiscount(Discounting,E12,,AllTriggers)</f>
        <v>0.98933991150236511</v>
      </c>
      <c r="J12" s="50">
        <f>_xll.qlYieldTSDiscount(Discounting,F12,,AllTriggers)</f>
        <v>0.98630327211148605</v>
      </c>
      <c r="K12" s="3">
        <f t="shared" si="6"/>
        <v>1.2047513478153192E-2</v>
      </c>
      <c r="L12" s="3">
        <f t="shared" si="1"/>
        <v>2.7274865218466799E-3</v>
      </c>
      <c r="M12" s="48" t="b">
        <v>1</v>
      </c>
      <c r="N12" s="3">
        <f>_xll.qlInterpolationInterpolate(B3Minterpolation,E12,TRUE,Trigger)</f>
        <v>2.7274865218466799E-3</v>
      </c>
      <c r="O12" s="74">
        <f t="shared" si="2"/>
        <v>0</v>
      </c>
      <c r="P12" s="68">
        <f t="shared" si="3"/>
        <v>6.946435946934594E-4</v>
      </c>
      <c r="R12" s="27">
        <f>_xll.qlCalendarAdvance(Calendar,R11,"1D","f")</f>
        <v>42383</v>
      </c>
      <c r="S12" s="3">
        <f>_xll.qlInterpolationInterpolate(B3Minterpolation,R12,TRUE)</f>
        <v>2.2534148712068493E-3</v>
      </c>
      <c r="X12" s="112"/>
      <c r="Y12" s="112"/>
    </row>
    <row r="13" spans="1:25" ht="11.25" customHeight="1" x14ac:dyDescent="0.2">
      <c r="C13" s="84" t="str">
        <f>_xll.qlIMMNextCode($E12,TRUE)</f>
        <v>U7</v>
      </c>
      <c r="D13" s="212" t="str">
        <f t="shared" si="5"/>
        <v>USDFUT3MU7_Quote</v>
      </c>
      <c r="E13" s="27">
        <f>_xll.qlIMMdate(C13,$E$3,Trigger)</f>
        <v>42998</v>
      </c>
      <c r="F13" s="27">
        <f>_xll.qlCalendarAdvance(Calendar,E13,$F$1,"mf",,Trigger)</f>
        <v>43089</v>
      </c>
      <c r="G13" s="49">
        <f>_xll.qlDayCounterYearFraction(DayCounter,E13,F13,,,Trigger)</f>
        <v>0.25277777777777777</v>
      </c>
      <c r="H13" s="3">
        <f>1-_xll.qlQuoteValue(D13,AllTriggers)/100</f>
        <v>1.6075000000000061E-2</v>
      </c>
      <c r="I13" s="50">
        <f>_xll.qlYieldTSDiscount(Discounting,E13,,AllTriggers)</f>
        <v>0.98633719577861134</v>
      </c>
      <c r="J13" s="50">
        <f>_xll.qlYieldTSDiscount(Discounting,F13,,AllTriggers)</f>
        <v>0.98319595937320359</v>
      </c>
      <c r="K13" s="3">
        <f t="shared" si="6"/>
        <v>1.2639259933534456E-2</v>
      </c>
      <c r="L13" s="3">
        <f t="shared" si="1"/>
        <v>3.4357400664656052E-3</v>
      </c>
      <c r="M13" s="48" t="b">
        <v>1</v>
      </c>
      <c r="N13" s="3">
        <f>_xll.qlInterpolationInterpolate(B3Minterpolation,E13,TRUE,Trigger)</f>
        <v>3.4357400664656052E-3</v>
      </c>
      <c r="O13" s="74">
        <f t="shared" si="2"/>
        <v>0</v>
      </c>
      <c r="P13" s="68">
        <f t="shared" si="3"/>
        <v>8.653383389813701E-4</v>
      </c>
      <c r="R13" s="27">
        <f>_xll.qlCalendarAdvance(Calendar,R12,"1D","f")</f>
        <v>42384</v>
      </c>
      <c r="S13" s="3">
        <f>_xll.qlInterpolationInterpolate(B3Minterpolation,R13,TRUE)</f>
        <v>2.2518754161755606E-3</v>
      </c>
      <c r="X13" s="112"/>
      <c r="Y13" s="112"/>
    </row>
    <row r="14" spans="1:25" ht="11.25" customHeight="1" x14ac:dyDescent="0.2">
      <c r="C14" s="84" t="str">
        <f>_xll.qlIMMNextCode($E13,TRUE)</f>
        <v>Z7</v>
      </c>
      <c r="D14" s="212" t="str">
        <f t="shared" si="5"/>
        <v>USDFUT3MZ7_Quote</v>
      </c>
      <c r="E14" s="27">
        <f>_xll.qlIMMdate(C14,$E$3,Trigger)</f>
        <v>43089</v>
      </c>
      <c r="F14" s="27">
        <f>_xll.qlCalendarAdvance(Calendar,E14,$F$1,"mf",,Trigger)</f>
        <v>43179</v>
      </c>
      <c r="G14" s="49">
        <f>_xll.qlDayCounterYearFraction(DayCounter,E14,F14,,,Trigger)</f>
        <v>0.25</v>
      </c>
      <c r="H14" s="3">
        <f>1-_xll.qlQuoteValue(D14,AllTriggers)/100</f>
        <v>1.7325000000000035E-2</v>
      </c>
      <c r="I14" s="50">
        <f>_xll.qlYieldTSDiscount(Discounting,E14,,AllTriggers)</f>
        <v>0.98319595937320359</v>
      </c>
      <c r="J14" s="50">
        <f>_xll.qlYieldTSDiscount(Discounting,F14,,AllTriggers)</f>
        <v>0.97983234909197836</v>
      </c>
      <c r="K14" s="3">
        <f t="shared" si="6"/>
        <v>1.3731370613931482E-2</v>
      </c>
      <c r="L14" s="3">
        <f t="shared" si="1"/>
        <v>3.5936293860685531E-3</v>
      </c>
      <c r="M14" s="48" t="b">
        <v>1</v>
      </c>
      <c r="N14" s="3">
        <f>_xll.qlInterpolationInterpolate(B3Minterpolation,E14,TRUE,Trigger)</f>
        <v>3.5936293860685531E-3</v>
      </c>
      <c r="O14" s="74">
        <f t="shared" si="2"/>
        <v>0</v>
      </c>
      <c r="P14" s="68">
        <f t="shared" si="3"/>
        <v>8.9493323420418436E-4</v>
      </c>
      <c r="R14" s="27">
        <f>_xll.qlCalendarAdvance(Calendar,R13,"1D","f")</f>
        <v>42387</v>
      </c>
      <c r="S14" s="3">
        <f>_xll.qlInterpolationInterpolate(B3Minterpolation,R14,TRUE)</f>
        <v>2.2473549462922199E-3</v>
      </c>
      <c r="X14" s="112"/>
      <c r="Y14" s="112"/>
    </row>
    <row r="15" spans="1:25" ht="11.25" customHeight="1" x14ac:dyDescent="0.2">
      <c r="C15" s="84" t="str">
        <f>_xll.qlIMMNextCode($E14,TRUE)</f>
        <v>H8</v>
      </c>
      <c r="D15" s="213" t="str">
        <f t="shared" si="5"/>
        <v>USDFUT3MH8_Quote</v>
      </c>
      <c r="E15" s="71">
        <f>_xll.qlIMMdate(C15,$E$3,Trigger)</f>
        <v>43180</v>
      </c>
      <c r="F15" s="71">
        <f>_xll.qlCalendarAdvance(Calendar,E15,$F$1,"mf",,Trigger)</f>
        <v>43272</v>
      </c>
      <c r="G15" s="72">
        <f>_xll.qlDayCounterYearFraction(DayCounter,E15,F15,,,Trigger)</f>
        <v>0.25555555555555554</v>
      </c>
      <c r="H15" s="60">
        <f>1-_xll.qlQuoteValue(D15,AllTriggers)/100</f>
        <v>1.8299999999999983E-2</v>
      </c>
      <c r="I15" s="61">
        <f>_xll.qlYieldTSDiscount(Discounting,E15,,AllTriggers)</f>
        <v>0.97979331719497664</v>
      </c>
      <c r="J15" s="61">
        <f>_xll.qlYieldTSDiscount(Discounting,F15,,AllTriggers)</f>
        <v>0.97606682224668517</v>
      </c>
      <c r="K15" s="60">
        <f t="shared" si="6"/>
        <v>1.4939486131307574E-2</v>
      </c>
      <c r="L15" s="60">
        <f t="shared" si="1"/>
        <v>3.3605138686924087E-3</v>
      </c>
      <c r="M15" s="73" t="b">
        <v>1</v>
      </c>
      <c r="N15" s="60">
        <f>_xll.qlInterpolationInterpolate(B3Minterpolation,E15,TRUE,Trigger)</f>
        <v>3.3605138686924087E-3</v>
      </c>
      <c r="O15" s="80">
        <f t="shared" si="2"/>
        <v>0</v>
      </c>
      <c r="P15" s="214">
        <f t="shared" si="3"/>
        <v>8.5516592242622694E-4</v>
      </c>
      <c r="R15" s="27">
        <f>_xll.qlCalendarAdvance(Calendar,R14,"1D","f")</f>
        <v>42388</v>
      </c>
      <c r="S15" s="3">
        <f>_xll.qlInterpolationInterpolate(B3Minterpolation,R15,TRUE)</f>
        <v>2.2458842261959809E-3</v>
      </c>
      <c r="X15" s="112"/>
      <c r="Y15" s="112"/>
    </row>
    <row r="16" spans="1:25" ht="11.25" customHeight="1" x14ac:dyDescent="0.2">
      <c r="E16" s="147"/>
      <c r="F16" s="147"/>
      <c r="G16" s="112"/>
      <c r="K16" s="112"/>
      <c r="L16" s="112"/>
      <c r="R16" s="27">
        <f>_xll.qlCalendarAdvance(Calendar,R15,"1D","f")</f>
        <v>42389</v>
      </c>
      <c r="S16" s="3">
        <f>_xll.qlInterpolationInterpolate(B3Minterpolation,R16,TRUE)</f>
        <v>2.244433293429529E-3</v>
      </c>
      <c r="X16" s="112"/>
      <c r="Y16" s="112"/>
    </row>
    <row r="17" spans="5:25" ht="11.25" customHeight="1" x14ac:dyDescent="0.2">
      <c r="E17" s="147"/>
      <c r="F17" s="147"/>
      <c r="G17" s="112"/>
      <c r="K17" s="112"/>
      <c r="L17" s="112"/>
      <c r="R17" s="27">
        <f>_xll.qlCalendarAdvance(Calendar,R16,"1D","f")</f>
        <v>42390</v>
      </c>
      <c r="S17" s="3">
        <f>_xll.qlInterpolationInterpolate(B3Minterpolation,R17,TRUE)</f>
        <v>2.243003189431274E-3</v>
      </c>
      <c r="X17" s="112"/>
      <c r="Y17" s="112"/>
    </row>
    <row r="18" spans="5:25" ht="11.25" customHeight="1" x14ac:dyDescent="0.2">
      <c r="E18" s="147"/>
      <c r="F18" s="147"/>
      <c r="G18" s="112"/>
      <c r="K18" s="112"/>
      <c r="L18" s="112"/>
      <c r="R18" s="27">
        <f>_xll.qlCalendarAdvance(Calendar,R17,"1D","f")</f>
        <v>42391</v>
      </c>
      <c r="S18" s="3">
        <f>_xll.qlInterpolationInterpolate(B3Minterpolation,R18,TRUE)</f>
        <v>2.2415949556396256E-3</v>
      </c>
      <c r="X18" s="112"/>
      <c r="Y18" s="112"/>
    </row>
    <row r="19" spans="5:25" ht="11.25" customHeight="1" x14ac:dyDescent="0.2">
      <c r="E19" s="147"/>
      <c r="F19" s="147"/>
      <c r="G19" s="112"/>
      <c r="K19" s="112"/>
      <c r="L19" s="112"/>
      <c r="R19" s="27">
        <f>_xll.qlCalendarAdvance(Calendar,R18,"1D","f")</f>
        <v>42394</v>
      </c>
      <c r="S19" s="3">
        <f>_xll.qlInterpolationInterpolate(B3Minterpolation,R19,TRUE)</f>
        <v>2.2375118898884183E-3</v>
      </c>
      <c r="X19" s="112"/>
      <c r="Y19" s="112"/>
    </row>
    <row r="20" spans="5:25" ht="11.25" customHeight="1" x14ac:dyDescent="0.2">
      <c r="E20" s="147"/>
      <c r="F20" s="147"/>
      <c r="G20" s="112"/>
      <c r="K20" s="112"/>
      <c r="L20" s="112"/>
      <c r="R20" s="27">
        <f>_xll.qlCalendarAdvance(Calendar,R19,"1D","f")</f>
        <v>42395</v>
      </c>
      <c r="S20" s="3">
        <f>_xll.qlInterpolationInterpolate(B3Minterpolation,R20,TRUE)</f>
        <v>2.2362015513072951E-3</v>
      </c>
      <c r="X20" s="112"/>
      <c r="Y20" s="112"/>
    </row>
    <row r="21" spans="5:25" ht="11.25" customHeight="1" x14ac:dyDescent="0.2">
      <c r="E21" s="147"/>
      <c r="F21" s="147"/>
      <c r="G21" s="112"/>
      <c r="K21" s="112"/>
      <c r="L21" s="112"/>
      <c r="R21" s="27">
        <f>_xll.qlCalendarAdvance(Calendar,R20,"1D","f")</f>
        <v>42396</v>
      </c>
      <c r="S21" s="3">
        <f>_xll.qlInterpolationInterpolate(B3Minterpolation,R21,TRUE)</f>
        <v>2.2349182901248276E-3</v>
      </c>
      <c r="X21" s="112"/>
      <c r="Y21" s="112"/>
    </row>
    <row r="22" spans="5:25" ht="11.25" customHeight="1" x14ac:dyDescent="0.2">
      <c r="E22" s="147"/>
      <c r="F22" s="147"/>
      <c r="G22" s="112"/>
      <c r="K22" s="112"/>
      <c r="L22" s="112"/>
      <c r="R22" s="27">
        <f>_xll.qlCalendarAdvance(Calendar,R21,"1D","f")</f>
        <v>42397</v>
      </c>
      <c r="S22" s="3">
        <f>_xll.qlInterpolationInterpolate(B3Minterpolation,R22,TRUE)</f>
        <v>2.2336631477794262E-3</v>
      </c>
      <c r="X22" s="112"/>
      <c r="Y22" s="112"/>
    </row>
    <row r="23" spans="5:25" ht="11.25" customHeight="1" x14ac:dyDescent="0.2">
      <c r="E23" s="147"/>
      <c r="F23" s="147"/>
      <c r="G23" s="112"/>
      <c r="K23" s="112"/>
      <c r="L23" s="112"/>
      <c r="R23" s="27">
        <f>_xll.qlCalendarAdvance(Calendar,R22,"1D","f")</f>
        <v>42398</v>
      </c>
      <c r="S23" s="3">
        <f>_xll.qlInterpolationInterpolate(B3Minterpolation,R23,TRUE)</f>
        <v>2.2324371657094998E-3</v>
      </c>
      <c r="X23" s="112"/>
      <c r="Y23" s="112"/>
    </row>
    <row r="24" spans="5:25" ht="11.25" customHeight="1" x14ac:dyDescent="0.2">
      <c r="E24" s="147"/>
      <c r="F24" s="147"/>
      <c r="G24" s="112"/>
      <c r="K24" s="112"/>
      <c r="L24" s="112"/>
      <c r="R24" s="27">
        <f>_xll.qlCalendarAdvance(Calendar,R23,"1D","f")</f>
        <v>42401</v>
      </c>
      <c r="S24" s="3">
        <f>_xll.qlInterpolationInterpolate(B3Minterpolation,R24,TRUE)</f>
        <v>2.2289445955366734E-3</v>
      </c>
      <c r="X24" s="112"/>
      <c r="Y24" s="112"/>
    </row>
    <row r="25" spans="5:25" ht="11.25" customHeight="1" x14ac:dyDescent="0.2">
      <c r="E25" s="147"/>
      <c r="F25" s="147"/>
      <c r="G25" s="112"/>
      <c r="K25" s="112"/>
      <c r="L25" s="112"/>
      <c r="R25" s="27">
        <f>_xll.qlCalendarAdvance(Calendar,R24,"1D","f")</f>
        <v>42402</v>
      </c>
      <c r="S25" s="3">
        <f>_xll.qlInterpolationInterpolate(B3Minterpolation,R25,TRUE)</f>
        <v>2.2278456689527482E-3</v>
      </c>
      <c r="X25" s="112"/>
      <c r="Y25" s="112"/>
    </row>
    <row r="26" spans="5:25" ht="11.25" customHeight="1" x14ac:dyDescent="0.2">
      <c r="E26" s="147"/>
      <c r="F26" s="147"/>
      <c r="G26" s="112"/>
      <c r="K26" s="112"/>
      <c r="L26" s="112"/>
      <c r="R26" s="27">
        <f>_xll.qlCalendarAdvance(Calendar,R25,"1D","f")</f>
        <v>42403</v>
      </c>
      <c r="S26" s="3">
        <f>_xll.qlInterpolationInterpolate(B3Minterpolation,R26,TRUE)</f>
        <v>2.2267811098363476E-3</v>
      </c>
      <c r="U26" s="148"/>
      <c r="V26" s="148"/>
      <c r="X26" s="112"/>
      <c r="Y26" s="112"/>
    </row>
    <row r="27" spans="5:25" ht="11.25" customHeight="1" x14ac:dyDescent="0.2">
      <c r="E27" s="147"/>
      <c r="F27" s="147"/>
      <c r="G27" s="112"/>
      <c r="K27" s="112"/>
      <c r="L27" s="112"/>
      <c r="R27" s="27">
        <f>_xll.qlCalendarAdvance(Calendar,R26,"1D","f")</f>
        <v>42404</v>
      </c>
      <c r="S27" s="3">
        <f>_xll.qlInterpolationInterpolate(B3Minterpolation,R27,TRUE)</f>
        <v>2.2257519596258816E-3</v>
      </c>
      <c r="X27" s="112"/>
      <c r="Y27" s="112"/>
    </row>
    <row r="28" spans="5:25" ht="11.25" customHeight="1" x14ac:dyDescent="0.2">
      <c r="E28" s="147"/>
      <c r="F28" s="147"/>
      <c r="G28" s="112"/>
      <c r="K28" s="112"/>
      <c r="L28" s="112"/>
      <c r="R28" s="27">
        <f>_xll.qlCalendarAdvance(Calendar,R27,"1D","f")</f>
        <v>42405</v>
      </c>
      <c r="S28" s="3">
        <f>_xll.qlInterpolationInterpolate(B3Minterpolation,R28,TRUE)</f>
        <v>2.2247592597597603E-3</v>
      </c>
      <c r="X28" s="112"/>
      <c r="Y28" s="112"/>
    </row>
    <row r="29" spans="5:25" ht="11.25" customHeight="1" x14ac:dyDescent="0.2">
      <c r="E29" s="147"/>
      <c r="F29" s="147"/>
      <c r="G29" s="112"/>
      <c r="K29" s="112"/>
      <c r="L29" s="112"/>
      <c r="R29" s="27">
        <f>_xll.qlCalendarAdvance(Calendar,R28,"1D","f")</f>
        <v>42408</v>
      </c>
      <c r="S29" s="3">
        <f>_xll.qlInterpolationInterpolate(B3Minterpolation,R29,TRUE)</f>
        <v>2.2220102766115609E-3</v>
      </c>
      <c r="X29" s="112"/>
      <c r="Y29" s="112"/>
    </row>
    <row r="30" spans="5:25" ht="11.25" customHeight="1" x14ac:dyDescent="0.2">
      <c r="E30" s="147"/>
      <c r="F30" s="147"/>
      <c r="G30" s="112"/>
      <c r="K30" s="112"/>
      <c r="L30" s="112"/>
      <c r="R30" s="27">
        <f>_xll.qlCalendarAdvance(Calendar,R29,"1D","f")</f>
        <v>42409</v>
      </c>
      <c r="S30" s="3">
        <f>_xll.qlInterpolationInterpolate(B3Minterpolation,R30,TRUE)</f>
        <v>2.2211737925069159E-3</v>
      </c>
      <c r="X30" s="112"/>
      <c r="Y30" s="112"/>
    </row>
    <row r="31" spans="5:25" ht="11.25" customHeight="1" x14ac:dyDescent="0.2">
      <c r="E31" s="147"/>
      <c r="F31" s="147"/>
      <c r="G31" s="112"/>
      <c r="K31" s="112"/>
      <c r="L31" s="112"/>
      <c r="R31" s="27">
        <f>_xll.qlCalendarAdvance(Calendar,R30,"1D","f")</f>
        <v>42410</v>
      </c>
      <c r="S31" s="3">
        <f>_xll.qlInterpolationInterpolate(B3Minterpolation,R31,TRUE)</f>
        <v>2.2203789659386644E-3</v>
      </c>
      <c r="X31" s="112"/>
      <c r="Y31" s="112"/>
    </row>
    <row r="32" spans="5:25" ht="11.25" customHeight="1" x14ac:dyDescent="0.2">
      <c r="E32" s="147"/>
      <c r="F32" s="147"/>
      <c r="G32" s="112"/>
      <c r="K32" s="112"/>
      <c r="L32" s="112"/>
      <c r="R32" s="27">
        <f>_xll.qlCalendarAdvance(Calendar,R31,"1D","f")</f>
        <v>42411</v>
      </c>
      <c r="S32" s="3">
        <f>_xll.qlInterpolationInterpolate(B3Minterpolation,R32,TRUE)</f>
        <v>2.2196268383452167E-3</v>
      </c>
      <c r="X32" s="112"/>
      <c r="Y32" s="112"/>
    </row>
    <row r="33" spans="5:25" ht="11.25" customHeight="1" x14ac:dyDescent="0.2">
      <c r="E33" s="147"/>
      <c r="F33" s="147"/>
      <c r="G33" s="112"/>
      <c r="K33" s="112"/>
      <c r="L33" s="112"/>
      <c r="R33" s="27">
        <f>_xll.qlCalendarAdvance(Calendar,R32,"1D","f")</f>
        <v>42412</v>
      </c>
      <c r="S33" s="3">
        <f>_xll.qlInterpolationInterpolate(B3Minterpolation,R33,TRUE)</f>
        <v>2.218918451164982E-3</v>
      </c>
      <c r="X33" s="112"/>
      <c r="Y33" s="112"/>
    </row>
    <row r="34" spans="5:25" ht="11.25" customHeight="1" x14ac:dyDescent="0.2">
      <c r="E34" s="147"/>
      <c r="F34" s="147"/>
      <c r="G34" s="112"/>
      <c r="K34" s="112"/>
      <c r="L34" s="112"/>
      <c r="R34" s="27">
        <f>_xll.qlCalendarAdvance(Calendar,R33,"1D","f")</f>
        <v>42415</v>
      </c>
      <c r="S34" s="3">
        <f>_xll.qlInterpolationInterpolate(B3Minterpolation,R34,TRUE)</f>
        <v>2.2170661464876572E-3</v>
      </c>
      <c r="X34" s="112"/>
      <c r="Y34" s="112"/>
    </row>
    <row r="35" spans="5:25" ht="11.25" customHeight="1" x14ac:dyDescent="0.2">
      <c r="E35" s="147"/>
      <c r="F35" s="147"/>
      <c r="G35" s="112"/>
      <c r="K35" s="112"/>
      <c r="L35" s="112"/>
      <c r="R35" s="27">
        <f>_xll.qlCalendarAdvance(Calendar,R34,"1D","f")</f>
        <v>42416</v>
      </c>
      <c r="S35" s="3">
        <f>_xll.qlInterpolationInterpolate(B3Minterpolation,R35,TRUE)</f>
        <v>2.2165431353443742E-3</v>
      </c>
      <c r="X35" s="112"/>
      <c r="Y35" s="112"/>
    </row>
    <row r="36" spans="5:25" ht="11.25" customHeight="1" x14ac:dyDescent="0.2">
      <c r="E36" s="147"/>
      <c r="F36" s="147"/>
      <c r="G36" s="112"/>
      <c r="K36" s="112"/>
      <c r="L36" s="112"/>
      <c r="R36" s="27">
        <f>_xll.qlCalendarAdvance(Calendar,R35,"1D","f")</f>
        <v>42417</v>
      </c>
      <c r="S36" s="3">
        <f>_xll.qlInterpolationInterpolate(B3Minterpolation,R36,TRUE)</f>
        <v>2.2160690718063545E-3</v>
      </c>
      <c r="X36" s="112"/>
      <c r="Y36" s="112"/>
    </row>
    <row r="37" spans="5:25" ht="11.25" customHeight="1" x14ac:dyDescent="0.2">
      <c r="E37" s="147"/>
      <c r="F37" s="147"/>
      <c r="G37" s="112"/>
      <c r="K37" s="112"/>
      <c r="L37" s="112"/>
      <c r="R37" s="27">
        <f>_xll.qlCalendarAdvance(Calendar,R36,"1D","f")</f>
        <v>42418</v>
      </c>
      <c r="S37" s="3">
        <f>_xll.qlInterpolationInterpolate(B3Minterpolation,R37,TRUE)</f>
        <v>2.2156449973120065E-3</v>
      </c>
      <c r="X37" s="112"/>
      <c r="Y37" s="112"/>
    </row>
    <row r="38" spans="5:25" ht="11.25" customHeight="1" x14ac:dyDescent="0.2">
      <c r="E38" s="147"/>
      <c r="F38" s="147"/>
      <c r="G38" s="112"/>
      <c r="K38" s="112"/>
      <c r="L38" s="112"/>
      <c r="R38" s="27">
        <f>_xll.qlCalendarAdvance(Calendar,R37,"1D","f")</f>
        <v>42419</v>
      </c>
      <c r="S38" s="3">
        <f>_xll.qlInterpolationInterpolate(B3Minterpolation,R38,TRUE)</f>
        <v>2.2152719532997412E-3</v>
      </c>
      <c r="X38" s="112"/>
      <c r="Y38" s="112"/>
    </row>
    <row r="39" spans="5:25" ht="11.25" customHeight="1" x14ac:dyDescent="0.2">
      <c r="E39" s="147"/>
      <c r="F39" s="147"/>
      <c r="G39" s="112"/>
      <c r="K39" s="112"/>
      <c r="L39" s="112"/>
      <c r="R39" s="27">
        <f>_xll.qlCalendarAdvance(Calendar,R38,"1D","f")</f>
        <v>42422</v>
      </c>
      <c r="S39" s="3">
        <f>_xll.qlInterpolationInterpolate(B3Minterpolation,R39,TRUE)</f>
        <v>2.2144694185395374E-3</v>
      </c>
      <c r="X39" s="112"/>
      <c r="Y39" s="112"/>
    </row>
    <row r="40" spans="5:25" ht="11.25" customHeight="1" x14ac:dyDescent="0.2">
      <c r="E40" s="147"/>
      <c r="F40" s="147"/>
      <c r="G40" s="112"/>
      <c r="K40" s="112"/>
      <c r="L40" s="112"/>
      <c r="R40" s="27">
        <f>_xll.qlCalendarAdvance(Calendar,R39,"1D","f")</f>
        <v>42423</v>
      </c>
      <c r="S40" s="3">
        <f>_xll.qlInterpolationInterpolate(B3Minterpolation,R40,TRUE)</f>
        <v>2.2143109108396994E-3</v>
      </c>
      <c r="X40" s="112"/>
      <c r="Y40" s="112"/>
    </row>
    <row r="41" spans="5:25" ht="11.25" customHeight="1" x14ac:dyDescent="0.2">
      <c r="E41" s="147"/>
      <c r="F41" s="147"/>
      <c r="G41" s="112"/>
      <c r="K41" s="112"/>
      <c r="L41" s="112"/>
      <c r="R41" s="27">
        <f>_xll.qlCalendarAdvance(Calendar,R40,"1D","f")</f>
        <v>42424</v>
      </c>
      <c r="S41" s="3">
        <f>_xll.qlInterpolationInterpolate(B3Minterpolation,R41,TRUE)</f>
        <v>2.2142086408139931E-3</v>
      </c>
      <c r="X41" s="112"/>
      <c r="Y41" s="112"/>
    </row>
    <row r="42" spans="5:25" ht="11.25" customHeight="1" x14ac:dyDescent="0.2">
      <c r="E42" s="147"/>
      <c r="F42" s="147"/>
      <c r="G42" s="112"/>
      <c r="K42" s="112"/>
      <c r="L42" s="112"/>
      <c r="R42" s="27">
        <f>_xll.qlCalendarAdvance(Calendar,R41,"1D","f")</f>
        <v>42425</v>
      </c>
      <c r="S42" s="3">
        <f>_xll.qlInterpolationInterpolate(B3Minterpolation,R42,TRUE)</f>
        <v>2.2141636499008279E-3</v>
      </c>
      <c r="X42" s="112"/>
      <c r="Y42" s="112"/>
    </row>
    <row r="43" spans="5:25" ht="11.25" customHeight="1" x14ac:dyDescent="0.2">
      <c r="E43" s="147"/>
      <c r="F43" s="147"/>
      <c r="G43" s="112"/>
      <c r="K43" s="112"/>
      <c r="L43" s="112"/>
      <c r="R43" s="27">
        <f>_xll.qlCalendarAdvance(Calendar,R42,"1D","f")</f>
        <v>42426</v>
      </c>
      <c r="S43" s="3">
        <f>_xll.qlInterpolationInterpolate(B3Minterpolation,R43,TRUE)</f>
        <v>2.2141769795386138E-3</v>
      </c>
      <c r="X43" s="112"/>
      <c r="Y43" s="112"/>
    </row>
    <row r="44" spans="5:25" ht="11.25" customHeight="1" x14ac:dyDescent="0.2">
      <c r="E44" s="147"/>
      <c r="F44" s="147"/>
      <c r="G44" s="112"/>
      <c r="K44" s="112"/>
      <c r="L44" s="112"/>
      <c r="R44" s="27">
        <f>_xll.qlCalendarAdvance(Calendar,R43,"1D","f")</f>
        <v>42429</v>
      </c>
      <c r="S44" s="3">
        <f>_xll.qlInterpolationInterpolate(B3Minterpolation,R44,TRUE)</f>
        <v>2.2145773061417774E-3</v>
      </c>
      <c r="X44" s="112"/>
      <c r="Y44" s="112"/>
    </row>
    <row r="45" spans="5:25" ht="11.25" customHeight="1" x14ac:dyDescent="0.2">
      <c r="E45" s="147"/>
      <c r="F45" s="147"/>
      <c r="G45" s="112"/>
      <c r="K45" s="112"/>
      <c r="L45" s="112"/>
      <c r="R45" s="27">
        <f>_xll.qlCalendarAdvance(Calendar,R44,"1D","f")</f>
        <v>42430</v>
      </c>
      <c r="S45" s="3">
        <f>_xll.qlInterpolationInterpolate(B3Minterpolation,R45,TRUE)</f>
        <v>2.2148343323674666E-3</v>
      </c>
      <c r="X45" s="112"/>
      <c r="Y45" s="112"/>
    </row>
    <row r="46" spans="5:25" ht="11.25" customHeight="1" x14ac:dyDescent="0.2">
      <c r="E46" s="147"/>
      <c r="F46" s="147"/>
      <c r="G46" s="112"/>
      <c r="K46" s="112"/>
      <c r="L46" s="112"/>
      <c r="R46" s="27">
        <f>_xll.qlCalendarAdvance(Calendar,R45,"1D","f")</f>
        <v>42431</v>
      </c>
      <c r="S46" s="3">
        <f>_xll.qlInterpolationInterpolate(B3Minterpolation,R46,TRUE)</f>
        <v>2.2151548863361559E-3</v>
      </c>
      <c r="X46" s="112"/>
      <c r="Y46" s="112"/>
    </row>
    <row r="47" spans="5:25" ht="11.25" customHeight="1" x14ac:dyDescent="0.2">
      <c r="E47" s="147"/>
      <c r="F47" s="147"/>
      <c r="G47" s="112"/>
      <c r="K47" s="112"/>
      <c r="L47" s="112"/>
      <c r="R47" s="27">
        <f>_xll.qlCalendarAdvance(Calendar,R46,"1D","f")</f>
        <v>42432</v>
      </c>
      <c r="S47" s="3">
        <f>_xll.qlInterpolationInterpolate(B3Minterpolation,R47,TRUE)</f>
        <v>2.2155400094862557E-3</v>
      </c>
      <c r="X47" s="112"/>
      <c r="Y47" s="112"/>
    </row>
    <row r="48" spans="5:25" ht="11.25" customHeight="1" x14ac:dyDescent="0.2">
      <c r="E48" s="147"/>
      <c r="F48" s="147"/>
      <c r="G48" s="112"/>
      <c r="K48" s="112"/>
      <c r="L48" s="112"/>
      <c r="R48" s="27">
        <f>_xll.qlCalendarAdvance(Calendar,R47,"1D","f")</f>
        <v>42433</v>
      </c>
      <c r="S48" s="3">
        <f>_xll.qlInterpolationInterpolate(B3Minterpolation,R48,TRUE)</f>
        <v>2.2159907432561755E-3</v>
      </c>
      <c r="X48" s="112"/>
      <c r="Y48" s="112"/>
    </row>
    <row r="49" spans="5:25" ht="11.25" customHeight="1" x14ac:dyDescent="0.2">
      <c r="E49" s="147"/>
      <c r="F49" s="147"/>
      <c r="G49" s="112"/>
      <c r="K49" s="112"/>
      <c r="L49" s="112"/>
      <c r="R49" s="27">
        <f>_xll.qlCalendarAdvance(Calendar,R48,"1D","f")</f>
        <v>42436</v>
      </c>
      <c r="S49" s="3">
        <f>_xll.qlInterpolationInterpolate(B3Minterpolation,R49,TRUE)</f>
        <v>2.2177470226689535E-3</v>
      </c>
      <c r="X49" s="112"/>
      <c r="Y49" s="112"/>
    </row>
    <row r="50" spans="5:25" ht="11.25" customHeight="1" x14ac:dyDescent="0.2">
      <c r="E50" s="147"/>
      <c r="F50" s="147"/>
      <c r="G50" s="112"/>
      <c r="K50" s="112"/>
      <c r="L50" s="112"/>
      <c r="R50" s="27">
        <f>_xll.qlCalendarAdvance(Calendar,R49,"1D","f")</f>
        <v>42437</v>
      </c>
      <c r="S50" s="3">
        <f>_xll.qlInterpolationInterpolate(B3Minterpolation,R50,TRUE)</f>
        <v>2.218470613302252E-3</v>
      </c>
      <c r="X50" s="112"/>
      <c r="Y50" s="112"/>
    </row>
    <row r="51" spans="5:25" ht="11.25" customHeight="1" x14ac:dyDescent="0.2">
      <c r="E51" s="147"/>
      <c r="F51" s="147"/>
      <c r="G51" s="112"/>
      <c r="K51" s="112"/>
      <c r="L51" s="112"/>
      <c r="R51" s="27">
        <f>_xll.qlCalendarAdvance(Calendar,R50,"1D","f")</f>
        <v>42438</v>
      </c>
      <c r="S51" s="3">
        <f>_xll.qlInterpolationInterpolate(B3Minterpolation,R51,TRUE)</f>
        <v>2.2192650217474196E-3</v>
      </c>
      <c r="X51" s="112"/>
      <c r="Y51" s="112"/>
    </row>
    <row r="52" spans="5:25" ht="11.25" customHeight="1" x14ac:dyDescent="0.2">
      <c r="E52" s="147"/>
      <c r="F52" s="147"/>
      <c r="G52" s="112"/>
      <c r="K52" s="112"/>
      <c r="L52" s="112"/>
      <c r="R52" s="27">
        <f>_xll.qlCalendarAdvance(Calendar,R51,"1D","f")</f>
        <v>42439</v>
      </c>
      <c r="S52" s="3">
        <f>_xll.qlInterpolationInterpolate(B3Minterpolation,R52,TRUE)</f>
        <v>2.2201312894428666E-3</v>
      </c>
      <c r="X52" s="112"/>
      <c r="Y52" s="112"/>
    </row>
    <row r="53" spans="5:25" ht="11.25" customHeight="1" x14ac:dyDescent="0.2">
      <c r="E53" s="147"/>
      <c r="F53" s="147"/>
      <c r="G53" s="112"/>
      <c r="K53" s="112"/>
      <c r="L53" s="112"/>
      <c r="R53" s="27">
        <f>_xll.qlCalendarAdvance(Calendar,R52,"1D","f")</f>
        <v>42440</v>
      </c>
      <c r="S53" s="3">
        <f>_xll.qlInterpolationInterpolate(B3Minterpolation,R53,TRUE)</f>
        <v>2.2210704578270023E-3</v>
      </c>
      <c r="X53" s="112"/>
      <c r="Y53" s="112"/>
    </row>
    <row r="54" spans="5:25" ht="11.25" customHeight="1" x14ac:dyDescent="0.2">
      <c r="E54" s="147"/>
      <c r="F54" s="147"/>
      <c r="G54" s="112"/>
      <c r="K54" s="112"/>
      <c r="L54" s="112"/>
      <c r="R54" s="27">
        <f>_xll.qlCalendarAdvance(Calendar,R53,"1D","f")</f>
        <v>42443</v>
      </c>
      <c r="S54" s="3">
        <f>_xll.qlInterpolationInterpolate(B3Minterpolation,R54,TRUE)</f>
        <v>2.2243357814956417E-3</v>
      </c>
      <c r="X54" s="112"/>
      <c r="Y54" s="112"/>
    </row>
    <row r="55" spans="5:25" ht="11.25" customHeight="1" x14ac:dyDescent="0.2">
      <c r="E55" s="147"/>
      <c r="F55" s="147"/>
      <c r="G55" s="112"/>
      <c r="K55" s="112"/>
      <c r="L55" s="112"/>
      <c r="R55" s="27">
        <f>_xll.qlCalendarAdvance(Calendar,R54,"1D","f")</f>
        <v>42444</v>
      </c>
      <c r="S55" s="3">
        <f>_xll.qlInterpolationInterpolate(B3Minterpolation,R55,TRUE)</f>
        <v>2.2255769670186318E-3</v>
      </c>
      <c r="X55" s="112"/>
      <c r="Y55" s="112"/>
    </row>
    <row r="56" spans="5:25" ht="11.25" customHeight="1" x14ac:dyDescent="0.2">
      <c r="E56" s="147"/>
      <c r="F56" s="147"/>
      <c r="G56" s="112"/>
      <c r="K56" s="112"/>
      <c r="L56" s="112"/>
      <c r="R56" s="27">
        <f>_xll.qlCalendarAdvance(Calendar,R55,"1D","f")</f>
        <v>42445</v>
      </c>
      <c r="S56" s="3">
        <f>_xll.qlInterpolationInterpolate(B3Minterpolation,R56,TRUE)</f>
        <v>2.2268962604223598E-3</v>
      </c>
      <c r="X56" s="112"/>
      <c r="Y56" s="112"/>
    </row>
    <row r="57" spans="5:25" ht="11.25" customHeight="1" x14ac:dyDescent="0.2">
      <c r="E57" s="147"/>
      <c r="F57" s="147"/>
      <c r="G57" s="112"/>
      <c r="K57" s="112"/>
      <c r="L57" s="112"/>
      <c r="R57" s="27">
        <f>_xll.qlCalendarAdvance(Calendar,R56,"1D","f")</f>
        <v>42446</v>
      </c>
      <c r="S57" s="3">
        <f>_xll.qlInterpolationInterpolate(B3Minterpolation,R57,TRUE)</f>
        <v>2.2283008381670743E-3</v>
      </c>
      <c r="X57" s="112"/>
      <c r="Y57" s="112"/>
    </row>
    <row r="58" spans="5:25" ht="11.25" customHeight="1" x14ac:dyDescent="0.2">
      <c r="E58" s="147"/>
      <c r="F58" s="147"/>
      <c r="G58" s="112"/>
      <c r="K58" s="112"/>
      <c r="L58" s="112"/>
      <c r="R58" s="27">
        <f>_xll.qlCalendarAdvance(Calendar,R57,"1D","f")</f>
        <v>42447</v>
      </c>
      <c r="S58" s="3">
        <f>_xll.qlInterpolationInterpolate(B3Minterpolation,R58,TRUE)</f>
        <v>2.2297957191393593E-3</v>
      </c>
      <c r="X58" s="112"/>
      <c r="Y58" s="112"/>
    </row>
    <row r="59" spans="5:25" ht="11.25" customHeight="1" x14ac:dyDescent="0.2">
      <c r="E59" s="147"/>
      <c r="F59" s="147"/>
      <c r="G59" s="112"/>
      <c r="K59" s="112"/>
      <c r="L59" s="112"/>
      <c r="R59" s="27">
        <f>_xll.qlCalendarAdvance(Calendar,R58,"1D","f")</f>
        <v>42450</v>
      </c>
      <c r="S59" s="3">
        <f>_xll.qlInterpolationInterpolate(B3Minterpolation,R59,TRUE)</f>
        <v>2.2348002322007563E-3</v>
      </c>
      <c r="X59" s="112"/>
      <c r="Y59" s="112"/>
    </row>
    <row r="60" spans="5:25" ht="11.25" customHeight="1" x14ac:dyDescent="0.2">
      <c r="E60" s="147"/>
      <c r="F60" s="147"/>
      <c r="G60" s="112"/>
      <c r="K60" s="112"/>
      <c r="L60" s="112"/>
      <c r="R60" s="27">
        <f>_xll.qlCalendarAdvance(Calendar,R59,"1D","f")</f>
        <v>42451</v>
      </c>
      <c r="S60" s="3">
        <f>_xll.qlInterpolationInterpolate(B3Minterpolation,R60,TRUE)</f>
        <v>2.2366343768624444E-3</v>
      </c>
      <c r="X60" s="112"/>
      <c r="Y60" s="112"/>
    </row>
    <row r="61" spans="5:25" ht="11.25" customHeight="1" x14ac:dyDescent="0.2">
      <c r="E61" s="147"/>
      <c r="F61" s="147"/>
      <c r="G61" s="112"/>
      <c r="K61" s="112"/>
      <c r="L61" s="112"/>
      <c r="R61" s="27">
        <f>_xll.qlCalendarAdvance(Calendar,R60,"1D","f")</f>
        <v>42452</v>
      </c>
      <c r="S61" s="3">
        <f>_xll.qlInterpolationInterpolate(B3Minterpolation,R61,TRUE)</f>
        <v>2.2385478501412647E-3</v>
      </c>
      <c r="X61" s="112"/>
      <c r="Y61" s="112"/>
    </row>
    <row r="62" spans="5:25" ht="11.25" customHeight="1" x14ac:dyDescent="0.2">
      <c r="E62" s="147"/>
      <c r="F62" s="147"/>
      <c r="G62" s="112"/>
      <c r="K62" s="112"/>
      <c r="L62" s="112"/>
      <c r="R62" s="27">
        <f>_xll.qlCalendarAdvance(Calendar,R61,"1D","f")</f>
        <v>42453</v>
      </c>
      <c r="S62" s="3">
        <f>_xll.qlInterpolationInterpolate(B3Minterpolation,R62,TRUE)</f>
        <v>2.2405384571151286E-3</v>
      </c>
      <c r="X62" s="112"/>
      <c r="Y62" s="112"/>
    </row>
    <row r="63" spans="5:25" ht="11.25" customHeight="1" x14ac:dyDescent="0.2">
      <c r="E63" s="147"/>
      <c r="F63" s="147"/>
      <c r="G63" s="112"/>
      <c r="K63" s="112"/>
      <c r="L63" s="112"/>
      <c r="R63" s="27">
        <f>_xll.qlCalendarAdvance(Calendar,R62,"1D","f")</f>
        <v>42458</v>
      </c>
      <c r="S63" s="3">
        <f>_xll.qlInterpolationInterpolate(B3Minterpolation,R63,TRUE)</f>
        <v>2.2515716751370447E-3</v>
      </c>
      <c r="X63" s="112"/>
      <c r="Y63" s="112"/>
    </row>
    <row r="64" spans="5:25" ht="11.25" customHeight="1" x14ac:dyDescent="0.2">
      <c r="E64" s="147"/>
      <c r="F64" s="147"/>
      <c r="G64" s="112"/>
      <c r="K64" s="112"/>
      <c r="L64" s="112"/>
      <c r="R64" s="27">
        <f>_xll.qlCalendarAdvance(Calendar,R63,"1D","f")</f>
        <v>42459</v>
      </c>
      <c r="S64" s="3">
        <f>_xll.qlInterpolationInterpolate(B3Minterpolation,R64,TRUE)</f>
        <v>2.2539789909173337E-3</v>
      </c>
      <c r="X64" s="112"/>
      <c r="Y64" s="112"/>
    </row>
    <row r="65" spans="5:25" ht="11.25" customHeight="1" x14ac:dyDescent="0.2">
      <c r="E65" s="147"/>
      <c r="F65" s="147"/>
      <c r="G65" s="112"/>
      <c r="K65" s="112"/>
      <c r="L65" s="112"/>
      <c r="R65" s="27">
        <f>_xll.qlCalendarAdvance(Calendar,R64,"1D","f")</f>
        <v>42460</v>
      </c>
      <c r="S65" s="3">
        <f>_xll.qlInterpolationInterpolate(B3Minterpolation,R65,TRUE)</f>
        <v>2.2564480759380535E-3</v>
      </c>
      <c r="X65" s="112"/>
      <c r="Y65" s="112"/>
    </row>
    <row r="66" spans="5:25" ht="11.25" customHeight="1" x14ac:dyDescent="0.2">
      <c r="E66" s="147"/>
      <c r="F66" s="147"/>
      <c r="G66" s="112"/>
      <c r="K66" s="112"/>
      <c r="L66" s="112"/>
      <c r="R66" s="27">
        <f>_xll.qlCalendarAdvance(Calendar,R65,"1D","f")</f>
        <v>42461</v>
      </c>
      <c r="S66" s="3">
        <f>_xll.qlInterpolationInterpolate(B3Minterpolation,R66,TRUE)</f>
        <v>2.2589767352771163E-3</v>
      </c>
      <c r="X66" s="112"/>
      <c r="Y66" s="112"/>
    </row>
    <row r="67" spans="5:25" ht="11.25" customHeight="1" x14ac:dyDescent="0.2">
      <c r="E67" s="147"/>
      <c r="F67" s="147"/>
      <c r="G67" s="112"/>
      <c r="K67" s="112"/>
      <c r="L67" s="112"/>
      <c r="R67" s="27">
        <f>_xll.qlCalendarAdvance(Calendar,R66,"1D","f")</f>
        <v>42464</v>
      </c>
      <c r="S67" s="3">
        <f>_xll.qlInterpolationInterpolate(B3Minterpolation,R67,TRUE)</f>
        <v>2.2668982099834879E-3</v>
      </c>
      <c r="X67" s="112"/>
      <c r="Y67" s="112"/>
    </row>
    <row r="68" spans="5:25" ht="11.25" customHeight="1" x14ac:dyDescent="0.2">
      <c r="E68" s="147"/>
      <c r="F68" s="147"/>
      <c r="G68" s="112"/>
      <c r="K68" s="112"/>
      <c r="L68" s="112"/>
      <c r="R68" s="27">
        <f>_xll.qlCalendarAdvance(Calendar,R67,"1D","f")</f>
        <v>42465</v>
      </c>
      <c r="S68" s="3">
        <f>_xll.qlInterpolationInterpolate(B3Minterpolation,R68,TRUE)</f>
        <v>2.2696432173750472E-3</v>
      </c>
      <c r="X68" s="112"/>
      <c r="Y68" s="112"/>
    </row>
    <row r="69" spans="5:25" ht="11.25" customHeight="1" x14ac:dyDescent="0.2">
      <c r="E69" s="147"/>
      <c r="F69" s="147"/>
      <c r="G69" s="112"/>
      <c r="K69" s="112"/>
      <c r="L69" s="112"/>
      <c r="R69" s="27">
        <f>_xll.qlCalendarAdvance(Calendar,R68,"1D","f")</f>
        <v>42466</v>
      </c>
      <c r="S69" s="3">
        <f>_xll.qlInterpolationInterpolate(B3Minterpolation,R69,TRUE)</f>
        <v>2.2724368244745113E-3</v>
      </c>
      <c r="X69" s="112"/>
      <c r="Y69" s="112"/>
    </row>
    <row r="70" spans="5:25" ht="11.25" customHeight="1" x14ac:dyDescent="0.2">
      <c r="E70" s="147"/>
      <c r="F70" s="147"/>
      <c r="G70" s="112"/>
      <c r="K70" s="112"/>
      <c r="L70" s="112"/>
      <c r="R70" s="27">
        <f>_xll.qlCalendarAdvance(Calendar,R69,"1D","f")</f>
        <v>42467</v>
      </c>
      <c r="S70" s="3">
        <f>_xll.qlInterpolationInterpolate(B3Minterpolation,R70,TRUE)</f>
        <v>2.2752768363597927E-3</v>
      </c>
      <c r="X70" s="112"/>
      <c r="Y70" s="112"/>
    </row>
    <row r="71" spans="5:25" ht="11.25" customHeight="1" x14ac:dyDescent="0.2">
      <c r="E71" s="147"/>
      <c r="F71" s="147"/>
      <c r="G71" s="112"/>
      <c r="K71" s="112"/>
      <c r="L71" s="112"/>
      <c r="R71" s="27">
        <f>_xll.qlCalendarAdvance(Calendar,R70,"1D","f")</f>
        <v>42468</v>
      </c>
      <c r="S71" s="3">
        <f>_xll.qlInterpolationInterpolate(B3Minterpolation,R71,TRUE)</f>
        <v>2.2781610581088041E-3</v>
      </c>
      <c r="X71" s="112"/>
      <c r="Y71" s="112"/>
    </row>
    <row r="72" spans="5:25" ht="11.25" customHeight="1" x14ac:dyDescent="0.2">
      <c r="E72" s="147"/>
      <c r="F72" s="147"/>
      <c r="G72" s="112"/>
      <c r="K72" s="112"/>
      <c r="L72" s="112"/>
      <c r="R72" s="27">
        <f>_xll.qlCalendarAdvance(Calendar,R71,"1D","f")</f>
        <v>42471</v>
      </c>
      <c r="S72" s="3">
        <f>_xll.qlInterpolationInterpolate(B3Minterpolation,R72,TRUE)</f>
        <v>2.2870570333173405E-3</v>
      </c>
      <c r="X72" s="112"/>
      <c r="Y72" s="112"/>
    </row>
    <row r="73" spans="5:25" ht="11.25" customHeight="1" x14ac:dyDescent="0.2">
      <c r="E73" s="147"/>
      <c r="F73" s="147"/>
      <c r="G73" s="112"/>
      <c r="K73" s="112"/>
      <c r="L73" s="112"/>
      <c r="R73" s="27">
        <f>_xll.qlCalendarAdvance(Calendar,R72,"1D","f")</f>
        <v>42472</v>
      </c>
      <c r="S73" s="3">
        <f>_xll.qlInterpolationInterpolate(B3Minterpolation,R73,TRUE)</f>
        <v>2.2900961453003947E-3</v>
      </c>
      <c r="X73" s="112"/>
      <c r="Y73" s="112"/>
    </row>
    <row r="74" spans="5:25" ht="11.25" customHeight="1" x14ac:dyDescent="0.2">
      <c r="E74" s="147"/>
      <c r="F74" s="147"/>
      <c r="G74" s="112"/>
      <c r="K74" s="112"/>
      <c r="L74" s="112"/>
      <c r="R74" s="27">
        <f>_xll.qlCalendarAdvance(Calendar,R73,"1D","f")</f>
        <v>42473</v>
      </c>
      <c r="S74" s="3">
        <f>_xll.qlInterpolationInterpolate(B3Minterpolation,R74,TRUE)</f>
        <v>2.2931684925367401E-3</v>
      </c>
      <c r="X74" s="112"/>
      <c r="Y74" s="112"/>
    </row>
    <row r="75" spans="5:25" ht="11.25" customHeight="1" x14ac:dyDescent="0.2">
      <c r="E75" s="147"/>
      <c r="F75" s="147"/>
      <c r="G75" s="112"/>
      <c r="K75" s="112"/>
      <c r="L75" s="112"/>
      <c r="R75" s="27">
        <f>_xll.qlCalendarAdvance(Calendar,R74,"1D","f")</f>
        <v>42474</v>
      </c>
      <c r="S75" s="3">
        <f>_xll.qlInterpolationInterpolate(B3Minterpolation,R75,TRUE)</f>
        <v>2.2962718801042897E-3</v>
      </c>
      <c r="X75" s="112"/>
      <c r="Y75" s="112"/>
    </row>
    <row r="76" spans="5:25" ht="11.25" customHeight="1" x14ac:dyDescent="0.2">
      <c r="E76" s="147"/>
      <c r="F76" s="147"/>
      <c r="G76" s="112"/>
      <c r="K76" s="112"/>
      <c r="L76" s="112"/>
      <c r="R76" s="27">
        <f>_xll.qlCalendarAdvance(Calendar,R75,"1D","f")</f>
        <v>42475</v>
      </c>
      <c r="S76" s="3">
        <f>_xll.qlInterpolationInterpolate(B3Minterpolation,R76,TRUE)</f>
        <v>2.2994041130809557E-3</v>
      </c>
      <c r="X76" s="112"/>
      <c r="Y76" s="112"/>
    </row>
    <row r="77" spans="5:25" ht="11.25" customHeight="1" x14ac:dyDescent="0.2">
      <c r="E77" s="147"/>
      <c r="F77" s="147"/>
      <c r="G77" s="112"/>
      <c r="K77" s="112"/>
      <c r="L77" s="112"/>
      <c r="R77" s="27">
        <f>_xll.qlCalendarAdvance(Calendar,R76,"1D","f")</f>
        <v>42478</v>
      </c>
      <c r="S77" s="3">
        <f>_xll.qlInterpolationInterpolate(B3Minterpolation,R77,TRUE)</f>
        <v>2.3089519352447758E-3</v>
      </c>
      <c r="X77" s="112"/>
      <c r="Y77" s="112"/>
    </row>
    <row r="78" spans="5:25" ht="11.25" customHeight="1" x14ac:dyDescent="0.2">
      <c r="E78" s="147"/>
      <c r="F78" s="147"/>
      <c r="G78" s="112"/>
      <c r="K78" s="112"/>
      <c r="L78" s="112"/>
      <c r="R78" s="27">
        <f>_xll.qlCalendarAdvance(Calendar,R77,"1D","f")</f>
        <v>42479</v>
      </c>
      <c r="S78" s="3">
        <f>_xll.qlInterpolationInterpolate(B3Minterpolation,R78,TRUE)</f>
        <v>2.3121776006370309E-3</v>
      </c>
      <c r="X78" s="112"/>
      <c r="Y78" s="112"/>
    </row>
    <row r="79" spans="5:25" ht="11.25" customHeight="1" x14ac:dyDescent="0.2">
      <c r="E79" s="147"/>
      <c r="F79" s="147"/>
      <c r="G79" s="112"/>
      <c r="K79" s="112"/>
      <c r="L79" s="112"/>
      <c r="R79" s="27">
        <f>_xll.qlCalendarAdvance(Calendar,R78,"1D","f")</f>
        <v>42480</v>
      </c>
      <c r="S79" s="3">
        <f>_xll.qlInterpolationInterpolate(B3Minterpolation,R79,TRUE)</f>
        <v>2.3154211368279641E-3</v>
      </c>
      <c r="X79" s="112"/>
      <c r="Y79" s="112"/>
    </row>
    <row r="80" spans="5:25" ht="11.25" customHeight="1" x14ac:dyDescent="0.2">
      <c r="E80" s="147"/>
      <c r="F80" s="147"/>
      <c r="G80" s="112"/>
      <c r="K80" s="112"/>
      <c r="L80" s="112"/>
      <c r="R80" s="27">
        <f>_xll.qlCalendarAdvance(Calendar,R79,"1D","f")</f>
        <v>42481</v>
      </c>
      <c r="S80" s="3">
        <f>_xll.qlInterpolationInterpolate(B3Minterpolation,R80,TRUE)</f>
        <v>2.3186803488954881E-3</v>
      </c>
      <c r="X80" s="112"/>
      <c r="Y80" s="112"/>
    </row>
    <row r="81" spans="5:25" ht="11.25" customHeight="1" x14ac:dyDescent="0.2">
      <c r="E81" s="147"/>
      <c r="F81" s="147"/>
      <c r="G81" s="112"/>
      <c r="K81" s="112"/>
      <c r="L81" s="112"/>
      <c r="R81" s="27">
        <f>_xll.qlCalendarAdvance(Calendar,R80,"1D","f")</f>
        <v>42482</v>
      </c>
      <c r="S81" s="3">
        <f>_xll.qlInterpolationInterpolate(B3Minterpolation,R81,TRUE)</f>
        <v>2.3219530419175149E-3</v>
      </c>
      <c r="X81" s="112"/>
      <c r="Y81" s="112"/>
    </row>
    <row r="82" spans="5:25" ht="11.25" customHeight="1" x14ac:dyDescent="0.2">
      <c r="E82" s="147"/>
      <c r="F82" s="147"/>
      <c r="G82" s="112"/>
      <c r="K82" s="112"/>
      <c r="L82" s="112"/>
      <c r="R82" s="27">
        <f>_xll.qlCalendarAdvance(Calendar,R81,"1D","f")</f>
        <v>42485</v>
      </c>
      <c r="S82" s="3">
        <f>_xll.qlInterpolationInterpolate(B3Minterpolation,R82,TRUE)</f>
        <v>2.3318300574897369E-3</v>
      </c>
      <c r="X82" s="112"/>
      <c r="Y82" s="112"/>
    </row>
    <row r="83" spans="5:25" ht="11.25" customHeight="1" x14ac:dyDescent="0.2">
      <c r="E83" s="147"/>
      <c r="F83" s="147"/>
      <c r="G83" s="112"/>
      <c r="K83" s="112"/>
      <c r="L83" s="112"/>
      <c r="R83" s="27">
        <f>_xll.qlCalendarAdvance(Calendar,R82,"1D","f")</f>
        <v>42486</v>
      </c>
      <c r="S83" s="3">
        <f>_xll.qlInterpolationInterpolate(B3Minterpolation,R83,TRUE)</f>
        <v>2.3351347251088991E-3</v>
      </c>
      <c r="X83" s="112"/>
      <c r="Y83" s="112"/>
    </row>
    <row r="84" spans="5:25" ht="11.25" customHeight="1" x14ac:dyDescent="0.2">
      <c r="E84" s="147"/>
      <c r="F84" s="147"/>
      <c r="G84" s="112"/>
      <c r="K84" s="112"/>
      <c r="L84" s="112"/>
      <c r="R84" s="27">
        <f>_xll.qlCalendarAdvance(Calendar,R83,"1D","f")</f>
        <v>42487</v>
      </c>
      <c r="S84" s="3">
        <f>_xll.qlInterpolationInterpolate(B3Minterpolation,R84,TRUE)</f>
        <v>2.3384418990721263E-3</v>
      </c>
      <c r="X84" s="112"/>
      <c r="Y84" s="112"/>
    </row>
    <row r="85" spans="5:25" ht="11.25" customHeight="1" x14ac:dyDescent="0.2">
      <c r="E85" s="147"/>
      <c r="F85" s="147"/>
      <c r="G85" s="112"/>
      <c r="K85" s="112"/>
      <c r="L85" s="112"/>
      <c r="R85" s="27">
        <f>_xll.qlCalendarAdvance(Calendar,R84,"1D","f")</f>
        <v>42488</v>
      </c>
      <c r="S85" s="3">
        <f>_xll.qlInterpolationInterpolate(B3Minterpolation,R85,TRUE)</f>
        <v>2.3417493844573307E-3</v>
      </c>
      <c r="X85" s="112"/>
      <c r="Y85" s="112"/>
    </row>
    <row r="86" spans="5:25" ht="11.25" customHeight="1" x14ac:dyDescent="0.2">
      <c r="E86" s="147"/>
      <c r="F86" s="147"/>
      <c r="G86" s="112"/>
      <c r="K86" s="112"/>
      <c r="L86" s="112"/>
      <c r="R86" s="27">
        <f>_xll.qlCalendarAdvance(Calendar,R85,"1D","f")</f>
        <v>42489</v>
      </c>
      <c r="S86" s="3">
        <f>_xll.qlInterpolationInterpolate(B3Minterpolation,R86,TRUE)</f>
        <v>2.3450549863424245E-3</v>
      </c>
      <c r="X86" s="112"/>
      <c r="Y86" s="112"/>
    </row>
    <row r="87" spans="5:25" ht="11.25" customHeight="1" x14ac:dyDescent="0.2">
      <c r="E87" s="147"/>
      <c r="F87" s="147"/>
      <c r="G87" s="112"/>
      <c r="K87" s="112"/>
      <c r="L87" s="112"/>
      <c r="R87" s="27">
        <f>_xll.qlCalendarAdvance(Calendar,R86,"1D","f")</f>
        <v>42493</v>
      </c>
      <c r="S87" s="3">
        <f>_xll.qlInterpolationInterpolate(B3Minterpolation,R87,TRUE)</f>
        <v>2.3582146604399432E-3</v>
      </c>
      <c r="X87" s="112"/>
      <c r="Y87" s="112"/>
    </row>
    <row r="88" spans="5:25" ht="11.25" customHeight="1" x14ac:dyDescent="0.2">
      <c r="E88" s="147"/>
      <c r="F88" s="147"/>
      <c r="G88" s="112"/>
      <c r="K88" s="112"/>
      <c r="L88" s="112"/>
      <c r="R88" s="27">
        <f>_xll.qlCalendarAdvance(Calendar,R87,"1D","f")</f>
        <v>42494</v>
      </c>
      <c r="S88" s="3">
        <f>_xll.qlInterpolationInterpolate(B3Minterpolation,R88,TRUE)</f>
        <v>2.3614779209931705E-3</v>
      </c>
      <c r="X88" s="112"/>
      <c r="Y88" s="112"/>
    </row>
    <row r="89" spans="5:25" ht="11.25" customHeight="1" x14ac:dyDescent="0.2">
      <c r="E89" s="147"/>
      <c r="F89" s="147"/>
      <c r="G89" s="112"/>
      <c r="K89" s="112"/>
      <c r="L89" s="112"/>
      <c r="R89" s="27">
        <f>_xll.qlCalendarAdvance(Calendar,R88,"1D","f")</f>
        <v>42495</v>
      </c>
      <c r="S89" s="3">
        <f>_xll.qlInterpolationInterpolate(B3Minterpolation,R89,TRUE)</f>
        <v>2.3647261285137614E-3</v>
      </c>
      <c r="X89" s="112"/>
      <c r="Y89" s="112"/>
    </row>
    <row r="90" spans="5:25" ht="11.25" customHeight="1" x14ac:dyDescent="0.2">
      <c r="E90" s="147"/>
      <c r="F90" s="147"/>
      <c r="G90" s="112"/>
      <c r="K90" s="112"/>
      <c r="L90" s="112"/>
      <c r="R90" s="27">
        <f>_xll.qlCalendarAdvance(Calendar,R89,"1D","f")</f>
        <v>42496</v>
      </c>
      <c r="S90" s="3">
        <f>_xll.qlInterpolationInterpolate(B3Minterpolation,R90,TRUE)</f>
        <v>2.3679570880796286E-3</v>
      </c>
      <c r="X90" s="112"/>
      <c r="Y90" s="112"/>
    </row>
    <row r="91" spans="5:25" ht="11.25" customHeight="1" x14ac:dyDescent="0.2">
      <c r="E91" s="147"/>
      <c r="F91" s="147"/>
      <c r="G91" s="112"/>
      <c r="K91" s="112"/>
      <c r="L91" s="112"/>
      <c r="R91" s="27">
        <f>_xll.qlCalendarAdvance(Calendar,R90,"1D","f")</f>
        <v>42499</v>
      </c>
      <c r="S91" s="3">
        <f>_xll.qlInterpolationInterpolate(B3Minterpolation,R91,TRUE)</f>
        <v>2.3775245298280107E-3</v>
      </c>
      <c r="X91" s="112"/>
      <c r="Y91" s="112"/>
    </row>
    <row r="92" spans="5:25" ht="11.25" customHeight="1" x14ac:dyDescent="0.2">
      <c r="E92" s="147"/>
      <c r="F92" s="147"/>
      <c r="G92" s="112"/>
      <c r="K92" s="112"/>
      <c r="L92" s="112"/>
      <c r="R92" s="27">
        <f>_xll.qlCalendarAdvance(Calendar,R91,"1D","f")</f>
        <v>42500</v>
      </c>
      <c r="S92" s="3">
        <f>_xll.qlInterpolationInterpolate(B3Minterpolation,R92,TRUE)</f>
        <v>2.3806645483541063E-3</v>
      </c>
      <c r="X92" s="112"/>
      <c r="Y92" s="112"/>
    </row>
    <row r="93" spans="5:25" ht="11.25" customHeight="1" x14ac:dyDescent="0.2">
      <c r="E93" s="147"/>
      <c r="F93" s="147"/>
      <c r="G93" s="112"/>
      <c r="K93" s="112"/>
      <c r="L93" s="112"/>
      <c r="R93" s="27">
        <f>_xll.qlCalendarAdvance(Calendar,R92,"1D","f")</f>
        <v>42501</v>
      </c>
      <c r="S93" s="3">
        <f>_xll.qlInterpolationInterpolate(B3Minterpolation,R93,TRUE)</f>
        <v>2.3837763443150398E-3</v>
      </c>
      <c r="X93" s="112"/>
      <c r="Y93" s="112"/>
    </row>
    <row r="94" spans="5:25" ht="11.25" customHeight="1" x14ac:dyDescent="0.2">
      <c r="E94" s="147"/>
      <c r="F94" s="147"/>
      <c r="G94" s="112"/>
      <c r="K94" s="112"/>
      <c r="L94" s="112"/>
      <c r="R94" s="27">
        <f>_xll.qlCalendarAdvance(Calendar,R93,"1D","f")</f>
        <v>42502</v>
      </c>
      <c r="S94" s="3">
        <f>_xll.qlInterpolationInterpolate(B3Minterpolation,R94,TRUE)</f>
        <v>2.3868577227887234E-3</v>
      </c>
      <c r="X94" s="112"/>
      <c r="Y94" s="112"/>
    </row>
    <row r="95" spans="5:25" ht="11.25" customHeight="1" x14ac:dyDescent="0.2">
      <c r="E95" s="147"/>
      <c r="F95" s="147"/>
      <c r="G95" s="112"/>
      <c r="K95" s="112"/>
      <c r="L95" s="112"/>
      <c r="R95" s="27">
        <f>_xll.qlCalendarAdvance(Calendar,R94,"1D","f")</f>
        <v>42503</v>
      </c>
      <c r="S95" s="3">
        <f>_xll.qlInterpolationInterpolate(B3Minterpolation,R95,TRUE)</f>
        <v>2.3899064888530698E-3</v>
      </c>
      <c r="X95" s="112"/>
      <c r="Y95" s="112"/>
    </row>
    <row r="96" spans="5:25" ht="11.25" customHeight="1" x14ac:dyDescent="0.2">
      <c r="E96" s="147"/>
      <c r="F96" s="147"/>
      <c r="G96" s="112"/>
      <c r="K96" s="112"/>
      <c r="L96" s="112"/>
      <c r="R96" s="27">
        <f>_xll.qlCalendarAdvance(Calendar,R95,"1D","f")</f>
        <v>42506</v>
      </c>
      <c r="S96" s="3">
        <f>_xll.qlInterpolationInterpolate(B3Minterpolation,R96,TRUE)</f>
        <v>2.3988351633692099E-3</v>
      </c>
      <c r="X96" s="112"/>
      <c r="Y96" s="112"/>
    </row>
    <row r="97" spans="5:25" ht="11.25" customHeight="1" x14ac:dyDescent="0.2">
      <c r="E97" s="147"/>
      <c r="F97" s="147"/>
      <c r="G97" s="112"/>
      <c r="K97" s="112"/>
      <c r="L97" s="112"/>
      <c r="R97" s="27">
        <f>_xll.qlCalendarAdvance(Calendar,R96,"1D","f")</f>
        <v>42507</v>
      </c>
      <c r="S97" s="3">
        <f>_xll.qlInterpolationInterpolate(B3Minterpolation,R97,TRUE)</f>
        <v>2.4017315305753313E-3</v>
      </c>
      <c r="X97" s="112"/>
      <c r="Y97" s="112"/>
    </row>
    <row r="98" spans="5:25" ht="11.25" customHeight="1" x14ac:dyDescent="0.2">
      <c r="E98" s="147"/>
      <c r="F98" s="147"/>
      <c r="G98" s="112"/>
      <c r="K98" s="112"/>
      <c r="L98" s="112"/>
      <c r="R98" s="27">
        <f>_xll.qlCalendarAdvance(Calendar,R97,"1D","f")</f>
        <v>42508</v>
      </c>
      <c r="S98" s="3">
        <f>_xll.qlInterpolationInterpolate(B3Minterpolation,R98,TRUE)</f>
        <v>2.4045843107616772E-3</v>
      </c>
      <c r="X98" s="112"/>
      <c r="Y98" s="112"/>
    </row>
    <row r="99" spans="5:25" ht="11.25" customHeight="1" x14ac:dyDescent="0.2">
      <c r="E99" s="147"/>
      <c r="F99" s="147"/>
      <c r="G99" s="112"/>
      <c r="K99" s="112"/>
      <c r="L99" s="112"/>
      <c r="R99" s="27">
        <f>_xll.qlCalendarAdvance(Calendar,R98,"1D","f")</f>
        <v>42509</v>
      </c>
      <c r="S99" s="3">
        <f>_xll.qlInterpolationInterpolate(B3Minterpolation,R99,TRUE)</f>
        <v>2.4073913090061601E-3</v>
      </c>
      <c r="X99" s="112"/>
      <c r="Y99" s="112"/>
    </row>
    <row r="100" spans="5:25" ht="11.25" customHeight="1" x14ac:dyDescent="0.2">
      <c r="E100" s="147"/>
      <c r="F100" s="147"/>
      <c r="G100" s="112"/>
      <c r="K100" s="112"/>
      <c r="L100" s="112"/>
      <c r="R100" s="27">
        <f>_xll.qlCalendarAdvance(Calendar,R99,"1D","f")</f>
        <v>42510</v>
      </c>
      <c r="S100" s="3">
        <f>_xll.qlInterpolationInterpolate(B3Minterpolation,R100,TRUE)</f>
        <v>2.4101503303866926E-3</v>
      </c>
      <c r="X100" s="112"/>
      <c r="Y100" s="112"/>
    </row>
    <row r="101" spans="5:25" ht="11.25" customHeight="1" x14ac:dyDescent="0.2">
      <c r="E101" s="147"/>
      <c r="F101" s="147"/>
      <c r="G101" s="112"/>
      <c r="K101" s="112"/>
      <c r="L101" s="112"/>
      <c r="R101" s="27">
        <f>_xll.qlCalendarAdvance(Calendar,R100,"1D","f")</f>
        <v>42513</v>
      </c>
      <c r="S101" s="3">
        <f>_xll.qlInterpolationInterpolate(B3Minterpolation,R101,TRUE)</f>
        <v>2.418117584123709E-3</v>
      </c>
      <c r="X101" s="112"/>
      <c r="Y101" s="112"/>
    </row>
    <row r="102" spans="5:25" ht="11.25" customHeight="1" x14ac:dyDescent="0.2">
      <c r="E102" s="147"/>
      <c r="F102" s="147"/>
      <c r="G102" s="112"/>
      <c r="K102" s="112"/>
      <c r="L102" s="112"/>
      <c r="R102" s="27">
        <f>_xll.qlCalendarAdvance(Calendar,R101,"1D","f")</f>
        <v>42514</v>
      </c>
      <c r="S102" s="3">
        <f>_xll.qlInterpolationInterpolate(B3Minterpolation,R102,TRUE)</f>
        <v>2.4206627488275625E-3</v>
      </c>
      <c r="X102" s="112"/>
      <c r="Y102" s="112"/>
    </row>
    <row r="103" spans="5:25" ht="11.25" customHeight="1" x14ac:dyDescent="0.2">
      <c r="E103" s="147"/>
      <c r="F103" s="147"/>
      <c r="G103" s="112"/>
      <c r="K103" s="112"/>
      <c r="L103" s="112"/>
      <c r="R103" s="27">
        <f>_xll.qlCalendarAdvance(Calendar,R102,"1D","f")</f>
        <v>42515</v>
      </c>
      <c r="S103" s="3">
        <f>_xll.qlInterpolationInterpolate(B3Minterpolation,R103,TRUE)</f>
        <v>2.4231489620570269E-3</v>
      </c>
      <c r="X103" s="112"/>
      <c r="Y103" s="112"/>
    </row>
    <row r="104" spans="5:25" ht="11.25" customHeight="1" x14ac:dyDescent="0.2">
      <c r="E104" s="147"/>
      <c r="F104" s="147"/>
      <c r="G104" s="112"/>
      <c r="K104" s="112"/>
      <c r="L104" s="112"/>
      <c r="R104" s="27">
        <f>_xll.qlCalendarAdvance(Calendar,R103,"1D","f")</f>
        <v>42516</v>
      </c>
      <c r="S104" s="3">
        <f>_xll.qlInterpolationInterpolate(B3Minterpolation,R104,TRUE)</f>
        <v>2.4255740288900152E-3</v>
      </c>
      <c r="X104" s="112"/>
      <c r="Y104" s="112"/>
    </row>
    <row r="105" spans="5:25" ht="11.25" customHeight="1" x14ac:dyDescent="0.2">
      <c r="E105" s="147"/>
      <c r="F105" s="147"/>
      <c r="G105" s="112"/>
      <c r="K105" s="112"/>
      <c r="L105" s="112"/>
      <c r="R105" s="27">
        <f>_xll.qlCalendarAdvance(Calendar,R104,"1D","f")</f>
        <v>42517</v>
      </c>
      <c r="S105" s="3">
        <f>_xll.qlInterpolationInterpolate(B3Minterpolation,R105,TRUE)</f>
        <v>2.4279357544044395E-3</v>
      </c>
      <c r="X105" s="112"/>
      <c r="Y105" s="112"/>
    </row>
    <row r="106" spans="5:25" ht="11.25" customHeight="1" x14ac:dyDescent="0.2">
      <c r="E106" s="147"/>
      <c r="F106" s="147"/>
      <c r="G106" s="112"/>
      <c r="K106" s="112"/>
      <c r="L106" s="112"/>
      <c r="R106" s="27">
        <f>_xll.qlCalendarAdvance(Calendar,R105,"1D","f")</f>
        <v>42521</v>
      </c>
      <c r="S106" s="3">
        <f>_xll.qlInterpolationInterpolate(B3Minterpolation,R106,TRUE)</f>
        <v>2.4367053448347427E-3</v>
      </c>
      <c r="X106" s="112"/>
      <c r="Y106" s="112"/>
    </row>
    <row r="107" spans="5:25" ht="11.25" customHeight="1" x14ac:dyDescent="0.2">
      <c r="E107" s="147"/>
      <c r="F107" s="147"/>
      <c r="G107" s="112"/>
      <c r="K107" s="112"/>
      <c r="L107" s="112"/>
      <c r="R107" s="27">
        <f>_xll.qlCalendarAdvance(Calendar,R106,"1D","f")</f>
        <v>42522</v>
      </c>
      <c r="S107" s="3">
        <f>_xll.qlInterpolationInterpolate(B3Minterpolation,R107,TRUE)</f>
        <v>2.4387174399250321E-3</v>
      </c>
      <c r="X107" s="112"/>
      <c r="Y107" s="112"/>
    </row>
    <row r="108" spans="5:25" ht="11.25" customHeight="1" x14ac:dyDescent="0.2">
      <c r="E108" s="147"/>
      <c r="F108" s="147"/>
      <c r="G108" s="112"/>
      <c r="K108" s="112"/>
      <c r="L108" s="112"/>
      <c r="R108" s="27">
        <f>_xll.qlCalendarAdvance(Calendar,R107,"1D","f")</f>
        <v>42523</v>
      </c>
      <c r="S108" s="3">
        <f>_xll.qlInterpolationInterpolate(B3Minterpolation,R108,TRUE)</f>
        <v>2.4406530241642319E-3</v>
      </c>
      <c r="X108" s="112"/>
      <c r="Y108" s="112"/>
    </row>
    <row r="109" spans="5:25" ht="11.25" customHeight="1" x14ac:dyDescent="0.2">
      <c r="E109" s="147"/>
      <c r="F109" s="147"/>
      <c r="G109" s="112"/>
      <c r="K109" s="112"/>
      <c r="L109" s="112"/>
      <c r="R109" s="27">
        <f>_xll.qlCalendarAdvance(Calendar,R108,"1D","f")</f>
        <v>42524</v>
      </c>
      <c r="S109" s="3">
        <f>_xll.qlInterpolationInterpolate(B3Minterpolation,R109,TRUE)</f>
        <v>2.4425099026302542E-3</v>
      </c>
      <c r="X109" s="112"/>
      <c r="Y109" s="112"/>
    </row>
    <row r="110" spans="5:25" ht="11.25" customHeight="1" x14ac:dyDescent="0.2">
      <c r="E110" s="147"/>
      <c r="F110" s="147"/>
      <c r="G110" s="112"/>
      <c r="K110" s="112"/>
      <c r="L110" s="112"/>
      <c r="R110" s="27">
        <f>_xll.qlCalendarAdvance(Calendar,R109,"1D","f")</f>
        <v>42527</v>
      </c>
      <c r="S110" s="3">
        <f>_xll.qlInterpolationInterpolate(B3Minterpolation,R110,TRUE)</f>
        <v>2.4475863541683798E-3</v>
      </c>
      <c r="X110" s="112"/>
      <c r="Y110" s="112"/>
    </row>
    <row r="111" spans="5:25" ht="11.25" customHeight="1" x14ac:dyDescent="0.2">
      <c r="E111" s="147"/>
      <c r="F111" s="147"/>
      <c r="G111" s="112"/>
      <c r="K111" s="112"/>
      <c r="L111" s="112"/>
      <c r="R111" s="27">
        <f>_xll.qlCalendarAdvance(Calendar,R110,"1D","f")</f>
        <v>42528</v>
      </c>
      <c r="S111" s="3">
        <f>_xll.qlInterpolationInterpolate(B3Minterpolation,R111,TRUE)</f>
        <v>2.4491064603208157E-3</v>
      </c>
      <c r="X111" s="112"/>
      <c r="Y111" s="112"/>
    </row>
    <row r="112" spans="5:25" ht="11.25" customHeight="1" x14ac:dyDescent="0.2">
      <c r="E112" s="147"/>
      <c r="F112" s="147"/>
      <c r="G112" s="112"/>
      <c r="K112" s="112"/>
      <c r="L112" s="112"/>
      <c r="R112" s="27">
        <f>_xll.qlCalendarAdvance(Calendar,R111,"1D","f")</f>
        <v>42529</v>
      </c>
      <c r="S112" s="3">
        <f>_xll.qlInterpolationInterpolate(B3Minterpolation,R112,TRUE)</f>
        <v>2.4505368860896362E-3</v>
      </c>
      <c r="X112" s="112"/>
      <c r="Y112" s="112"/>
    </row>
    <row r="113" spans="5:25" ht="11.25" customHeight="1" x14ac:dyDescent="0.2">
      <c r="E113" s="147"/>
      <c r="F113" s="147"/>
      <c r="G113" s="112"/>
      <c r="K113" s="112"/>
      <c r="L113" s="112"/>
      <c r="R113" s="27">
        <f>_xll.qlCalendarAdvance(Calendar,R112,"1D","f")</f>
        <v>42530</v>
      </c>
      <c r="S113" s="3">
        <f>_xll.qlInterpolationInterpolate(B3Minterpolation,R113,TRUE)</f>
        <v>2.4518754365527536E-3</v>
      </c>
      <c r="X113" s="112"/>
      <c r="Y113" s="112"/>
    </row>
    <row r="114" spans="5:25" ht="11.25" customHeight="1" x14ac:dyDescent="0.2">
      <c r="E114" s="147"/>
      <c r="F114" s="147"/>
      <c r="G114" s="112"/>
      <c r="K114" s="112"/>
      <c r="L114" s="112"/>
      <c r="R114" s="27">
        <f>_xll.qlCalendarAdvance(Calendar,R113,"1D","f")</f>
        <v>42531</v>
      </c>
      <c r="S114" s="3">
        <f>_xll.qlInterpolationInterpolate(B3Minterpolation,R114,TRUE)</f>
        <v>2.45311991678808E-3</v>
      </c>
      <c r="X114" s="112"/>
      <c r="Y114" s="112"/>
    </row>
    <row r="115" spans="5:25" ht="11.25" customHeight="1" x14ac:dyDescent="0.2">
      <c r="E115" s="147"/>
      <c r="F115" s="147"/>
      <c r="G115" s="112"/>
      <c r="K115" s="112"/>
      <c r="L115" s="112"/>
      <c r="R115" s="27">
        <f>_xll.qlCalendarAdvance(Calendar,R114,"1D","f")</f>
        <v>42534</v>
      </c>
      <c r="S115" s="3">
        <f>_xll.qlInterpolationInterpolate(B3Minterpolation,R115,TRUE)</f>
        <v>2.456266986906438E-3</v>
      </c>
      <c r="X115" s="112"/>
      <c r="Y115" s="112"/>
    </row>
    <row r="116" spans="5:25" ht="11.25" customHeight="1" x14ac:dyDescent="0.2">
      <c r="E116" s="147"/>
      <c r="F116" s="147"/>
      <c r="G116" s="112"/>
      <c r="K116" s="112"/>
      <c r="L116" s="112"/>
      <c r="R116" s="27">
        <f>_xll.qlCalendarAdvance(Calendar,R115,"1D","f")</f>
        <v>42535</v>
      </c>
      <c r="S116" s="3">
        <f>_xll.qlInterpolationInterpolate(B3Minterpolation,R116,TRUE)</f>
        <v>2.4571132370097247E-3</v>
      </c>
      <c r="X116" s="112"/>
      <c r="Y116" s="112"/>
    </row>
    <row r="117" spans="5:25" ht="11.25" customHeight="1" x14ac:dyDescent="0.2">
      <c r="E117" s="147"/>
      <c r="F117" s="147"/>
      <c r="G117" s="112"/>
      <c r="K117" s="112"/>
      <c r="L117" s="112"/>
      <c r="R117" s="27">
        <f>_xll.qlCalendarAdvance(Calendar,R116,"1D","f")</f>
        <v>42536</v>
      </c>
      <c r="S117" s="3">
        <f>_xll.qlInterpolationInterpolate(B3Minterpolation,R117,TRUE)</f>
        <v>2.4578544422747825E-3</v>
      </c>
      <c r="X117" s="112"/>
      <c r="Y117" s="112"/>
    </row>
    <row r="118" spans="5:25" ht="11.25" customHeight="1" x14ac:dyDescent="0.2">
      <c r="E118" s="147"/>
      <c r="F118" s="147"/>
      <c r="G118" s="112"/>
      <c r="K118" s="112"/>
      <c r="L118" s="112"/>
      <c r="R118" s="27">
        <f>_xll.qlCalendarAdvance(Calendar,R117,"1D","f")</f>
        <v>42537</v>
      </c>
      <c r="S118" s="3">
        <f>_xll.qlInterpolationInterpolate(B3Minterpolation,R118,TRUE)</f>
        <v>2.4585147067100041E-3</v>
      </c>
      <c r="X118" s="112"/>
      <c r="Y118" s="112"/>
    </row>
    <row r="119" spans="5:25" ht="11.25" customHeight="1" x14ac:dyDescent="0.2">
      <c r="E119" s="147"/>
      <c r="F119" s="147"/>
      <c r="G119" s="112"/>
      <c r="K119" s="112"/>
      <c r="L119" s="112"/>
      <c r="R119" s="27">
        <f>_xll.qlCalendarAdvance(Calendar,R118,"1D","f")</f>
        <v>42538</v>
      </c>
      <c r="S119" s="3">
        <f>_xll.qlInterpolationInterpolate(B3Minterpolation,R119,TRUE)</f>
        <v>2.459120353353203E-3</v>
      </c>
      <c r="X119" s="112"/>
      <c r="Y119" s="112"/>
    </row>
    <row r="120" spans="5:25" ht="11.25" customHeight="1" x14ac:dyDescent="0.2">
      <c r="E120" s="147"/>
      <c r="F120" s="147"/>
      <c r="G120" s="112"/>
      <c r="K120" s="112"/>
      <c r="L120" s="112"/>
      <c r="R120" s="27">
        <f>_xll.qlCalendarAdvance(Calendar,R119,"1D","f")</f>
        <v>42541</v>
      </c>
      <c r="S120" s="3">
        <f>_xll.qlInterpolationInterpolate(B3Minterpolation,R120,TRUE)</f>
        <v>2.460620922751081E-3</v>
      </c>
      <c r="X120" s="112"/>
      <c r="Y120" s="112"/>
    </row>
    <row r="121" spans="5:25" ht="11.25" customHeight="1" x14ac:dyDescent="0.2">
      <c r="E121" s="147"/>
      <c r="F121" s="147"/>
      <c r="G121" s="112"/>
      <c r="K121" s="112"/>
      <c r="L121" s="112"/>
      <c r="R121" s="27">
        <f>_xll.qlCalendarAdvance(Calendar,R120,"1D","f")</f>
        <v>42542</v>
      </c>
      <c r="S121" s="3">
        <f>_xll.qlInterpolationInterpolate(B3Minterpolation,R121,TRUE)</f>
        <v>2.4610194344466085E-3</v>
      </c>
      <c r="X121" s="112"/>
      <c r="Y121" s="112"/>
    </row>
    <row r="122" spans="5:25" ht="11.25" customHeight="1" x14ac:dyDescent="0.2">
      <c r="E122" s="147"/>
      <c r="F122" s="147"/>
      <c r="G122" s="112"/>
      <c r="K122" s="112"/>
      <c r="L122" s="112"/>
      <c r="R122" s="27">
        <f>_xll.qlCalendarAdvance(Calendar,R121,"1D","f")</f>
        <v>42543</v>
      </c>
      <c r="S122" s="3">
        <f>_xll.qlInterpolationInterpolate(B3Minterpolation,R122,TRUE)</f>
        <v>2.4613689964603242E-3</v>
      </c>
      <c r="X122" s="112"/>
      <c r="Y122" s="112"/>
    </row>
    <row r="123" spans="5:25" ht="11.25" customHeight="1" x14ac:dyDescent="0.2">
      <c r="E123" s="147"/>
      <c r="F123" s="147"/>
      <c r="G123" s="112"/>
      <c r="K123" s="112"/>
      <c r="L123" s="112"/>
      <c r="R123" s="27">
        <f>_xll.qlCalendarAdvance(Calendar,R122,"1D","f")</f>
        <v>42544</v>
      </c>
      <c r="S123" s="3">
        <f>_xll.qlInterpolationInterpolate(B3Minterpolation,R123,TRUE)</f>
        <v>2.4616707424142694E-3</v>
      </c>
      <c r="X123" s="112"/>
      <c r="Y123" s="112"/>
    </row>
    <row r="124" spans="5:25" ht="11.25" customHeight="1" x14ac:dyDescent="0.2">
      <c r="E124" s="147"/>
      <c r="F124" s="147"/>
      <c r="G124" s="112"/>
      <c r="K124" s="112"/>
      <c r="L124" s="112"/>
      <c r="R124" s="27">
        <f>_xll.qlCalendarAdvance(Calendar,R123,"1D","f")</f>
        <v>42545</v>
      </c>
      <c r="S124" s="3">
        <f>_xll.qlInterpolationInterpolate(B3Minterpolation,R124,TRUE)</f>
        <v>2.4619258059304871E-3</v>
      </c>
      <c r="X124" s="112"/>
      <c r="Y124" s="112"/>
    </row>
    <row r="125" spans="5:25" ht="11.25" customHeight="1" x14ac:dyDescent="0.2">
      <c r="E125" s="147"/>
      <c r="F125" s="147"/>
      <c r="G125" s="112"/>
      <c r="K125" s="112"/>
      <c r="L125" s="112"/>
      <c r="R125" s="27">
        <f>_xll.qlCalendarAdvance(Calendar,R124,"1D","f")</f>
        <v>42548</v>
      </c>
      <c r="S125" s="3">
        <f>_xll.qlInterpolationInterpolate(B3Minterpolation,R125,TRUE)</f>
        <v>2.4624222380731945E-3</v>
      </c>
      <c r="X125" s="112"/>
      <c r="Y125" s="112"/>
    </row>
    <row r="126" spans="5:25" ht="11.25" customHeight="1" x14ac:dyDescent="0.2">
      <c r="E126" s="147"/>
      <c r="F126" s="147"/>
      <c r="G126" s="112"/>
      <c r="K126" s="112"/>
      <c r="L126" s="112"/>
      <c r="R126" s="27">
        <f>_xll.qlCalendarAdvance(Calendar,R125,"1D","f")</f>
        <v>42549</v>
      </c>
      <c r="S126" s="3">
        <f>_xll.qlInterpolationInterpolate(B3Minterpolation,R126,TRUE)</f>
        <v>2.4625019080589225E-3</v>
      </c>
      <c r="X126" s="112"/>
      <c r="Y126" s="112"/>
    </row>
    <row r="127" spans="5:25" ht="11.25" customHeight="1" x14ac:dyDescent="0.2">
      <c r="E127" s="147"/>
      <c r="F127" s="147"/>
      <c r="G127" s="112"/>
      <c r="K127" s="112"/>
      <c r="L127" s="112"/>
      <c r="R127" s="27">
        <f>_xll.qlCalendarAdvance(Calendar,R126,"1D","f")</f>
        <v>42550</v>
      </c>
      <c r="S127" s="3">
        <f>_xll.qlInterpolationInterpolate(B3Minterpolation,R127,TRUE)</f>
        <v>2.4625405637171338E-3</v>
      </c>
      <c r="X127" s="112"/>
      <c r="Y127" s="112"/>
    </row>
    <row r="128" spans="5:25" ht="11.25" customHeight="1" x14ac:dyDescent="0.2">
      <c r="E128" s="147"/>
      <c r="F128" s="147"/>
      <c r="G128" s="112"/>
      <c r="K128" s="112"/>
      <c r="L128" s="112"/>
      <c r="R128" s="27">
        <f>_xll.qlCalendarAdvance(Calendar,R127,"1D","f")</f>
        <v>42551</v>
      </c>
      <c r="S128" s="3">
        <f>_xll.qlInterpolationInterpolate(B3Minterpolation,R128,TRUE)</f>
        <v>2.4625393386698705E-3</v>
      </c>
      <c r="X128" s="112"/>
      <c r="Y128" s="112"/>
    </row>
    <row r="129" spans="5:25" ht="11.25" customHeight="1" x14ac:dyDescent="0.2">
      <c r="E129" s="147"/>
      <c r="F129" s="147"/>
      <c r="G129" s="112"/>
      <c r="K129" s="112"/>
      <c r="L129" s="112"/>
      <c r="R129" s="27">
        <f>_xll.qlCalendarAdvance(Calendar,R128,"1D","f")</f>
        <v>42552</v>
      </c>
      <c r="S129" s="3">
        <f>_xll.qlInterpolationInterpolate(B3Minterpolation,R129,TRUE)</f>
        <v>2.4624993665391744E-3</v>
      </c>
      <c r="X129" s="112"/>
      <c r="Y129" s="112"/>
    </row>
    <row r="130" spans="5:25" ht="11.25" customHeight="1" x14ac:dyDescent="0.2">
      <c r="E130" s="147"/>
      <c r="F130" s="147"/>
      <c r="G130" s="112"/>
      <c r="K130" s="112"/>
      <c r="L130" s="112"/>
      <c r="R130" s="27">
        <f>_xll.qlCalendarAdvance(Calendar,R129,"1D","f")</f>
        <v>42555</v>
      </c>
      <c r="S130" s="3">
        <f>_xll.qlInterpolationInterpolate(B3Minterpolation,R130,TRUE)</f>
        <v>2.4621583038669142E-3</v>
      </c>
      <c r="X130" s="112"/>
      <c r="Y130" s="112"/>
    </row>
    <row r="131" spans="5:25" ht="11.25" customHeight="1" x14ac:dyDescent="0.2">
      <c r="E131" s="147"/>
      <c r="F131" s="147"/>
      <c r="G131" s="112"/>
      <c r="K131" s="112"/>
      <c r="L131" s="112"/>
      <c r="R131" s="27">
        <f>_xll.qlCalendarAdvance(Calendar,R130,"1D","f")</f>
        <v>42556</v>
      </c>
      <c r="S131" s="3">
        <f>_xll.qlInterpolationInterpolate(B3Minterpolation,R131,TRUE)</f>
        <v>2.4619746796229101E-3</v>
      </c>
      <c r="X131" s="112"/>
      <c r="Y131" s="112"/>
    </row>
    <row r="132" spans="5:25" ht="11.25" customHeight="1" x14ac:dyDescent="0.2">
      <c r="E132" s="147"/>
      <c r="F132" s="147"/>
      <c r="G132" s="112"/>
      <c r="K132" s="112"/>
      <c r="L132" s="112"/>
      <c r="R132" s="27">
        <f>_xll.qlCalendarAdvance(Calendar,R131,"1D","f")</f>
        <v>42557</v>
      </c>
      <c r="S132" s="3">
        <f>_xll.qlInterpolationInterpolate(B3Minterpolation,R132,TRUE)</f>
        <v>2.4617579764056848E-3</v>
      </c>
      <c r="X132" s="112"/>
      <c r="Y132" s="112"/>
    </row>
    <row r="133" spans="5:25" ht="11.25" customHeight="1" x14ac:dyDescent="0.2">
      <c r="E133" s="147"/>
      <c r="F133" s="147"/>
      <c r="G133" s="112"/>
      <c r="K133" s="112"/>
      <c r="L133" s="112"/>
      <c r="R133" s="27">
        <f>_xll.qlCalendarAdvance(Calendar,R132,"1D","f")</f>
        <v>42558</v>
      </c>
      <c r="S133" s="3">
        <f>_xll.qlInterpolationInterpolate(B3Minterpolation,R133,TRUE)</f>
        <v>2.4615093278372805E-3</v>
      </c>
      <c r="X133" s="112"/>
      <c r="Y133" s="112"/>
    </row>
    <row r="134" spans="5:25" ht="11.25" customHeight="1" x14ac:dyDescent="0.2">
      <c r="E134" s="147"/>
      <c r="F134" s="147"/>
      <c r="G134" s="112"/>
      <c r="K134" s="112"/>
      <c r="L134" s="112"/>
      <c r="R134" s="27">
        <f>_xll.qlCalendarAdvance(Calendar,R133,"1D","f")</f>
        <v>42559</v>
      </c>
      <c r="S134" s="3">
        <f>_xll.qlInterpolationInterpolate(B3Minterpolation,R134,TRUE)</f>
        <v>2.4612298675397385E-3</v>
      </c>
      <c r="X134" s="112"/>
      <c r="Y134" s="112"/>
    </row>
    <row r="135" spans="5:25" ht="11.25" customHeight="1" x14ac:dyDescent="0.2">
      <c r="E135" s="147"/>
      <c r="F135" s="147"/>
      <c r="G135" s="112"/>
      <c r="K135" s="112"/>
      <c r="L135" s="112"/>
      <c r="R135" s="27">
        <f>_xll.qlCalendarAdvance(Calendar,R134,"1D","f")</f>
        <v>42562</v>
      </c>
      <c r="S135" s="3">
        <f>_xll.qlInterpolationInterpolate(B3Minterpolation,R135,TRUE)</f>
        <v>2.460217952492713E-3</v>
      </c>
      <c r="X135" s="112"/>
      <c r="Y135" s="112"/>
    </row>
    <row r="136" spans="5:25" ht="11.25" customHeight="1" x14ac:dyDescent="0.2">
      <c r="E136" s="147"/>
      <c r="F136" s="147"/>
      <c r="G136" s="112"/>
      <c r="K136" s="112"/>
      <c r="L136" s="112"/>
      <c r="R136" s="27">
        <f>_xll.qlCalendarAdvance(Calendar,R135,"1D","f")</f>
        <v>42563</v>
      </c>
      <c r="S136" s="3">
        <f>_xll.qlInterpolationInterpolate(B3Minterpolation,R136,TRUE)</f>
        <v>2.4598265814990451E-3</v>
      </c>
      <c r="X136" s="112"/>
      <c r="Y136" s="112"/>
    </row>
    <row r="137" spans="5:25" ht="11.25" customHeight="1" x14ac:dyDescent="0.2">
      <c r="E137" s="147"/>
      <c r="F137" s="147"/>
      <c r="G137" s="112"/>
      <c r="K137" s="112"/>
      <c r="L137" s="112"/>
      <c r="R137" s="27">
        <f>_xll.qlCalendarAdvance(Calendar,R136,"1D","f")</f>
        <v>42564</v>
      </c>
      <c r="S137" s="3">
        <f>_xll.qlInterpolationInterpolate(B3Minterpolation,R137,TRUE)</f>
        <v>2.4594100668864508E-3</v>
      </c>
      <c r="X137" s="112"/>
      <c r="Y137" s="112"/>
    </row>
    <row r="138" spans="5:25" ht="11.25" customHeight="1" x14ac:dyDescent="0.2">
      <c r="E138" s="147"/>
      <c r="F138" s="147"/>
      <c r="G138" s="112"/>
      <c r="K138" s="112"/>
      <c r="L138" s="112"/>
      <c r="R138" s="27">
        <f>_xll.qlCalendarAdvance(Calendar,R137,"1D","f")</f>
        <v>42565</v>
      </c>
      <c r="S138" s="3">
        <f>_xll.qlInterpolationInterpolate(B3Minterpolation,R138,TRUE)</f>
        <v>2.4589695422769725E-3</v>
      </c>
      <c r="X138" s="112"/>
      <c r="Y138" s="112"/>
    </row>
    <row r="139" spans="5:25" ht="11.25" customHeight="1" x14ac:dyDescent="0.2">
      <c r="E139" s="147"/>
      <c r="F139" s="147"/>
      <c r="G139" s="112"/>
      <c r="K139" s="112"/>
      <c r="L139" s="112"/>
      <c r="R139" s="27">
        <f>_xll.qlCalendarAdvance(Calendar,R138,"1D","f")</f>
        <v>42566</v>
      </c>
      <c r="S139" s="3">
        <f>_xll.qlInterpolationInterpolate(B3Minterpolation,R139,TRUE)</f>
        <v>2.4585061412926526E-3</v>
      </c>
      <c r="X139" s="112"/>
      <c r="Y139" s="112"/>
    </row>
    <row r="140" spans="5:25" ht="11.25" customHeight="1" x14ac:dyDescent="0.2">
      <c r="E140" s="147"/>
      <c r="F140" s="147"/>
      <c r="G140" s="112"/>
      <c r="K140" s="112"/>
      <c r="L140" s="112"/>
      <c r="R140" s="27">
        <f>_xll.qlCalendarAdvance(Calendar,R139,"1D","f")</f>
        <v>42569</v>
      </c>
      <c r="S140" s="3">
        <f>_xll.qlInterpolationInterpolate(B3Minterpolation,R140,TRUE)</f>
        <v>2.456990016311065E-3</v>
      </c>
      <c r="X140" s="112"/>
      <c r="Y140" s="112"/>
    </row>
    <row r="141" spans="5:25" ht="11.25" customHeight="1" x14ac:dyDescent="0.2">
      <c r="E141" s="147"/>
      <c r="F141" s="147"/>
      <c r="G141" s="112"/>
      <c r="K141" s="112"/>
      <c r="L141" s="112"/>
      <c r="R141" s="27">
        <f>_xll.qlCalendarAdvance(Calendar,R140,"1D","f")</f>
        <v>42570</v>
      </c>
      <c r="S141" s="3">
        <f>_xll.qlInterpolationInterpolate(B3Minterpolation,R141,TRUE)</f>
        <v>2.4564464460478E-3</v>
      </c>
      <c r="X141" s="112"/>
      <c r="Y141" s="112"/>
    </row>
    <row r="142" spans="5:25" ht="11.25" customHeight="1" x14ac:dyDescent="0.2">
      <c r="E142" s="147"/>
      <c r="F142" s="147"/>
      <c r="G142" s="112"/>
      <c r="K142" s="112"/>
      <c r="L142" s="112"/>
      <c r="R142" s="27">
        <f>_xll.qlCalendarAdvance(Calendar,R141,"1D","f")</f>
        <v>42571</v>
      </c>
      <c r="S142" s="3">
        <f>_xll.qlInterpolationInterpolate(B3Minterpolation,R142,TRUE)</f>
        <v>2.4558856675199045E-3</v>
      </c>
      <c r="X142" s="112"/>
      <c r="Y142" s="112"/>
    </row>
    <row r="143" spans="5:25" ht="11.25" customHeight="1" x14ac:dyDescent="0.2">
      <c r="E143" s="147"/>
      <c r="F143" s="147"/>
      <c r="G143" s="112"/>
      <c r="K143" s="112"/>
      <c r="L143" s="112"/>
      <c r="R143" s="27">
        <f>_xll.qlCalendarAdvance(Calendar,R142,"1D","f")</f>
        <v>42572</v>
      </c>
      <c r="S143" s="3">
        <f>_xll.qlInterpolationInterpolate(B3Minterpolation,R143,TRUE)</f>
        <v>2.4553088143494206E-3</v>
      </c>
      <c r="X143" s="112"/>
      <c r="Y143" s="112"/>
    </row>
    <row r="144" spans="5:25" ht="11.25" customHeight="1" x14ac:dyDescent="0.2">
      <c r="E144" s="147"/>
      <c r="F144" s="147"/>
      <c r="G144" s="112"/>
      <c r="K144" s="112"/>
      <c r="L144" s="112"/>
      <c r="R144" s="27">
        <f>_xll.qlCalendarAdvance(Calendar,R143,"1D","f")</f>
        <v>42573</v>
      </c>
      <c r="S144" s="3">
        <f>_xll.qlInterpolationInterpolate(B3Minterpolation,R144,TRUE)</f>
        <v>2.4547170201583901E-3</v>
      </c>
      <c r="X144" s="112"/>
      <c r="Y144" s="112"/>
    </row>
    <row r="145" spans="5:25" ht="11.25" customHeight="1" x14ac:dyDescent="0.2">
      <c r="E145" s="147"/>
      <c r="F145" s="147"/>
      <c r="G145" s="112"/>
      <c r="K145" s="112"/>
      <c r="L145" s="112"/>
      <c r="R145" s="27">
        <f>_xll.qlCalendarAdvance(Calendar,R144,"1D","f")</f>
        <v>42576</v>
      </c>
      <c r="S145" s="3">
        <f>_xll.qlInterpolationInterpolate(B3Minterpolation,R145,TRUE)</f>
        <v>2.4528633276824424E-3</v>
      </c>
      <c r="X145" s="112"/>
      <c r="Y145" s="112"/>
    </row>
    <row r="146" spans="5:25" ht="11.25" customHeight="1" x14ac:dyDescent="0.2">
      <c r="E146" s="147"/>
      <c r="F146" s="147"/>
      <c r="G146" s="112"/>
      <c r="K146" s="112"/>
      <c r="L146" s="112"/>
      <c r="R146" s="27">
        <f>_xll.qlCalendarAdvance(Calendar,R145,"1D","f")</f>
        <v>42577</v>
      </c>
      <c r="S146" s="3">
        <f>_xll.qlInterpolationInterpolate(B3Minterpolation,R146,TRUE)</f>
        <v>2.4522231056296486E-3</v>
      </c>
      <c r="X146" s="112"/>
      <c r="Y146" s="112"/>
    </row>
    <row r="147" spans="5:25" ht="11.25" customHeight="1" x14ac:dyDescent="0.2">
      <c r="E147" s="147"/>
      <c r="F147" s="147"/>
      <c r="G147" s="112"/>
      <c r="K147" s="112"/>
      <c r="L147" s="112"/>
      <c r="R147" s="27">
        <f>_xll.qlCalendarAdvance(Calendar,R146,"1D","f")</f>
        <v>42578</v>
      </c>
      <c r="S147" s="3">
        <f>_xll.qlInterpolationInterpolate(B3Minterpolation,R147,TRUE)</f>
        <v>2.4515736106665194E-3</v>
      </c>
      <c r="X147" s="112"/>
      <c r="Y147" s="112"/>
    </row>
    <row r="148" spans="5:25" ht="11.25" customHeight="1" x14ac:dyDescent="0.2">
      <c r="E148" s="147"/>
      <c r="F148" s="147"/>
      <c r="G148" s="112"/>
      <c r="K148" s="112"/>
      <c r="L148" s="112"/>
      <c r="R148" s="27">
        <f>_xll.qlCalendarAdvance(Calendar,R147,"1D","f")</f>
        <v>42579</v>
      </c>
      <c r="S148" s="3">
        <f>_xll.qlInterpolationInterpolate(B3Minterpolation,R148,TRUE)</f>
        <v>2.4509159764150969E-3</v>
      </c>
      <c r="X148" s="112"/>
      <c r="Y148" s="112"/>
    </row>
    <row r="149" spans="5:25" ht="11.25" customHeight="1" x14ac:dyDescent="0.2">
      <c r="E149" s="147"/>
      <c r="F149" s="147"/>
      <c r="G149" s="112"/>
      <c r="K149" s="112"/>
      <c r="L149" s="112"/>
      <c r="R149" s="27">
        <f>_xll.qlCalendarAdvance(Calendar,R148,"1D","f")</f>
        <v>42580</v>
      </c>
      <c r="S149" s="3">
        <f>_xll.qlInterpolationInterpolate(B3Minterpolation,R149,TRUE)</f>
        <v>2.4502513364974238E-3</v>
      </c>
      <c r="X149" s="112"/>
      <c r="Y149" s="112"/>
    </row>
    <row r="150" spans="5:25" ht="11.25" customHeight="1" x14ac:dyDescent="0.2">
      <c r="E150" s="147"/>
      <c r="F150" s="147"/>
      <c r="G150" s="112"/>
      <c r="K150" s="112"/>
      <c r="L150" s="112"/>
      <c r="R150" s="27">
        <f>_xll.qlCalendarAdvance(Calendar,R149,"1D","f")</f>
        <v>42583</v>
      </c>
      <c r="S150" s="3">
        <f>_xll.qlInterpolationInterpolate(B3Minterpolation,R150,TRUE)</f>
        <v>2.4482267189673197E-3</v>
      </c>
      <c r="X150" s="112"/>
      <c r="Y150" s="112"/>
    </row>
    <row r="151" spans="5:25" ht="11.25" customHeight="1" x14ac:dyDescent="0.2">
      <c r="E151" s="147"/>
      <c r="F151" s="147"/>
      <c r="G151" s="112"/>
      <c r="K151" s="112"/>
      <c r="L151" s="112"/>
      <c r="R151" s="27">
        <f>_xll.qlCalendarAdvance(Calendar,R150,"1D","f")</f>
        <v>42584</v>
      </c>
      <c r="S151" s="3">
        <f>_xll.qlInterpolationInterpolate(B3Minterpolation,R151,TRUE)</f>
        <v>2.4475453926050641E-3</v>
      </c>
      <c r="X151" s="112"/>
      <c r="Y151" s="112"/>
    </row>
    <row r="152" spans="5:25" ht="11.25" customHeight="1" x14ac:dyDescent="0.2">
      <c r="E152" s="147"/>
      <c r="F152" s="147"/>
      <c r="G152" s="112"/>
      <c r="K152" s="112"/>
      <c r="L152" s="112"/>
      <c r="R152" s="27">
        <f>_xll.qlCalendarAdvance(Calendar,R151,"1D","f")</f>
        <v>42585</v>
      </c>
      <c r="S152" s="3">
        <f>_xll.qlInterpolationInterpolate(B3Minterpolation,R152,TRUE)</f>
        <v>2.4468627286867686E-3</v>
      </c>
      <c r="X152" s="112"/>
      <c r="Y152" s="112"/>
    </row>
    <row r="153" spans="5:25" ht="11.25" customHeight="1" x14ac:dyDescent="0.2">
      <c r="E153" s="147"/>
      <c r="F153" s="147"/>
      <c r="G153" s="112"/>
      <c r="K153" s="112"/>
      <c r="L153" s="112"/>
      <c r="R153" s="27">
        <f>_xll.qlCalendarAdvance(Calendar,R152,"1D","f")</f>
        <v>42586</v>
      </c>
      <c r="S153" s="3">
        <f>_xll.qlInterpolationInterpolate(B3Minterpolation,R153,TRUE)</f>
        <v>2.4461798608344759E-3</v>
      </c>
      <c r="X153" s="112"/>
      <c r="Y153" s="112"/>
    </row>
    <row r="154" spans="5:25" ht="11.25" customHeight="1" x14ac:dyDescent="0.2">
      <c r="E154" s="147"/>
      <c r="F154" s="147"/>
      <c r="G154" s="112"/>
      <c r="K154" s="112"/>
      <c r="L154" s="112"/>
      <c r="R154" s="27">
        <f>_xll.qlCalendarAdvance(Calendar,R153,"1D","f")</f>
        <v>42587</v>
      </c>
      <c r="S154" s="3">
        <f>_xll.qlInterpolationInterpolate(B3Minterpolation,R154,TRUE)</f>
        <v>2.4454979226702271E-3</v>
      </c>
      <c r="X154" s="112"/>
      <c r="Y154" s="112"/>
    </row>
    <row r="155" spans="5:25" ht="11.25" customHeight="1" x14ac:dyDescent="0.2">
      <c r="E155" s="147"/>
      <c r="F155" s="147"/>
      <c r="G155" s="112"/>
      <c r="K155" s="112"/>
      <c r="L155" s="112"/>
      <c r="R155" s="27">
        <f>_xll.qlCalendarAdvance(Calendar,R154,"1D","f")</f>
        <v>42590</v>
      </c>
      <c r="S155" s="3">
        <f>_xll.qlInterpolationInterpolate(B3Minterpolation,R155,TRUE)</f>
        <v>2.4434690225261691E-3</v>
      </c>
      <c r="X155" s="112"/>
      <c r="Y155" s="112"/>
    </row>
    <row r="156" spans="5:25" ht="11.25" customHeight="1" x14ac:dyDescent="0.2">
      <c r="E156" s="147"/>
      <c r="F156" s="147"/>
      <c r="G156" s="112"/>
      <c r="K156" s="112"/>
      <c r="L156" s="112"/>
      <c r="R156" s="27">
        <f>_xll.qlCalendarAdvance(Calendar,R155,"1D","f")</f>
        <v>42591</v>
      </c>
      <c r="S156" s="3">
        <f>_xll.qlInterpolationInterpolate(B3Minterpolation,R156,TRUE)</f>
        <v>2.44280213933452E-3</v>
      </c>
      <c r="X156" s="112"/>
      <c r="Y156" s="112"/>
    </row>
    <row r="157" spans="5:25" ht="11.25" customHeight="1" x14ac:dyDescent="0.2">
      <c r="E157" s="147"/>
      <c r="F157" s="147"/>
      <c r="G157" s="112"/>
      <c r="K157" s="112"/>
      <c r="L157" s="112"/>
      <c r="R157" s="27">
        <f>_xll.qlCalendarAdvance(Calendar,R156,"1D","f")</f>
        <v>42592</v>
      </c>
      <c r="S157" s="3">
        <f>_xll.qlInterpolationInterpolate(B3Minterpolation,R157,TRUE)</f>
        <v>2.4421418539411258E-3</v>
      </c>
      <c r="X157" s="112"/>
      <c r="Y157" s="112"/>
    </row>
    <row r="158" spans="5:25" ht="11.25" customHeight="1" x14ac:dyDescent="0.2">
      <c r="E158" s="147"/>
      <c r="F158" s="147"/>
      <c r="G158" s="112"/>
      <c r="K158" s="112"/>
      <c r="L158" s="112"/>
      <c r="R158" s="27">
        <f>_xll.qlCalendarAdvance(Calendar,R157,"1D","f")</f>
        <v>42593</v>
      </c>
      <c r="S158" s="3">
        <f>_xll.qlInterpolationInterpolate(B3Minterpolation,R158,TRUE)</f>
        <v>2.4414892999680298E-3</v>
      </c>
      <c r="X158" s="112"/>
      <c r="Y158" s="112"/>
    </row>
    <row r="159" spans="5:25" ht="11.25" customHeight="1" x14ac:dyDescent="0.2">
      <c r="E159" s="147"/>
      <c r="F159" s="147"/>
      <c r="G159" s="112"/>
      <c r="K159" s="112"/>
      <c r="L159" s="112"/>
      <c r="R159" s="27">
        <f>_xll.qlCalendarAdvance(Calendar,R158,"1D","f")</f>
        <v>42594</v>
      </c>
      <c r="S159" s="3">
        <f>_xll.qlInterpolationInterpolate(B3Minterpolation,R159,TRUE)</f>
        <v>2.4408456110372734E-3</v>
      </c>
      <c r="X159" s="112"/>
      <c r="Y159" s="112"/>
    </row>
    <row r="160" spans="5:25" ht="11.25" customHeight="1" x14ac:dyDescent="0.2">
      <c r="E160" s="147"/>
      <c r="F160" s="147"/>
      <c r="G160" s="112"/>
      <c r="K160" s="112"/>
      <c r="L160" s="112"/>
      <c r="R160" s="27">
        <f>_xll.qlCalendarAdvance(Calendar,R159,"1D","f")</f>
        <v>42597</v>
      </c>
      <c r="S160" s="3">
        <f>_xll.qlInterpolationInterpolate(B3Minterpolation,R160,TRUE)</f>
        <v>2.4389790707194641E-3</v>
      </c>
      <c r="X160" s="112"/>
      <c r="Y160" s="112"/>
    </row>
    <row r="161" spans="5:25" ht="11.25" customHeight="1" x14ac:dyDescent="0.2">
      <c r="E161" s="147"/>
      <c r="F161" s="147"/>
      <c r="G161" s="112"/>
      <c r="K161" s="112"/>
      <c r="L161" s="112"/>
      <c r="R161" s="27">
        <f>_xll.qlCalendarAdvance(Calendar,R160,"1D","f")</f>
        <v>42598</v>
      </c>
      <c r="S161" s="3">
        <f>_xll.qlInterpolationInterpolate(B3Minterpolation,R161,TRUE)</f>
        <v>2.4383821781784887E-3</v>
      </c>
      <c r="X161" s="112"/>
      <c r="Y161" s="112"/>
    </row>
    <row r="162" spans="5:25" ht="11.25" customHeight="1" x14ac:dyDescent="0.2">
      <c r="E162" s="147"/>
      <c r="F162" s="147"/>
      <c r="G162" s="112"/>
      <c r="K162" s="112"/>
      <c r="L162" s="112"/>
      <c r="R162" s="27">
        <f>_xll.qlCalendarAdvance(Calendar,R161,"1D","f")</f>
        <v>42599</v>
      </c>
      <c r="S162" s="3">
        <f>_xll.qlInterpolationInterpolate(B3Minterpolation,R162,TRUE)</f>
        <v>2.437799818790064E-3</v>
      </c>
      <c r="X162" s="112"/>
      <c r="Y162" s="112"/>
    </row>
    <row r="163" spans="5:25" ht="11.25" customHeight="1" x14ac:dyDescent="0.2">
      <c r="E163" s="147"/>
      <c r="F163" s="147"/>
      <c r="G163" s="112"/>
      <c r="K163" s="112"/>
      <c r="L163" s="112"/>
      <c r="R163" s="27">
        <f>_xll.qlCalendarAdvance(Calendar,R162,"1D","f")</f>
        <v>42600</v>
      </c>
      <c r="S163" s="3">
        <f>_xll.qlInterpolationInterpolate(B3Minterpolation,R163,TRUE)</f>
        <v>2.4372331261762322E-3</v>
      </c>
      <c r="X163" s="112"/>
      <c r="Y163" s="112"/>
    </row>
    <row r="164" spans="5:25" ht="11.25" customHeight="1" x14ac:dyDescent="0.2">
      <c r="E164" s="147"/>
      <c r="F164" s="147"/>
      <c r="G164" s="112"/>
      <c r="K164" s="112"/>
      <c r="L164" s="112"/>
      <c r="R164" s="27">
        <f>_xll.qlCalendarAdvance(Calendar,R163,"1D","f")</f>
        <v>42601</v>
      </c>
      <c r="S164" s="3">
        <f>_xll.qlInterpolationInterpolate(B3Minterpolation,R164,TRUE)</f>
        <v>2.4366832339590356E-3</v>
      </c>
      <c r="X164" s="112"/>
      <c r="Y164" s="112"/>
    </row>
    <row r="165" spans="5:25" ht="11.25" customHeight="1" x14ac:dyDescent="0.2">
      <c r="E165" s="147"/>
      <c r="F165" s="147"/>
      <c r="G165" s="112"/>
      <c r="K165" s="112"/>
      <c r="L165" s="112"/>
      <c r="R165" s="27">
        <f>_xll.qlCalendarAdvance(Calendar,R164,"1D","f")</f>
        <v>42604</v>
      </c>
      <c r="S165" s="3">
        <f>_xll.qlInterpolationInterpolate(B3Minterpolation,R165,TRUE)</f>
        <v>2.4351456959076788E-3</v>
      </c>
      <c r="X165" s="112"/>
      <c r="Y165" s="112"/>
    </row>
    <row r="166" spans="5:25" ht="11.25" customHeight="1" x14ac:dyDescent="0.2">
      <c r="E166" s="147"/>
      <c r="F166" s="147"/>
      <c r="G166" s="112"/>
      <c r="K166" s="112"/>
      <c r="L166" s="112"/>
      <c r="R166" s="27">
        <f>_xll.qlCalendarAdvance(Calendar,R165,"1D","f")</f>
        <v>42605</v>
      </c>
      <c r="S166" s="3">
        <f>_xll.qlInterpolationInterpolate(B3Minterpolation,R166,TRUE)</f>
        <v>2.4346743414974444E-3</v>
      </c>
      <c r="X166" s="112"/>
      <c r="Y166" s="112"/>
    </row>
    <row r="167" spans="5:25" ht="11.25" customHeight="1" x14ac:dyDescent="0.2">
      <c r="E167" s="147"/>
      <c r="F167" s="147"/>
      <c r="G167" s="112"/>
      <c r="K167" s="112"/>
      <c r="L167" s="112"/>
      <c r="R167" s="27">
        <f>_xll.qlCalendarAdvance(Calendar,R166,"1D","f")</f>
        <v>42606</v>
      </c>
      <c r="S167" s="3">
        <f>_xll.qlInterpolationInterpolate(B3Minterpolation,R167,TRUE)</f>
        <v>2.4342254555940563E-3</v>
      </c>
      <c r="X167" s="112"/>
      <c r="Y167" s="112"/>
    </row>
    <row r="168" spans="5:25" ht="11.25" customHeight="1" x14ac:dyDescent="0.2">
      <c r="E168" s="147"/>
      <c r="F168" s="147"/>
      <c r="G168" s="112"/>
      <c r="K168" s="112"/>
      <c r="L168" s="112"/>
      <c r="R168" s="27">
        <f>_xll.qlCalendarAdvance(Calendar,R167,"1D","f")</f>
        <v>42607</v>
      </c>
      <c r="S168" s="3">
        <f>_xll.qlInterpolationInterpolate(B3Minterpolation,R168,TRUE)</f>
        <v>2.4338001718195567E-3</v>
      </c>
      <c r="X168" s="112"/>
      <c r="Y168" s="112"/>
    </row>
    <row r="169" spans="5:25" ht="11.25" customHeight="1" x14ac:dyDescent="0.2">
      <c r="E169" s="147"/>
      <c r="F169" s="147"/>
      <c r="G169" s="112"/>
      <c r="K169" s="112"/>
      <c r="L169" s="112"/>
      <c r="R169" s="27">
        <f>_xll.qlCalendarAdvance(Calendar,R168,"1D","f")</f>
        <v>42608</v>
      </c>
      <c r="S169" s="3">
        <f>_xll.qlInterpolationInterpolate(B3Minterpolation,R169,TRUE)</f>
        <v>2.4333996237959877E-3</v>
      </c>
      <c r="X169" s="112"/>
      <c r="Y169" s="112"/>
    </row>
    <row r="170" spans="5:25" ht="11.25" customHeight="1" x14ac:dyDescent="0.2">
      <c r="E170" s="147"/>
      <c r="F170" s="147"/>
      <c r="G170" s="112"/>
      <c r="K170" s="112"/>
      <c r="L170" s="112"/>
      <c r="R170" s="27">
        <f>_xll.qlCalendarAdvance(Calendar,R169,"1D","f")</f>
        <v>42612</v>
      </c>
      <c r="S170" s="3">
        <f>_xll.qlInterpolationInterpolate(B3Minterpolation,R170,TRUE)</f>
        <v>2.43206746165186E-3</v>
      </c>
      <c r="X170" s="112"/>
      <c r="Y170" s="112"/>
    </row>
    <row r="171" spans="5:25" ht="11.25" customHeight="1" x14ac:dyDescent="0.2">
      <c r="E171" s="147"/>
      <c r="F171" s="147"/>
      <c r="G171" s="112"/>
      <c r="K171" s="112"/>
      <c r="L171" s="112"/>
      <c r="R171" s="27">
        <f>_xll.qlCalendarAdvance(Calendar,R170,"1D","f")</f>
        <v>42613</v>
      </c>
      <c r="S171" s="3">
        <f>_xll.qlInterpolationInterpolate(B3Minterpolation,R171,TRUE)</f>
        <v>2.4318075967135764E-3</v>
      </c>
      <c r="X171" s="112"/>
      <c r="Y171" s="112"/>
    </row>
    <row r="172" spans="5:25" ht="11.25" customHeight="1" x14ac:dyDescent="0.2">
      <c r="E172" s="147"/>
      <c r="F172" s="147"/>
      <c r="G172" s="112"/>
      <c r="K172" s="112"/>
      <c r="L172" s="112"/>
      <c r="R172" s="27">
        <f>_xll.qlCalendarAdvance(Calendar,R171,"1D","f")</f>
        <v>42614</v>
      </c>
      <c r="S172" s="3">
        <f>_xll.qlInterpolationInterpolate(B3Minterpolation,R172,TRUE)</f>
        <v>2.4315792692584763E-3</v>
      </c>
      <c r="X172" s="112"/>
      <c r="Y172" s="112"/>
    </row>
    <row r="173" spans="5:25" ht="11.25" customHeight="1" x14ac:dyDescent="0.2">
      <c r="E173" s="147"/>
      <c r="F173" s="147"/>
      <c r="G173" s="112"/>
      <c r="K173" s="112"/>
      <c r="L173" s="112"/>
      <c r="R173" s="27">
        <f>_xll.qlCalendarAdvance(Calendar,R172,"1D","f")</f>
        <v>42615</v>
      </c>
      <c r="S173" s="3">
        <f>_xll.qlInterpolationInterpolate(B3Minterpolation,R173,TRUE)</f>
        <v>2.4313836129086024E-3</v>
      </c>
      <c r="X173" s="112"/>
      <c r="Y173" s="112"/>
    </row>
    <row r="174" spans="5:25" ht="11.25" customHeight="1" x14ac:dyDescent="0.2">
      <c r="E174" s="147"/>
      <c r="F174" s="147"/>
      <c r="G174" s="112"/>
      <c r="K174" s="112"/>
      <c r="L174" s="112"/>
      <c r="R174" s="27">
        <f>_xll.qlCalendarAdvance(Calendar,R173,"1D","f")</f>
        <v>42618</v>
      </c>
      <c r="S174" s="3">
        <f>_xll.qlInterpolationInterpolate(B3Minterpolation,R174,TRUE)</f>
        <v>2.4310040067107574E-3</v>
      </c>
      <c r="X174" s="112"/>
      <c r="Y174" s="112"/>
    </row>
    <row r="175" spans="5:25" ht="11.25" customHeight="1" x14ac:dyDescent="0.2">
      <c r="E175" s="147"/>
      <c r="F175" s="147"/>
      <c r="G175" s="112"/>
      <c r="K175" s="112"/>
      <c r="L175" s="112"/>
      <c r="R175" s="27">
        <f>_xll.qlCalendarAdvance(Calendar,R174,"1D","f")</f>
        <v>42619</v>
      </c>
      <c r="S175" s="3">
        <f>_xll.qlInterpolationInterpolate(B3Minterpolation,R175,TRUE)</f>
        <v>2.4309503710022089E-3</v>
      </c>
      <c r="X175" s="112"/>
      <c r="Y175" s="112"/>
    </row>
    <row r="176" spans="5:25" ht="11.25" customHeight="1" x14ac:dyDescent="0.2">
      <c r="E176" s="147"/>
      <c r="F176" s="147"/>
      <c r="G176" s="112"/>
      <c r="K176" s="112"/>
      <c r="L176" s="112"/>
      <c r="R176" s="27">
        <f>_xll.qlCalendarAdvance(Calendar,R175,"1D","f")</f>
        <v>42620</v>
      </c>
      <c r="S176" s="3">
        <f>_xll.qlInterpolationInterpolate(B3Minterpolation,R176,TRUE)</f>
        <v>2.4309350745090972E-3</v>
      </c>
      <c r="X176" s="112"/>
      <c r="Y176" s="112"/>
    </row>
    <row r="177" spans="5:25" ht="11.25" customHeight="1" x14ac:dyDescent="0.2">
      <c r="E177" s="147"/>
      <c r="F177" s="147"/>
      <c r="G177" s="112"/>
      <c r="K177" s="112"/>
      <c r="L177" s="112"/>
      <c r="R177" s="27">
        <f>_xll.qlCalendarAdvance(Calendar,R176,"1D","f")</f>
        <v>42621</v>
      </c>
      <c r="S177" s="3">
        <f>_xll.qlInterpolationInterpolate(B3Minterpolation,R177,TRUE)</f>
        <v>2.4309592508534646E-3</v>
      </c>
      <c r="X177" s="112"/>
      <c r="Y177" s="112"/>
    </row>
    <row r="178" spans="5:25" ht="11.25" customHeight="1" x14ac:dyDescent="0.2">
      <c r="E178" s="147"/>
      <c r="F178" s="147"/>
      <c r="G178" s="112"/>
      <c r="K178" s="112"/>
      <c r="L178" s="112"/>
      <c r="R178" s="27">
        <f>_xll.qlCalendarAdvance(Calendar,R177,"1D","f")</f>
        <v>42622</v>
      </c>
      <c r="S178" s="3">
        <f>_xll.qlInterpolationInterpolate(B3Minterpolation,R178,TRUE)</f>
        <v>2.4310240336573529E-3</v>
      </c>
      <c r="X178" s="112"/>
      <c r="Y178" s="112"/>
    </row>
    <row r="179" spans="5:25" ht="11.25" customHeight="1" x14ac:dyDescent="0.2">
      <c r="E179" s="147"/>
      <c r="F179" s="147"/>
      <c r="G179" s="112"/>
      <c r="K179" s="112"/>
      <c r="L179" s="112"/>
      <c r="R179" s="27">
        <f>_xll.qlCalendarAdvance(Calendar,R178,"1D","f")</f>
        <v>42625</v>
      </c>
      <c r="S179" s="3">
        <f>_xll.qlInterpolationInterpolate(B3Minterpolation,R179,TRUE)</f>
        <v>2.4314733570465685E-3</v>
      </c>
      <c r="X179" s="112"/>
      <c r="Y179" s="112"/>
    </row>
    <row r="180" spans="5:25" ht="11.25" customHeight="1" x14ac:dyDescent="0.2">
      <c r="E180" s="147"/>
      <c r="F180" s="147"/>
      <c r="G180" s="112"/>
      <c r="K180" s="112"/>
      <c r="L180" s="112"/>
      <c r="R180" s="27">
        <f>_xll.qlCalendarAdvance(Calendar,R179,"1D","f")</f>
        <v>42626</v>
      </c>
      <c r="S180" s="3">
        <f>_xll.qlInterpolationInterpolate(B3Minterpolation,R180,TRUE)</f>
        <v>2.4317119019089638E-3</v>
      </c>
      <c r="X180" s="112"/>
      <c r="Y180" s="112"/>
    </row>
    <row r="181" spans="5:25" ht="11.25" customHeight="1" x14ac:dyDescent="0.2">
      <c r="E181" s="147"/>
      <c r="F181" s="147"/>
      <c r="G181" s="112"/>
      <c r="K181" s="112"/>
      <c r="L181" s="112"/>
      <c r="R181" s="27">
        <f>_xll.qlCalendarAdvance(Calendar,R180,"1D","f")</f>
        <v>42627</v>
      </c>
      <c r="S181" s="3">
        <f>_xll.qlInterpolationInterpolate(B3Minterpolation,R181,TRUE)</f>
        <v>2.431996721341092E-3</v>
      </c>
      <c r="X181" s="112"/>
      <c r="Y181" s="112"/>
    </row>
    <row r="182" spans="5:25" ht="11.25" customHeight="1" x14ac:dyDescent="0.2">
      <c r="E182" s="147"/>
      <c r="F182" s="147"/>
      <c r="G182" s="112"/>
      <c r="K182" s="112"/>
      <c r="L182" s="112"/>
      <c r="R182" s="27">
        <f>_xll.qlCalendarAdvance(Calendar,R181,"1D","f")</f>
        <v>42628</v>
      </c>
      <c r="S182" s="3">
        <f>_xll.qlInterpolationInterpolate(B3Minterpolation,R182,TRUE)</f>
        <v>2.4323289489649939E-3</v>
      </c>
      <c r="X182" s="112"/>
      <c r="Y182" s="112"/>
    </row>
    <row r="183" spans="5:25" ht="11.25" customHeight="1" x14ac:dyDescent="0.2">
      <c r="E183" s="147"/>
      <c r="F183" s="147"/>
      <c r="G183" s="112"/>
      <c r="K183" s="112"/>
      <c r="L183" s="112"/>
      <c r="R183" s="27">
        <f>_xll.qlCalendarAdvance(Calendar,R182,"1D","f")</f>
        <v>42629</v>
      </c>
      <c r="S183" s="3">
        <f>_xll.qlInterpolationInterpolate(B3Minterpolation,R183,TRUE)</f>
        <v>2.4327097184027131E-3</v>
      </c>
      <c r="X183" s="112"/>
      <c r="Y183" s="112"/>
    </row>
    <row r="184" spans="5:25" ht="11.25" customHeight="1" x14ac:dyDescent="0.2">
      <c r="E184" s="147"/>
      <c r="F184" s="147"/>
      <c r="G184" s="112"/>
      <c r="K184" s="112"/>
      <c r="L184" s="112"/>
      <c r="R184" s="27">
        <f>_xll.qlCalendarAdvance(Calendar,R183,"1D","f")</f>
        <v>42632</v>
      </c>
      <c r="S184" s="3">
        <f>_xll.qlInterpolationInterpolate(B3Minterpolation,R184,TRUE)</f>
        <v>2.4341546138191912E-3</v>
      </c>
      <c r="X184" s="112"/>
      <c r="Y184" s="112"/>
    </row>
    <row r="185" spans="5:25" ht="11.25" customHeight="1" x14ac:dyDescent="0.2">
      <c r="E185" s="147"/>
      <c r="F185" s="147"/>
      <c r="G185" s="112"/>
      <c r="K185" s="112"/>
      <c r="L185" s="112"/>
      <c r="R185" s="27">
        <f>_xll.qlCalendarAdvance(Calendar,R184,"1D","f")</f>
        <v>42633</v>
      </c>
      <c r="S185" s="3">
        <f>_xll.qlInterpolationInterpolate(B3Minterpolation,R185,TRUE)</f>
        <v>2.4347408867325987E-3</v>
      </c>
      <c r="X185" s="112"/>
      <c r="Y185" s="112"/>
    </row>
    <row r="186" spans="5:25" ht="11.25" customHeight="1" x14ac:dyDescent="0.2">
      <c r="E186" s="147"/>
      <c r="F186" s="147"/>
      <c r="G186" s="112"/>
      <c r="K186" s="112"/>
      <c r="L186" s="112"/>
      <c r="R186" s="27">
        <f>_xll.qlCalendarAdvance(Calendar,R185,"1D","f")</f>
        <v>42634</v>
      </c>
      <c r="S186" s="3">
        <f>_xll.qlInterpolationInterpolate(B3Minterpolation,R186,TRUE)</f>
        <v>2.4353813695700338E-3</v>
      </c>
      <c r="X186" s="112"/>
      <c r="Y186" s="112"/>
    </row>
    <row r="187" spans="5:25" ht="11.25" customHeight="1" x14ac:dyDescent="0.2">
      <c r="E187" s="147"/>
      <c r="F187" s="147"/>
      <c r="G187" s="112"/>
      <c r="K187" s="112"/>
      <c r="L187" s="112"/>
      <c r="R187" s="27">
        <f>_xll.qlCalendarAdvance(Calendar,R186,"1D","f")</f>
        <v>42635</v>
      </c>
      <c r="S187" s="3">
        <f>_xll.qlInterpolationInterpolate(B3Minterpolation,R187,TRUE)</f>
        <v>2.4360830234831268E-3</v>
      </c>
      <c r="X187" s="112"/>
      <c r="Y187" s="112"/>
    </row>
    <row r="188" spans="5:25" ht="11.25" customHeight="1" x14ac:dyDescent="0.2">
      <c r="E188" s="147"/>
      <c r="F188" s="147"/>
      <c r="G188" s="112"/>
      <c r="K188" s="112"/>
      <c r="L188" s="112"/>
      <c r="R188" s="27">
        <f>_xll.qlCalendarAdvance(Calendar,R187,"1D","f")</f>
        <v>42636</v>
      </c>
      <c r="S188" s="3">
        <f>_xll.qlInterpolationInterpolate(B3Minterpolation,R188,TRUE)</f>
        <v>2.436851329056629E-3</v>
      </c>
      <c r="X188" s="112"/>
      <c r="Y188" s="112"/>
    </row>
    <row r="189" spans="5:25" ht="11.25" customHeight="1" x14ac:dyDescent="0.2">
      <c r="E189" s="147"/>
      <c r="F189" s="147"/>
      <c r="G189" s="112"/>
      <c r="K189" s="112"/>
      <c r="L189" s="112"/>
      <c r="R189" s="27">
        <f>_xll.qlCalendarAdvance(Calendar,R188,"1D","f")</f>
        <v>42639</v>
      </c>
      <c r="S189" s="3">
        <f>_xll.qlInterpolationInterpolate(B3Minterpolation,R189,TRUE)</f>
        <v>2.4395452834568222E-3</v>
      </c>
      <c r="X189" s="112"/>
      <c r="Y189" s="112"/>
    </row>
    <row r="190" spans="5:25" ht="11.25" customHeight="1" x14ac:dyDescent="0.2">
      <c r="E190" s="147"/>
      <c r="F190" s="147"/>
      <c r="G190" s="112"/>
      <c r="K190" s="112"/>
      <c r="L190" s="112"/>
      <c r="R190" s="27">
        <f>_xll.qlCalendarAdvance(Calendar,R189,"1D","f")</f>
        <v>42640</v>
      </c>
      <c r="S190" s="3">
        <f>_xll.qlInterpolationInterpolate(B3Minterpolation,R190,TRUE)</f>
        <v>2.4405693233891935E-3</v>
      </c>
      <c r="X190" s="112"/>
      <c r="Y190" s="112"/>
    </row>
    <row r="191" spans="5:25" ht="11.25" customHeight="1" x14ac:dyDescent="0.2">
      <c r="E191" s="147"/>
      <c r="F191" s="147"/>
      <c r="G191" s="112"/>
      <c r="K191" s="112"/>
      <c r="L191" s="112"/>
      <c r="R191" s="27">
        <f>_xll.qlCalendarAdvance(Calendar,R190,"1D","f")</f>
        <v>42641</v>
      </c>
      <c r="S191" s="3">
        <f>_xll.qlInterpolationInterpolate(B3Minterpolation,R191,TRUE)</f>
        <v>2.4416545788405902E-3</v>
      </c>
      <c r="X191" s="112"/>
      <c r="Y191" s="112"/>
    </row>
    <row r="192" spans="5:25" ht="11.25" customHeight="1" x14ac:dyDescent="0.2">
      <c r="E192" s="147"/>
      <c r="F192" s="147"/>
      <c r="G192" s="112"/>
      <c r="K192" s="112"/>
      <c r="L192" s="112"/>
      <c r="R192" s="27">
        <f>_xll.qlCalendarAdvance(Calendar,R191,"1D","f")</f>
        <v>42642</v>
      </c>
      <c r="S192" s="3">
        <f>_xll.qlInterpolationInterpolate(B3Minterpolation,R192,TRUE)</f>
        <v>2.4427999625827351E-3</v>
      </c>
      <c r="X192" s="112"/>
      <c r="Y192" s="112"/>
    </row>
    <row r="193" spans="5:25" ht="11.25" customHeight="1" x14ac:dyDescent="0.2">
      <c r="E193" s="147"/>
      <c r="F193" s="147"/>
      <c r="G193" s="112"/>
      <c r="K193" s="112"/>
      <c r="L193" s="112"/>
      <c r="R193" s="27">
        <f>_xll.qlCalendarAdvance(Calendar,R192,"1D","f")</f>
        <v>42643</v>
      </c>
      <c r="S193" s="3">
        <f>_xll.qlInterpolationInterpolate(B3Minterpolation,R193,TRUE)</f>
        <v>2.4440043873873523E-3</v>
      </c>
      <c r="X193" s="112"/>
      <c r="Y193" s="112"/>
    </row>
    <row r="194" spans="5:25" ht="11.25" customHeight="1" x14ac:dyDescent="0.2">
      <c r="E194" s="147"/>
      <c r="F194" s="147"/>
      <c r="G194" s="112"/>
      <c r="K194" s="112"/>
      <c r="L194" s="112"/>
      <c r="R194" s="27">
        <f>_xll.qlCalendarAdvance(Calendar,R193,"1D","f")</f>
        <v>42646</v>
      </c>
      <c r="S194" s="3">
        <f>_xll.qlInterpolationInterpolate(B3Minterpolation,R194,TRUE)</f>
        <v>2.4479610358932678E-3</v>
      </c>
      <c r="X194" s="112"/>
      <c r="Y194" s="112"/>
    </row>
    <row r="195" spans="5:25" ht="11.25" customHeight="1" x14ac:dyDescent="0.2">
      <c r="E195" s="147"/>
      <c r="F195" s="147"/>
      <c r="G195" s="112"/>
      <c r="K195" s="112"/>
      <c r="L195" s="112"/>
      <c r="R195" s="27">
        <f>_xll.qlCalendarAdvance(Calendar,R194,"1D","f")</f>
        <v>42647</v>
      </c>
      <c r="S195" s="3">
        <f>_xll.qlInterpolationInterpolate(B3Minterpolation,R195,TRUE)</f>
        <v>2.449390752665005E-3</v>
      </c>
      <c r="X195" s="112"/>
      <c r="Y195" s="112"/>
    </row>
    <row r="196" spans="5:25" ht="11.25" customHeight="1" x14ac:dyDescent="0.2">
      <c r="E196" s="147"/>
      <c r="F196" s="147"/>
      <c r="G196" s="112"/>
      <c r="K196" s="112"/>
      <c r="L196" s="112"/>
      <c r="R196" s="27">
        <f>_xll.qlCalendarAdvance(Calendar,R195,"1D","f")</f>
        <v>42648</v>
      </c>
      <c r="S196" s="3">
        <f>_xll.qlInterpolationInterpolate(B3Minterpolation,R196,TRUE)</f>
        <v>2.4508740743578307E-3</v>
      </c>
      <c r="X196" s="112"/>
      <c r="Y196" s="112"/>
    </row>
    <row r="197" spans="5:25" ht="11.25" customHeight="1" x14ac:dyDescent="0.2">
      <c r="E197" s="147"/>
      <c r="F197" s="147"/>
      <c r="G197" s="112"/>
      <c r="K197" s="112"/>
      <c r="L197" s="112"/>
      <c r="R197" s="27">
        <f>_xll.qlCalendarAdvance(Calendar,R196,"1D","f")</f>
        <v>42649</v>
      </c>
      <c r="S197" s="3">
        <f>_xll.qlInterpolationInterpolate(B3Minterpolation,R197,TRUE)</f>
        <v>2.4524099137434681E-3</v>
      </c>
      <c r="X197" s="112"/>
      <c r="Y197" s="112"/>
    </row>
    <row r="198" spans="5:25" ht="11.25" customHeight="1" x14ac:dyDescent="0.2">
      <c r="E198" s="147"/>
      <c r="F198" s="147"/>
      <c r="G198" s="112"/>
      <c r="K198" s="112"/>
      <c r="L198" s="112"/>
      <c r="R198" s="27">
        <f>_xll.qlCalendarAdvance(Calendar,R197,"1D","f")</f>
        <v>42650</v>
      </c>
      <c r="S198" s="3">
        <f>_xll.qlInterpolationInterpolate(B3Minterpolation,R198,TRUE)</f>
        <v>2.4539971835936402E-3</v>
      </c>
      <c r="X198" s="112"/>
      <c r="Y198" s="112"/>
    </row>
    <row r="199" spans="5:25" ht="11.25" customHeight="1" x14ac:dyDescent="0.2">
      <c r="E199" s="147"/>
      <c r="F199" s="147"/>
      <c r="G199" s="112"/>
      <c r="K199" s="112"/>
      <c r="L199" s="112"/>
      <c r="R199" s="27">
        <f>_xll.qlCalendarAdvance(Calendar,R198,"1D","f")</f>
        <v>42653</v>
      </c>
      <c r="S199" s="3">
        <f>_xll.qlInterpolationInterpolate(B3Minterpolation,R199,TRUE)</f>
        <v>2.4590567036485967E-3</v>
      </c>
      <c r="X199" s="112"/>
      <c r="Y199" s="112"/>
    </row>
    <row r="200" spans="5:25" ht="11.25" customHeight="1" x14ac:dyDescent="0.2">
      <c r="E200" s="147"/>
      <c r="F200" s="147"/>
      <c r="G200" s="112"/>
      <c r="K200" s="112"/>
      <c r="L200" s="112"/>
      <c r="R200" s="27">
        <f>_xll.qlCalendarAdvance(Calendar,R199,"1D","f")</f>
        <v>42654</v>
      </c>
      <c r="S200" s="3">
        <f>_xll.qlInterpolationInterpolate(B3Minterpolation,R200,TRUE)</f>
        <v>2.4608388230741404E-3</v>
      </c>
      <c r="X200" s="112"/>
      <c r="Y200" s="112"/>
    </row>
    <row r="201" spans="5:25" ht="11.25" customHeight="1" x14ac:dyDescent="0.2">
      <c r="E201" s="147"/>
      <c r="F201" s="147"/>
      <c r="G201" s="112"/>
      <c r="K201" s="112"/>
      <c r="L201" s="112"/>
      <c r="R201" s="27">
        <f>_xll.qlCalendarAdvance(Calendar,R200,"1D","f")</f>
        <v>42655</v>
      </c>
      <c r="S201" s="3">
        <f>_xll.qlInterpolationInterpolate(B3Minterpolation,R201,TRUE)</f>
        <v>2.4626669368228351E-3</v>
      </c>
      <c r="X201" s="112"/>
      <c r="Y201" s="112"/>
    </row>
    <row r="202" spans="5:25" ht="11.25" customHeight="1" x14ac:dyDescent="0.2">
      <c r="E202" s="147"/>
      <c r="F202" s="147"/>
      <c r="G202" s="112"/>
      <c r="K202" s="112"/>
      <c r="L202" s="112"/>
      <c r="R202" s="27">
        <f>_xll.qlCalendarAdvance(Calendar,R201,"1D","f")</f>
        <v>42656</v>
      </c>
      <c r="S202" s="3">
        <f>_xll.qlInterpolationInterpolate(B3Minterpolation,R202,TRUE)</f>
        <v>2.464539957666404E-3</v>
      </c>
      <c r="X202" s="112"/>
      <c r="Y202" s="112"/>
    </row>
    <row r="203" spans="5:25" ht="11.25" customHeight="1" x14ac:dyDescent="0.2">
      <c r="E203" s="147"/>
      <c r="F203" s="147"/>
      <c r="G203" s="112"/>
      <c r="K203" s="112"/>
      <c r="L203" s="112"/>
      <c r="R203" s="27">
        <f>_xll.qlCalendarAdvance(Calendar,R202,"1D","f")</f>
        <v>42657</v>
      </c>
      <c r="S203" s="3">
        <f>_xll.qlInterpolationInterpolate(B3Minterpolation,R203,TRUE)</f>
        <v>2.4664567983765707E-3</v>
      </c>
      <c r="X203" s="112"/>
      <c r="Y203" s="112"/>
    </row>
    <row r="204" spans="5:25" ht="11.25" customHeight="1" x14ac:dyDescent="0.2">
      <c r="E204" s="147"/>
      <c r="F204" s="147"/>
      <c r="G204" s="112"/>
      <c r="K204" s="112"/>
      <c r="L204" s="112"/>
      <c r="R204" s="27">
        <f>_xll.qlCalendarAdvance(Calendar,R203,"1D","f")</f>
        <v>42660</v>
      </c>
      <c r="S204" s="3">
        <f>_xll.qlInterpolationInterpolate(B3Minterpolation,R204,TRUE)</f>
        <v>2.4724593674238884E-3</v>
      </c>
      <c r="X204" s="112"/>
      <c r="Y204" s="112"/>
    </row>
    <row r="205" spans="5:25" ht="11.25" customHeight="1" x14ac:dyDescent="0.2">
      <c r="E205" s="147"/>
      <c r="F205" s="147"/>
      <c r="G205" s="112"/>
      <c r="K205" s="112"/>
      <c r="L205" s="112"/>
      <c r="R205" s="27">
        <f>_xll.qlCalendarAdvance(Calendar,R204,"1D","f")</f>
        <v>42661</v>
      </c>
      <c r="S205" s="3">
        <f>_xll.qlInterpolationInterpolate(B3Minterpolation,R205,TRUE)</f>
        <v>2.4745406153176778E-3</v>
      </c>
      <c r="X205" s="112"/>
      <c r="Y205" s="112"/>
    </row>
    <row r="206" spans="5:25" ht="11.25" customHeight="1" x14ac:dyDescent="0.2">
      <c r="E206" s="147"/>
      <c r="F206" s="147"/>
      <c r="G206" s="112"/>
      <c r="K206" s="112"/>
      <c r="L206" s="112"/>
      <c r="R206" s="27">
        <f>_xll.qlCalendarAdvance(Calendar,R205,"1D","f")</f>
        <v>42662</v>
      </c>
      <c r="S206" s="3">
        <f>_xll.qlInterpolationInterpolate(B3Minterpolation,R206,TRUE)</f>
        <v>2.4766602469366811E-3</v>
      </c>
      <c r="X206" s="112"/>
      <c r="Y206" s="112"/>
    </row>
    <row r="207" spans="5:25" ht="11.25" customHeight="1" x14ac:dyDescent="0.2">
      <c r="E207" s="147"/>
      <c r="F207" s="147"/>
      <c r="G207" s="112"/>
      <c r="K207" s="112"/>
      <c r="L207" s="112"/>
      <c r="R207" s="27">
        <f>_xll.qlCalendarAdvance(Calendar,R206,"1D","f")</f>
        <v>42663</v>
      </c>
      <c r="S207" s="3">
        <f>_xll.qlInterpolationInterpolate(B3Minterpolation,R207,TRUE)</f>
        <v>2.4788171750526216E-3</v>
      </c>
      <c r="X207" s="112"/>
      <c r="Y207" s="112"/>
    </row>
    <row r="208" spans="5:25" ht="11.25" customHeight="1" x14ac:dyDescent="0.2">
      <c r="E208" s="147"/>
      <c r="F208" s="147"/>
      <c r="G208" s="112"/>
      <c r="K208" s="112"/>
      <c r="L208" s="112"/>
      <c r="R208" s="27">
        <f>_xll.qlCalendarAdvance(Calendar,R207,"1D","f")</f>
        <v>42664</v>
      </c>
      <c r="S208" s="3">
        <f>_xll.qlInterpolationInterpolate(B3Minterpolation,R208,TRUE)</f>
        <v>2.4810103124372224E-3</v>
      </c>
      <c r="X208" s="112"/>
      <c r="Y208" s="112"/>
    </row>
    <row r="209" spans="5:25" ht="11.25" customHeight="1" x14ac:dyDescent="0.2">
      <c r="E209" s="147"/>
      <c r="F209" s="147"/>
      <c r="G209" s="112"/>
      <c r="K209" s="112"/>
      <c r="L209" s="112"/>
      <c r="R209" s="27">
        <f>_xll.qlCalendarAdvance(Calendar,R208,"1D","f")</f>
        <v>42667</v>
      </c>
      <c r="S209" s="3">
        <f>_xll.qlInterpolationInterpolate(B3Minterpolation,R209,TRUE)</f>
        <v>2.4877961079202205E-3</v>
      </c>
      <c r="X209" s="112"/>
      <c r="Y209" s="112"/>
    </row>
    <row r="210" spans="5:25" ht="11.25" customHeight="1" x14ac:dyDescent="0.2">
      <c r="E210" s="147"/>
      <c r="F210" s="147"/>
      <c r="G210" s="112"/>
      <c r="K210" s="112"/>
      <c r="L210" s="112"/>
      <c r="R210" s="27">
        <f>_xll.qlCalendarAdvance(Calendar,R209,"1D","f")</f>
        <v>42668</v>
      </c>
      <c r="S210" s="3">
        <f>_xll.qlInterpolationInterpolate(B3Minterpolation,R210,TRUE)</f>
        <v>2.4901232100966956E-3</v>
      </c>
      <c r="X210" s="112"/>
      <c r="Y210" s="112"/>
    </row>
    <row r="211" spans="5:25" ht="11.25" customHeight="1" x14ac:dyDescent="0.2">
      <c r="E211" s="147"/>
      <c r="F211" s="147"/>
      <c r="G211" s="112"/>
      <c r="K211" s="112"/>
      <c r="L211" s="112"/>
      <c r="R211" s="27">
        <f>_xll.qlCalendarAdvance(Calendar,R210,"1D","f")</f>
        <v>42669</v>
      </c>
      <c r="S211" s="3">
        <f>_xll.qlInterpolationInterpolate(B3Minterpolation,R211,TRUE)</f>
        <v>2.4924810854004475E-3</v>
      </c>
      <c r="X211" s="112"/>
      <c r="Y211" s="112"/>
    </row>
    <row r="212" spans="5:25" ht="11.25" customHeight="1" x14ac:dyDescent="0.2">
      <c r="E212" s="147"/>
      <c r="F212" s="147"/>
      <c r="G212" s="112"/>
      <c r="K212" s="112"/>
      <c r="L212" s="112"/>
      <c r="R212" s="27">
        <f>_xll.qlCalendarAdvance(Calendar,R211,"1D","f")</f>
        <v>42670</v>
      </c>
      <c r="S212" s="3">
        <f>_xll.qlInterpolationInterpolate(B3Minterpolation,R212,TRUE)</f>
        <v>2.4948686466031993E-3</v>
      </c>
      <c r="X212" s="112"/>
      <c r="Y212" s="112"/>
    </row>
    <row r="213" spans="5:25" ht="11.25" customHeight="1" x14ac:dyDescent="0.2">
      <c r="E213" s="147"/>
      <c r="F213" s="147"/>
      <c r="G213" s="112"/>
      <c r="K213" s="112"/>
      <c r="L213" s="112"/>
      <c r="R213" s="27">
        <f>_xll.qlCalendarAdvance(Calendar,R212,"1D","f")</f>
        <v>42671</v>
      </c>
      <c r="S213" s="3">
        <f>_xll.qlInterpolationInterpolate(B3Minterpolation,R213,TRUE)</f>
        <v>2.4972848064766747E-3</v>
      </c>
      <c r="X213" s="112"/>
      <c r="Y213" s="112"/>
    </row>
    <row r="214" spans="5:25" ht="11.25" customHeight="1" x14ac:dyDescent="0.2">
      <c r="E214" s="147"/>
      <c r="F214" s="147"/>
      <c r="G214" s="112"/>
      <c r="K214" s="112"/>
      <c r="L214" s="112"/>
      <c r="R214" s="27">
        <f>_xll.qlCalendarAdvance(Calendar,R213,"1D","f")</f>
        <v>42674</v>
      </c>
      <c r="S214" s="3">
        <f>_xll.qlInterpolationInterpolate(B3Minterpolation,R214,TRUE)</f>
        <v>2.504694005838672E-3</v>
      </c>
      <c r="X214" s="112"/>
      <c r="Y214" s="112"/>
    </row>
    <row r="215" spans="5:25" ht="11.25" customHeight="1" x14ac:dyDescent="0.2">
      <c r="E215" s="147"/>
      <c r="F215" s="147"/>
      <c r="G215" s="112"/>
      <c r="K215" s="112"/>
      <c r="L215" s="112"/>
      <c r="R215" s="27">
        <f>_xll.qlCalendarAdvance(Calendar,R214,"1D","f")</f>
        <v>42675</v>
      </c>
      <c r="S215" s="3">
        <f>_xll.qlInterpolationInterpolate(B3Minterpolation,R215,TRUE)</f>
        <v>2.5072136881122728E-3</v>
      </c>
      <c r="X215" s="112"/>
      <c r="Y215" s="112"/>
    </row>
    <row r="216" spans="5:25" ht="11.25" customHeight="1" x14ac:dyDescent="0.2">
      <c r="E216" s="147"/>
      <c r="F216" s="147"/>
      <c r="G216" s="112"/>
      <c r="K216" s="112"/>
      <c r="L216" s="112"/>
      <c r="R216" s="27">
        <f>_xll.qlCalendarAdvance(Calendar,R215,"1D","f")</f>
        <v>42676</v>
      </c>
      <c r="S216" s="3">
        <f>_xll.qlInterpolationInterpolate(B3Minterpolation,R216,TRUE)</f>
        <v>2.509756532915213E-3</v>
      </c>
      <c r="X216" s="112"/>
      <c r="Y216" s="112"/>
    </row>
    <row r="217" spans="5:25" ht="11.25" customHeight="1" x14ac:dyDescent="0.2">
      <c r="E217" s="147"/>
      <c r="F217" s="147"/>
      <c r="G217" s="112"/>
      <c r="K217" s="112"/>
      <c r="L217" s="112"/>
      <c r="R217" s="27">
        <f>_xll.qlCalendarAdvance(Calendar,R216,"1D","f")</f>
        <v>42677</v>
      </c>
      <c r="S217" s="3">
        <f>_xll.qlInterpolationInterpolate(B3Minterpolation,R217,TRUE)</f>
        <v>2.512321453019216E-3</v>
      </c>
      <c r="X217" s="112"/>
      <c r="Y217" s="112"/>
    </row>
    <row r="218" spans="5:25" ht="11.25" customHeight="1" x14ac:dyDescent="0.2">
      <c r="E218" s="147"/>
      <c r="F218" s="147"/>
      <c r="G218" s="112"/>
      <c r="K218" s="112"/>
      <c r="L218" s="112"/>
      <c r="R218" s="27">
        <f>_xll.qlCalendarAdvance(Calendar,R217,"1D","f")</f>
        <v>42678</v>
      </c>
      <c r="S218" s="3">
        <f>_xll.qlInterpolationInterpolate(B3Minterpolation,R218,TRUE)</f>
        <v>2.5149073611960052E-3</v>
      </c>
      <c r="X218" s="112"/>
      <c r="Y218" s="112"/>
    </row>
    <row r="219" spans="5:25" ht="11.25" customHeight="1" x14ac:dyDescent="0.2">
      <c r="E219" s="147"/>
      <c r="F219" s="147"/>
      <c r="G219" s="112"/>
      <c r="K219" s="112"/>
      <c r="L219" s="112"/>
      <c r="R219" s="27">
        <f>_xll.qlCalendarAdvance(Calendar,R218,"1D","f")</f>
        <v>42681</v>
      </c>
      <c r="S219" s="3">
        <f>_xll.qlInterpolationInterpolate(B3Minterpolation,R219,TRUE)</f>
        <v>2.5227801418803218E-3</v>
      </c>
      <c r="X219" s="112"/>
      <c r="Y219" s="112"/>
    </row>
    <row r="220" spans="5:25" ht="11.25" customHeight="1" x14ac:dyDescent="0.2">
      <c r="E220" s="147"/>
      <c r="F220" s="147"/>
      <c r="G220" s="112"/>
      <c r="K220" s="112"/>
      <c r="L220" s="112"/>
      <c r="R220" s="27">
        <f>_xll.qlCalendarAdvance(Calendar,R219,"1D","f")</f>
        <v>42682</v>
      </c>
      <c r="S220" s="3">
        <f>_xll.qlInterpolationInterpolate(B3Minterpolation,R220,TRUE)</f>
        <v>2.5254391300654879E-3</v>
      </c>
      <c r="X220" s="112"/>
      <c r="Y220" s="112"/>
    </row>
    <row r="221" spans="5:25" ht="11.25" customHeight="1" x14ac:dyDescent="0.2">
      <c r="E221" s="147"/>
      <c r="F221" s="147"/>
      <c r="G221" s="112"/>
      <c r="K221" s="112"/>
      <c r="L221" s="112"/>
      <c r="R221" s="27">
        <f>_xll.qlCalendarAdvance(Calendar,R220,"1D","f")</f>
        <v>42683</v>
      </c>
      <c r="S221" s="3">
        <f>_xll.qlInterpolationInterpolate(B3Minterpolation,R221,TRUE)</f>
        <v>2.5281136701820564E-3</v>
      </c>
      <c r="X221" s="112"/>
      <c r="Y221" s="112"/>
    </row>
    <row r="222" spans="5:25" ht="11.25" customHeight="1" x14ac:dyDescent="0.2">
      <c r="E222" s="147"/>
      <c r="F222" s="147"/>
      <c r="G222" s="112"/>
      <c r="K222" s="112"/>
      <c r="L222" s="112"/>
      <c r="R222" s="27">
        <f>_xll.qlCalendarAdvance(Calendar,R221,"1D","f")</f>
        <v>42684</v>
      </c>
      <c r="S222" s="3">
        <f>_xll.qlInterpolationInterpolate(B3Minterpolation,R222,TRUE)</f>
        <v>2.5308026750017502E-3</v>
      </c>
      <c r="X222" s="112"/>
      <c r="Y222" s="112"/>
    </row>
    <row r="223" spans="5:25" ht="11.25" customHeight="1" x14ac:dyDescent="0.2">
      <c r="E223" s="147"/>
      <c r="F223" s="147"/>
      <c r="G223" s="112"/>
      <c r="K223" s="112"/>
      <c r="L223" s="112"/>
      <c r="R223" s="27">
        <f>_xll.qlCalendarAdvance(Calendar,R222,"1D","f")</f>
        <v>42685</v>
      </c>
      <c r="S223" s="3">
        <f>_xll.qlInterpolationInterpolate(B3Minterpolation,R223,TRUE)</f>
        <v>2.5335050572962933E-3</v>
      </c>
      <c r="X223" s="112"/>
      <c r="Y223" s="112"/>
    </row>
    <row r="224" spans="5:25" ht="11.25" customHeight="1" x14ac:dyDescent="0.2">
      <c r="E224" s="147"/>
      <c r="F224" s="147"/>
      <c r="G224" s="112"/>
      <c r="K224" s="112"/>
      <c r="L224" s="112"/>
      <c r="R224" s="27">
        <f>_xll.qlCalendarAdvance(Calendar,R223,"1D","f")</f>
        <v>42688</v>
      </c>
      <c r="S224" s="3">
        <f>_xll.qlInterpolationInterpolate(B3Minterpolation,R224,TRUE)</f>
        <v>2.541681596746248E-3</v>
      </c>
      <c r="X224" s="112"/>
      <c r="Y224" s="112"/>
    </row>
    <row r="225" spans="5:25" ht="11.25" customHeight="1" x14ac:dyDescent="0.2">
      <c r="E225" s="147"/>
      <c r="F225" s="147"/>
      <c r="G225" s="112"/>
      <c r="K225" s="112"/>
      <c r="L225" s="112"/>
      <c r="R225" s="27">
        <f>_xll.qlCalendarAdvance(Calendar,R224,"1D","f")</f>
        <v>42689</v>
      </c>
      <c r="S225" s="3">
        <f>_xll.qlInterpolationInterpolate(B3Minterpolation,R225,TRUE)</f>
        <v>2.5444266166574189E-3</v>
      </c>
      <c r="X225" s="112"/>
      <c r="Y225" s="112"/>
    </row>
    <row r="226" spans="5:25" ht="11.25" customHeight="1" x14ac:dyDescent="0.2">
      <c r="E226" s="147"/>
      <c r="F226" s="147"/>
      <c r="G226" s="112"/>
      <c r="K226" s="112"/>
      <c r="L226" s="112"/>
      <c r="R226" s="27">
        <f>_xll.qlCalendarAdvance(Calendar,R225,"1D","f")</f>
        <v>42690</v>
      </c>
      <c r="S226" s="3">
        <f>_xll.qlInterpolationInterpolate(B3Minterpolation,R226,TRUE)</f>
        <v>2.5471795779020553E-3</v>
      </c>
      <c r="X226" s="112"/>
      <c r="Y226" s="112"/>
    </row>
    <row r="227" spans="5:25" ht="11.25" customHeight="1" x14ac:dyDescent="0.2">
      <c r="E227" s="147"/>
      <c r="F227" s="147"/>
      <c r="G227" s="112"/>
      <c r="K227" s="112"/>
      <c r="L227" s="112"/>
      <c r="R227" s="27">
        <f>_xll.qlCalendarAdvance(Calendar,R226,"1D","f")</f>
        <v>42691</v>
      </c>
      <c r="S227" s="3">
        <f>_xll.qlInterpolationInterpolate(B3Minterpolation,R227,TRUE)</f>
        <v>2.5499393932518805E-3</v>
      </c>
      <c r="X227" s="112"/>
      <c r="Y227" s="112"/>
    </row>
    <row r="228" spans="5:25" ht="11.25" customHeight="1" x14ac:dyDescent="0.2">
      <c r="E228" s="147"/>
      <c r="F228" s="147"/>
      <c r="G228" s="112"/>
      <c r="K228" s="112"/>
      <c r="L228" s="112"/>
      <c r="R228" s="27">
        <f>_xll.qlCalendarAdvance(Calendar,R227,"1D","f")</f>
        <v>42692</v>
      </c>
      <c r="S228" s="3">
        <f>_xll.qlInterpolationInterpolate(B3Minterpolation,R228,TRUE)</f>
        <v>2.552704975478617E-3</v>
      </c>
      <c r="X228" s="112"/>
      <c r="Y228" s="112"/>
    </row>
    <row r="229" spans="5:25" ht="11.25" customHeight="1" x14ac:dyDescent="0.2">
      <c r="E229" s="147"/>
      <c r="F229" s="147"/>
      <c r="G229" s="112"/>
      <c r="K229" s="112"/>
      <c r="L229" s="112"/>
      <c r="R229" s="27">
        <f>_xll.qlCalendarAdvance(Calendar,R228,"1D","f")</f>
        <v>42695</v>
      </c>
      <c r="S229" s="3">
        <f>_xll.qlInterpolationInterpolate(B3Minterpolation,R229,TRUE)</f>
        <v>2.5610254511375294E-3</v>
      </c>
      <c r="X229" s="112"/>
      <c r="Y229" s="112"/>
    </row>
    <row r="230" spans="5:25" ht="11.25" customHeight="1" x14ac:dyDescent="0.2">
      <c r="E230" s="147"/>
      <c r="F230" s="147"/>
      <c r="G230" s="112"/>
      <c r="K230" s="112"/>
      <c r="L230" s="112"/>
      <c r="R230" s="27">
        <f>_xll.qlCalendarAdvance(Calendar,R229,"1D","f")</f>
        <v>42696</v>
      </c>
      <c r="S230" s="3">
        <f>_xll.qlInterpolationInterpolate(B3Minterpolation,R230,TRUE)</f>
        <v>2.5638032285891454E-3</v>
      </c>
      <c r="X230" s="112"/>
      <c r="Y230" s="112"/>
    </row>
    <row r="231" spans="5:25" ht="11.25" customHeight="1" x14ac:dyDescent="0.2">
      <c r="E231" s="147"/>
      <c r="F231" s="147"/>
      <c r="G231" s="112"/>
      <c r="K231" s="112"/>
      <c r="L231" s="112"/>
      <c r="R231" s="27">
        <f>_xll.qlCalendarAdvance(Calendar,R230,"1D","f")</f>
        <v>42697</v>
      </c>
      <c r="S231" s="3">
        <f>_xll.qlInterpolationInterpolate(B3Minterpolation,R231,TRUE)</f>
        <v>2.5665813367762897E-3</v>
      </c>
      <c r="X231" s="112"/>
      <c r="Y231" s="112"/>
    </row>
    <row r="232" spans="5:25" ht="11.25" customHeight="1" x14ac:dyDescent="0.2">
      <c r="E232" s="147"/>
      <c r="F232" s="147"/>
      <c r="G232" s="112"/>
      <c r="K232" s="112"/>
      <c r="L232" s="112"/>
      <c r="R232" s="27">
        <f>_xll.qlCalendarAdvance(Calendar,R231,"1D","f")</f>
        <v>42698</v>
      </c>
      <c r="S232" s="3">
        <f>_xll.qlInterpolationInterpolate(B3Minterpolation,R232,TRUE)</f>
        <v>2.5693586884706849E-3</v>
      </c>
      <c r="X232" s="112"/>
      <c r="Y232" s="112"/>
    </row>
    <row r="233" spans="5:25" ht="11.25" customHeight="1" x14ac:dyDescent="0.2">
      <c r="E233" s="147"/>
      <c r="F233" s="147"/>
      <c r="G233" s="112"/>
      <c r="K233" s="112"/>
      <c r="L233" s="112"/>
      <c r="R233" s="27">
        <f>_xll.qlCalendarAdvance(Calendar,R232,"1D","f")</f>
        <v>42699</v>
      </c>
      <c r="S233" s="3">
        <f>_xll.qlInterpolationInterpolate(B3Minterpolation,R233,TRUE)</f>
        <v>2.5721341964440548E-3</v>
      </c>
      <c r="X233" s="112"/>
      <c r="Y233" s="112"/>
    </row>
    <row r="234" spans="5:25" ht="11.25" customHeight="1" x14ac:dyDescent="0.2">
      <c r="E234" s="147"/>
      <c r="F234" s="147"/>
      <c r="G234" s="112"/>
      <c r="K234" s="112"/>
      <c r="L234" s="112"/>
      <c r="R234" s="27">
        <f>_xll.qlCalendarAdvance(Calendar,R233,"1D","f")</f>
        <v>42702</v>
      </c>
      <c r="S234" s="3">
        <f>_xll.qlInterpolationInterpolate(B3Minterpolation,R234,TRUE)</f>
        <v>2.5804387857552447E-3</v>
      </c>
      <c r="X234" s="112"/>
      <c r="Y234" s="112"/>
    </row>
    <row r="235" spans="5:25" ht="11.25" customHeight="1" x14ac:dyDescent="0.2">
      <c r="E235" s="147"/>
      <c r="F235" s="147"/>
      <c r="G235" s="112"/>
      <c r="K235" s="112"/>
      <c r="L235" s="112"/>
      <c r="R235" s="27">
        <f>_xll.qlCalendarAdvance(Calendar,R234,"1D","f")</f>
        <v>42703</v>
      </c>
      <c r="S235" s="3">
        <f>_xll.qlInterpolationInterpolate(B3Minterpolation,R235,TRUE)</f>
        <v>2.5831960465617452E-3</v>
      </c>
      <c r="X235" s="112"/>
      <c r="Y235" s="112"/>
    </row>
    <row r="236" spans="5:25" ht="11.25" customHeight="1" x14ac:dyDescent="0.2">
      <c r="E236" s="147"/>
      <c r="F236" s="147"/>
      <c r="G236" s="112"/>
      <c r="K236" s="112"/>
      <c r="L236" s="112"/>
      <c r="R236" s="27">
        <f>_xll.qlCalendarAdvance(Calendar,R235,"1D","f")</f>
        <v>42704</v>
      </c>
      <c r="S236" s="3">
        <f>_xll.qlInterpolationInterpolate(B3Minterpolation,R236,TRUE)</f>
        <v>2.585946027505837E-3</v>
      </c>
      <c r="X236" s="112"/>
      <c r="Y236" s="112"/>
    </row>
    <row r="237" spans="5:25" ht="11.25" customHeight="1" x14ac:dyDescent="0.2">
      <c r="E237" s="147"/>
      <c r="F237" s="147"/>
      <c r="G237" s="112"/>
      <c r="K237" s="112"/>
      <c r="L237" s="112"/>
      <c r="R237" s="27">
        <f>_xll.qlCalendarAdvance(Calendar,R236,"1D","f")</f>
        <v>42705</v>
      </c>
      <c r="S237" s="3">
        <f>_xll.qlInterpolationInterpolate(B3Minterpolation,R237,TRUE)</f>
        <v>2.5886876413592427E-3</v>
      </c>
      <c r="X237" s="112"/>
      <c r="Y237" s="112"/>
    </row>
    <row r="238" spans="5:25" ht="11.25" customHeight="1" x14ac:dyDescent="0.2">
      <c r="E238" s="147"/>
      <c r="F238" s="147"/>
      <c r="G238" s="112"/>
      <c r="K238" s="112"/>
      <c r="L238" s="112"/>
      <c r="R238" s="27">
        <f>_xll.qlCalendarAdvance(Calendar,R237,"1D","f")</f>
        <v>42706</v>
      </c>
      <c r="S238" s="3">
        <f>_xll.qlInterpolationInterpolate(B3Minterpolation,R238,TRUE)</f>
        <v>2.5914198008936858E-3</v>
      </c>
      <c r="X238" s="112"/>
      <c r="Y238" s="112"/>
    </row>
    <row r="239" spans="5:25" ht="11.25" customHeight="1" x14ac:dyDescent="0.2">
      <c r="E239" s="147"/>
      <c r="F239" s="147"/>
      <c r="G239" s="112"/>
      <c r="K239" s="112"/>
      <c r="L239" s="112"/>
      <c r="R239" s="27">
        <f>_xll.qlCalendarAdvance(Calendar,R238,"1D","f")</f>
        <v>42709</v>
      </c>
      <c r="S239" s="3">
        <f>_xll.qlInterpolationInterpolate(B3Minterpolation,R239,TRUE)</f>
        <v>2.5995486813004723E-3</v>
      </c>
      <c r="X239" s="112"/>
      <c r="Y239" s="112"/>
    </row>
    <row r="240" spans="5:25" ht="11.25" customHeight="1" x14ac:dyDescent="0.2">
      <c r="E240" s="147"/>
      <c r="F240" s="147"/>
      <c r="G240" s="112"/>
      <c r="K240" s="112"/>
      <c r="L240" s="112"/>
      <c r="R240" s="27">
        <f>_xll.qlCalendarAdvance(Calendar,R239,"1D","f")</f>
        <v>42710</v>
      </c>
      <c r="S240" s="3">
        <f>_xll.qlInterpolationInterpolate(B3Minterpolation,R240,TRUE)</f>
        <v>2.6022321512762974E-3</v>
      </c>
      <c r="X240" s="112"/>
      <c r="Y240" s="112"/>
    </row>
    <row r="241" spans="5:25" ht="11.25" customHeight="1" x14ac:dyDescent="0.2">
      <c r="E241" s="147"/>
      <c r="F241" s="147"/>
      <c r="G241" s="112"/>
      <c r="K241" s="112"/>
      <c r="L241" s="112"/>
      <c r="R241" s="27">
        <f>_xll.qlCalendarAdvance(Calendar,R240,"1D","f")</f>
        <v>42711</v>
      </c>
      <c r="S241" s="3">
        <f>_xll.qlInterpolationInterpolate(B3Minterpolation,R241,TRUE)</f>
        <v>2.6049007307917763E-3</v>
      </c>
      <c r="X241" s="112"/>
      <c r="Y241" s="112"/>
    </row>
    <row r="242" spans="5:25" ht="11.25" customHeight="1" x14ac:dyDescent="0.2">
      <c r="E242" s="147"/>
      <c r="F242" s="147"/>
      <c r="G242" s="112"/>
      <c r="K242" s="112"/>
      <c r="L242" s="112"/>
      <c r="R242" s="27">
        <f>_xll.qlCalendarAdvance(Calendar,R241,"1D","f")</f>
        <v>42712</v>
      </c>
      <c r="S242" s="3">
        <f>_xll.qlInterpolationInterpolate(B3Minterpolation,R242,TRUE)</f>
        <v>2.6075533326186322E-3</v>
      </c>
      <c r="X242" s="112"/>
      <c r="Y242" s="112"/>
    </row>
    <row r="243" spans="5:25" ht="11.25" customHeight="1" x14ac:dyDescent="0.2">
      <c r="E243" s="147"/>
      <c r="F243" s="147"/>
      <c r="G243" s="112"/>
      <c r="K243" s="112"/>
      <c r="L243" s="112"/>
      <c r="R243" s="27">
        <f>_xll.qlCalendarAdvance(Calendar,R242,"1D","f")</f>
        <v>42713</v>
      </c>
      <c r="S243" s="3">
        <f>_xll.qlInterpolationInterpolate(B3Minterpolation,R243,TRUE)</f>
        <v>2.6101888695285883E-3</v>
      </c>
      <c r="X243" s="112"/>
      <c r="Y243" s="112"/>
    </row>
    <row r="244" spans="5:25" ht="11.25" customHeight="1" x14ac:dyDescent="0.2">
      <c r="E244" s="147"/>
      <c r="F244" s="147"/>
      <c r="G244" s="112"/>
      <c r="K244" s="112"/>
      <c r="L244" s="112"/>
      <c r="R244" s="27">
        <f>_xll.qlCalendarAdvance(Calendar,R243,"1D","f")</f>
        <v>42716</v>
      </c>
      <c r="S244" s="3">
        <f>_xll.qlInterpolationInterpolate(B3Minterpolation,R244,TRUE)</f>
        <v>2.6179822184742908E-3</v>
      </c>
      <c r="X244" s="112"/>
      <c r="Y244" s="112"/>
    </row>
    <row r="245" spans="5:25" ht="11.25" customHeight="1" x14ac:dyDescent="0.2">
      <c r="E245" s="147"/>
      <c r="F245" s="147"/>
      <c r="G245" s="112"/>
      <c r="K245" s="112"/>
      <c r="L245" s="112"/>
      <c r="R245" s="27">
        <f>_xll.qlCalendarAdvance(Calendar,R244,"1D","f")</f>
        <v>42717</v>
      </c>
      <c r="S245" s="3">
        <f>_xll.qlInterpolationInterpolate(B3Minterpolation,R245,TRUE)</f>
        <v>2.6205386234338804E-3</v>
      </c>
      <c r="X245" s="112"/>
      <c r="Y245" s="112"/>
    </row>
    <row r="246" spans="5:25" ht="11.25" customHeight="1" x14ac:dyDescent="0.2">
      <c r="E246" s="147"/>
      <c r="F246" s="147"/>
      <c r="G246" s="112"/>
      <c r="K246" s="112"/>
      <c r="L246" s="112"/>
      <c r="R246" s="27">
        <f>_xll.qlCalendarAdvance(Calendar,R245,"1D","f")</f>
        <v>42718</v>
      </c>
      <c r="S246" s="3">
        <f>_xll.qlInterpolationInterpolate(B3Minterpolation,R246,TRUE)</f>
        <v>2.6230725273351865E-3</v>
      </c>
      <c r="X246" s="112"/>
      <c r="Y246" s="112"/>
    </row>
    <row r="247" spans="5:25" ht="11.25" customHeight="1" x14ac:dyDescent="0.2">
      <c r="E247" s="147"/>
      <c r="F247" s="147"/>
      <c r="G247" s="112"/>
      <c r="K247" s="112"/>
      <c r="L247" s="112"/>
      <c r="R247" s="27">
        <f>_xll.qlCalendarAdvance(Calendar,R246,"1D","f")</f>
        <v>42719</v>
      </c>
      <c r="S247" s="3">
        <f>_xll.qlInterpolationInterpolate(B3Minterpolation,R247,TRUE)</f>
        <v>2.6255828429499321E-3</v>
      </c>
      <c r="X247" s="112"/>
      <c r="Y247" s="112"/>
    </row>
    <row r="248" spans="5:25" ht="11.25" customHeight="1" x14ac:dyDescent="0.2">
      <c r="E248" s="147"/>
      <c r="F248" s="147"/>
      <c r="G248" s="112"/>
      <c r="K248" s="112"/>
      <c r="L248" s="112"/>
      <c r="R248" s="27">
        <f>_xll.qlCalendarAdvance(Calendar,R247,"1D","f")</f>
        <v>42720</v>
      </c>
      <c r="S248" s="3">
        <f>_xll.qlInterpolationInterpolate(B3Minterpolation,R248,TRUE)</f>
        <v>2.6280684830498413E-3</v>
      </c>
      <c r="X248" s="112"/>
      <c r="Y248" s="112"/>
    </row>
    <row r="249" spans="5:25" ht="11.25" customHeight="1" x14ac:dyDescent="0.2">
      <c r="E249" s="147"/>
      <c r="F249" s="147"/>
      <c r="G249" s="112"/>
      <c r="K249" s="112"/>
      <c r="L249" s="112"/>
      <c r="R249" s="27">
        <f>_xll.qlCalendarAdvance(Calendar,R248,"1D","f")</f>
        <v>42723</v>
      </c>
      <c r="S249" s="3">
        <f>_xll.qlInterpolationInterpolate(B3Minterpolation,R249,TRUE)</f>
        <v>2.6353664779777785E-3</v>
      </c>
      <c r="X249" s="112"/>
      <c r="Y249" s="112"/>
    </row>
    <row r="250" spans="5:25" ht="11.25" customHeight="1" x14ac:dyDescent="0.2">
      <c r="E250" s="147"/>
      <c r="F250" s="147"/>
      <c r="G250" s="112"/>
      <c r="K250" s="112"/>
      <c r="L250" s="112"/>
      <c r="R250" s="27">
        <f>_xll.qlCalendarAdvance(Calendar,R249,"1D","f")</f>
        <v>42724</v>
      </c>
      <c r="S250" s="3">
        <f>_xll.qlInterpolationInterpolate(B3Minterpolation,R250,TRUE)</f>
        <v>2.6377425437355724E-3</v>
      </c>
      <c r="X250" s="112"/>
      <c r="Y250" s="112"/>
    </row>
    <row r="251" spans="5:25" ht="11.25" customHeight="1" x14ac:dyDescent="0.2">
      <c r="E251" s="147"/>
      <c r="F251" s="147"/>
      <c r="G251" s="112"/>
      <c r="K251" s="112"/>
      <c r="L251" s="112"/>
      <c r="R251" s="27">
        <f>_xll.qlCalendarAdvance(Calendar,R250,"1D","f")</f>
        <v>42725</v>
      </c>
      <c r="S251" s="3">
        <f>_xll.qlInterpolationInterpolate(B3Minterpolation,R251,TRUE)</f>
        <v>2.6400884978371453E-3</v>
      </c>
      <c r="X251" s="112"/>
      <c r="Y251" s="112"/>
    </row>
    <row r="252" spans="5:25" ht="11.25" customHeight="1" x14ac:dyDescent="0.2">
      <c r="E252" s="147"/>
      <c r="F252" s="147"/>
      <c r="G252" s="112"/>
      <c r="K252" s="112"/>
      <c r="L252" s="112"/>
      <c r="R252" s="27">
        <f>_xll.qlCalendarAdvance(Calendar,R251,"1D","f")</f>
        <v>42726</v>
      </c>
      <c r="S252" s="3">
        <f>_xll.qlInterpolationInterpolate(B3Minterpolation,R252,TRUE)</f>
        <v>2.6423922824100111E-3</v>
      </c>
      <c r="X252" s="112"/>
      <c r="Y252" s="112"/>
    </row>
    <row r="253" spans="5:25" ht="11.25" customHeight="1" x14ac:dyDescent="0.2">
      <c r="E253" s="147"/>
      <c r="F253" s="147"/>
      <c r="G253" s="112"/>
      <c r="K253" s="112"/>
      <c r="L253" s="112"/>
      <c r="R253" s="27">
        <f>_xll.qlCalendarAdvance(Calendar,R252,"1D","f")</f>
        <v>42727</v>
      </c>
      <c r="S253" s="3">
        <f>_xll.qlInterpolationInterpolate(B3Minterpolation,R253,TRUE)</f>
        <v>2.6446429765302586E-3</v>
      </c>
      <c r="X253" s="112"/>
      <c r="Y253" s="112"/>
    </row>
    <row r="254" spans="5:25" ht="11.25" customHeight="1" x14ac:dyDescent="0.2">
      <c r="E254" s="147"/>
      <c r="F254" s="147"/>
      <c r="G254" s="112"/>
      <c r="K254" s="112"/>
      <c r="L254" s="112"/>
      <c r="R254" s="27">
        <f>_xll.qlCalendarAdvance(Calendar,R253,"1D","f")</f>
        <v>42732</v>
      </c>
      <c r="S254" s="3">
        <f>_xll.qlInterpolationInterpolate(B3Minterpolation,R254,TRUE)</f>
        <v>2.655121727152748E-3</v>
      </c>
      <c r="X254" s="112"/>
      <c r="Y254" s="112"/>
    </row>
    <row r="255" spans="5:25" ht="11.25" customHeight="1" x14ac:dyDescent="0.2">
      <c r="E255" s="147"/>
      <c r="F255" s="147"/>
      <c r="G255" s="112"/>
      <c r="K255" s="112"/>
      <c r="L255" s="112"/>
      <c r="R255" s="27">
        <f>_xll.qlCalendarAdvance(Calendar,R254,"1D","f")</f>
        <v>42733</v>
      </c>
      <c r="S255" s="3">
        <f>_xll.qlInterpolationInterpolate(B3Minterpolation,R255,TRUE)</f>
        <v>2.657066860643602E-3</v>
      </c>
      <c r="X255" s="112"/>
      <c r="Y255" s="112"/>
    </row>
    <row r="256" spans="5:25" ht="11.25" customHeight="1" x14ac:dyDescent="0.2">
      <c r="E256" s="147"/>
      <c r="F256" s="147"/>
      <c r="G256" s="112"/>
      <c r="K256" s="112"/>
      <c r="L256" s="112"/>
      <c r="R256" s="27">
        <f>_xll.qlCalendarAdvance(Calendar,R255,"1D","f")</f>
        <v>42734</v>
      </c>
      <c r="S256" s="3">
        <f>_xll.qlInterpolationInterpolate(B3Minterpolation,R256,TRUE)</f>
        <v>2.658963231043943E-3</v>
      </c>
      <c r="X256" s="112"/>
      <c r="Y256" s="112"/>
    </row>
    <row r="257" spans="5:25" ht="11.25" customHeight="1" x14ac:dyDescent="0.2">
      <c r="E257" s="147"/>
      <c r="F257" s="147"/>
      <c r="G257" s="112"/>
      <c r="K257" s="112"/>
      <c r="L257" s="112"/>
      <c r="R257" s="27">
        <f>_xll.qlCalendarAdvance(Calendar,R256,"1D","f")</f>
        <v>42738</v>
      </c>
      <c r="S257" s="3">
        <f>_xll.qlInterpolationInterpolate(B3Minterpolation,R257,TRUE)</f>
        <v>2.6660734456319087E-3</v>
      </c>
      <c r="X257" s="112"/>
      <c r="Y257" s="112"/>
    </row>
    <row r="258" spans="5:25" ht="11.25" customHeight="1" x14ac:dyDescent="0.2">
      <c r="E258" s="147"/>
      <c r="F258" s="147"/>
      <c r="G258" s="112"/>
      <c r="K258" s="112"/>
      <c r="L258" s="112"/>
      <c r="R258" s="27">
        <f>_xll.qlCalendarAdvance(Calendar,R257,"1D","f")</f>
        <v>42739</v>
      </c>
      <c r="S258" s="3">
        <f>_xll.qlInterpolationInterpolate(B3Minterpolation,R258,TRUE)</f>
        <v>2.667735273498483E-3</v>
      </c>
      <c r="X258" s="112"/>
      <c r="Y258" s="112"/>
    </row>
    <row r="259" spans="5:25" ht="11.25" customHeight="1" x14ac:dyDescent="0.2">
      <c r="E259" s="147"/>
      <c r="F259" s="147"/>
      <c r="G259" s="112"/>
      <c r="K259" s="112"/>
      <c r="L259" s="112"/>
      <c r="R259" s="27">
        <f>_xll.qlCalendarAdvance(Calendar,R258,"1D","f")</f>
        <v>42740</v>
      </c>
      <c r="S259" s="3">
        <f>_xll.qlInterpolationInterpolate(B3Minterpolation,R259,TRUE)</f>
        <v>2.6693520474420636E-3</v>
      </c>
      <c r="X259" s="112"/>
      <c r="Y259" s="112"/>
    </row>
    <row r="260" spans="5:25" ht="11.25" customHeight="1" x14ac:dyDescent="0.2">
      <c r="E260" s="147"/>
      <c r="F260" s="147"/>
      <c r="G260" s="112"/>
      <c r="K260" s="112"/>
      <c r="L260" s="112"/>
      <c r="R260" s="27">
        <f>_xll.qlCalendarAdvance(Calendar,R259,"1D","f")</f>
        <v>42741</v>
      </c>
      <c r="S260" s="3">
        <f>_xll.qlInterpolationInterpolate(B3Minterpolation,R260,TRUE)</f>
        <v>2.6709243856572369E-3</v>
      </c>
      <c r="X260" s="112"/>
      <c r="Y260" s="112"/>
    </row>
    <row r="261" spans="5:25" ht="11.25" customHeight="1" x14ac:dyDescent="0.2">
      <c r="E261" s="147"/>
      <c r="F261" s="147"/>
      <c r="G261" s="112"/>
      <c r="K261" s="112"/>
      <c r="L261" s="112"/>
      <c r="R261" s="27">
        <f>_xll.qlCalendarAdvance(Calendar,R260,"1D","f")</f>
        <v>42744</v>
      </c>
      <c r="S261" s="3">
        <f>_xll.qlInterpolationInterpolate(B3Minterpolation,R261,TRUE)</f>
        <v>2.6753809678781771E-3</v>
      </c>
      <c r="X261" s="112"/>
      <c r="Y261" s="112"/>
    </row>
    <row r="262" spans="5:25" ht="11.25" customHeight="1" x14ac:dyDescent="0.2">
      <c r="E262" s="147"/>
      <c r="F262" s="147"/>
      <c r="G262" s="112"/>
      <c r="K262" s="112"/>
      <c r="L262" s="112"/>
      <c r="R262" s="27">
        <f>_xll.qlCalendarAdvance(Calendar,R261,"1D","f")</f>
        <v>42745</v>
      </c>
      <c r="S262" s="3">
        <f>_xll.qlInterpolationInterpolate(B3Minterpolation,R262,TRUE)</f>
        <v>2.6767817451255858E-3</v>
      </c>
      <c r="X262" s="112"/>
      <c r="Y262" s="112"/>
    </row>
    <row r="263" spans="5:25" ht="11.25" customHeight="1" x14ac:dyDescent="0.2">
      <c r="E263" s="147"/>
      <c r="F263" s="147"/>
      <c r="G263" s="112"/>
      <c r="K263" s="112"/>
      <c r="L263" s="112"/>
      <c r="R263" s="27">
        <f>_xll.qlCalendarAdvance(Calendar,R262,"1D","f")</f>
        <v>42746</v>
      </c>
      <c r="S263" s="3">
        <f>_xll.qlInterpolationInterpolate(B3Minterpolation,R263,TRUE)</f>
        <v>2.6781411776175194E-3</v>
      </c>
      <c r="X263" s="112"/>
      <c r="Y263" s="112"/>
    </row>
    <row r="264" spans="5:25" ht="11.25" customHeight="1" x14ac:dyDescent="0.2">
      <c r="E264" s="147"/>
      <c r="F264" s="147"/>
      <c r="G264" s="112"/>
      <c r="K264" s="112"/>
      <c r="L264" s="112"/>
      <c r="R264" s="27">
        <f>_xll.qlCalendarAdvance(Calendar,R263,"1D","f")</f>
        <v>42747</v>
      </c>
      <c r="S264" s="3">
        <f>_xll.qlInterpolationInterpolate(B3Minterpolation,R264,TRUE)</f>
        <v>2.679459883548565E-3</v>
      </c>
      <c r="X264" s="112"/>
      <c r="Y264" s="112"/>
    </row>
    <row r="265" spans="5:25" ht="11.25" customHeight="1" x14ac:dyDescent="0.2">
      <c r="E265" s="147"/>
      <c r="F265" s="147"/>
      <c r="G265" s="112"/>
      <c r="K265" s="112"/>
      <c r="L265" s="112"/>
      <c r="R265" s="27">
        <f>_xll.qlCalendarAdvance(Calendar,R264,"1D","f")</f>
        <v>42748</v>
      </c>
      <c r="S265" s="3">
        <f>_xll.qlInterpolationInterpolate(B3Minterpolation,R265,TRUE)</f>
        <v>2.6807384811133087E-3</v>
      </c>
      <c r="X265" s="112"/>
      <c r="Y265" s="112"/>
    </row>
    <row r="266" spans="5:25" ht="11.25" customHeight="1" x14ac:dyDescent="0.2">
      <c r="E266" s="147"/>
      <c r="F266" s="147"/>
      <c r="G266" s="112"/>
      <c r="K266" s="112"/>
      <c r="L266" s="112"/>
      <c r="R266" s="27">
        <f>_xll.qlCalendarAdvance(Calendar,R265,"1D","f")</f>
        <v>42751</v>
      </c>
      <c r="S266" s="3">
        <f>_xll.qlInterpolationInterpolate(B3Minterpolation,R266,TRUE)</f>
        <v>2.6843398055555936E-3</v>
      </c>
      <c r="X266" s="112"/>
      <c r="Y266" s="112"/>
    </row>
    <row r="267" spans="5:25" ht="11.25" customHeight="1" x14ac:dyDescent="0.2">
      <c r="E267" s="147"/>
      <c r="F267" s="147"/>
      <c r="G267" s="112"/>
      <c r="K267" s="112"/>
      <c r="L267" s="112"/>
      <c r="R267" s="27">
        <f>_xll.qlCalendarAdvance(Calendar,R266,"1D","f")</f>
        <v>42752</v>
      </c>
      <c r="S267" s="3">
        <f>_xll.qlInterpolationInterpolate(B3Minterpolation,R267,TRUE)</f>
        <v>2.685464151600995E-3</v>
      </c>
      <c r="X267" s="112"/>
      <c r="Y267" s="112"/>
    </row>
    <row r="268" spans="5:25" ht="11.25" customHeight="1" x14ac:dyDescent="0.2">
      <c r="E268" s="147"/>
      <c r="F268" s="147"/>
      <c r="G268" s="112"/>
      <c r="K268" s="112"/>
      <c r="L268" s="112"/>
      <c r="R268" s="27">
        <f>_xll.qlCalendarAdvance(Calendar,R267,"1D","f")</f>
        <v>42753</v>
      </c>
      <c r="S268" s="3">
        <f>_xll.qlInterpolationInterpolate(B3Minterpolation,R268,TRUE)</f>
        <v>2.6865514802530267E-3</v>
      </c>
      <c r="X268" s="112"/>
      <c r="Y268" s="112"/>
    </row>
    <row r="269" spans="5:25" ht="11.25" customHeight="1" x14ac:dyDescent="0.2">
      <c r="E269" s="147"/>
      <c r="F269" s="147"/>
      <c r="G269" s="112"/>
      <c r="K269" s="112"/>
      <c r="L269" s="112"/>
      <c r="R269" s="27">
        <f>_xll.qlCalendarAdvance(Calendar,R268,"1D","f")</f>
        <v>42754</v>
      </c>
      <c r="S269" s="3">
        <f>_xll.qlInterpolationInterpolate(B3Minterpolation,R269,TRUE)</f>
        <v>2.6876024097062757E-3</v>
      </c>
      <c r="X269" s="112"/>
      <c r="Y269" s="112"/>
    </row>
    <row r="270" spans="5:25" ht="11.25" customHeight="1" x14ac:dyDescent="0.2">
      <c r="E270" s="147"/>
      <c r="F270" s="147"/>
      <c r="G270" s="112"/>
      <c r="K270" s="112"/>
      <c r="L270" s="112"/>
      <c r="R270" s="27">
        <f>_xll.qlCalendarAdvance(Calendar,R269,"1D","f")</f>
        <v>42755</v>
      </c>
      <c r="S270" s="3">
        <f>_xll.qlInterpolationInterpolate(B3Minterpolation,R270,TRUE)</f>
        <v>2.6886175581553283E-3</v>
      </c>
      <c r="X270" s="112"/>
      <c r="Y270" s="112"/>
    </row>
    <row r="271" spans="5:25" ht="11.25" customHeight="1" x14ac:dyDescent="0.2">
      <c r="E271" s="147"/>
      <c r="F271" s="147"/>
      <c r="G271" s="112"/>
      <c r="K271" s="112"/>
      <c r="L271" s="112"/>
      <c r="R271" s="27">
        <f>_xll.qlCalendarAdvance(Calendar,R270,"1D","f")</f>
        <v>42758</v>
      </c>
      <c r="S271" s="3">
        <f>_xll.qlInterpolationInterpolate(B3Minterpolation,R271,TRUE)</f>
        <v>2.6914544994231732E-3</v>
      </c>
      <c r="X271" s="112"/>
      <c r="Y271" s="112"/>
    </row>
    <row r="272" spans="5:25" ht="11.25" customHeight="1" x14ac:dyDescent="0.2">
      <c r="E272" s="147"/>
      <c r="F272" s="147"/>
      <c r="G272" s="112"/>
      <c r="K272" s="112"/>
      <c r="L272" s="112"/>
      <c r="R272" s="27">
        <f>_xll.qlCalendarAdvance(Calendar,R271,"1D","f")</f>
        <v>42759</v>
      </c>
      <c r="S272" s="3">
        <f>_xll.qlInterpolationInterpolate(B3Minterpolation,R272,TRUE)</f>
        <v>2.6923327058013054E-3</v>
      </c>
      <c r="X272" s="112"/>
      <c r="Y272" s="112"/>
    </row>
    <row r="273" spans="5:25" ht="11.25" customHeight="1" x14ac:dyDescent="0.2">
      <c r="E273" s="147"/>
      <c r="F273" s="147"/>
      <c r="G273" s="112"/>
      <c r="K273" s="112"/>
      <c r="L273" s="112"/>
      <c r="R273" s="27">
        <f>_xll.qlCalendarAdvance(Calendar,R272,"1D","f")</f>
        <v>42760</v>
      </c>
      <c r="S273" s="3">
        <f>_xll.qlInterpolationInterpolate(B3Minterpolation,R273,TRUE)</f>
        <v>2.6931782221481736E-3</v>
      </c>
      <c r="X273" s="112"/>
      <c r="Y273" s="112"/>
    </row>
    <row r="274" spans="5:25" ht="11.25" customHeight="1" x14ac:dyDescent="0.2">
      <c r="E274" s="147"/>
      <c r="F274" s="147"/>
      <c r="G274" s="112"/>
      <c r="K274" s="112"/>
      <c r="L274" s="112"/>
      <c r="R274" s="27">
        <f>_xll.qlCalendarAdvance(Calendar,R273,"1D","f")</f>
        <v>42761</v>
      </c>
      <c r="S274" s="3">
        <f>_xll.qlInterpolationInterpolate(B3Minterpolation,R274,TRUE)</f>
        <v>2.6939916666583645E-3</v>
      </c>
      <c r="X274" s="112"/>
      <c r="Y274" s="112"/>
    </row>
    <row r="275" spans="5:25" ht="11.25" customHeight="1" x14ac:dyDescent="0.2">
      <c r="E275" s="147"/>
      <c r="F275" s="147"/>
      <c r="G275" s="112"/>
      <c r="K275" s="112"/>
      <c r="L275" s="112"/>
      <c r="R275" s="27">
        <f>_xll.qlCalendarAdvance(Calendar,R274,"1D","f")</f>
        <v>42762</v>
      </c>
      <c r="S275" s="3">
        <f>_xll.qlInterpolationInterpolate(B3Minterpolation,R275,TRUE)</f>
        <v>2.6947736575264648E-3</v>
      </c>
      <c r="X275" s="112"/>
      <c r="Y275" s="112"/>
    </row>
    <row r="276" spans="5:25" ht="11.25" customHeight="1" x14ac:dyDescent="0.2">
      <c r="E276" s="147"/>
      <c r="F276" s="147"/>
      <c r="G276" s="112"/>
      <c r="K276" s="112"/>
      <c r="L276" s="112"/>
      <c r="R276" s="27">
        <f>_xll.qlCalendarAdvance(Calendar,R275,"1D","f")</f>
        <v>42765</v>
      </c>
      <c r="S276" s="3">
        <f>_xll.qlInterpolationInterpolate(B3Minterpolation,R276,TRUE)</f>
        <v>2.6969370902240851E-3</v>
      </c>
      <c r="X276" s="112"/>
      <c r="Y276" s="112"/>
    </row>
    <row r="277" spans="5:25" ht="11.25" customHeight="1" x14ac:dyDescent="0.2">
      <c r="E277" s="147"/>
      <c r="F277" s="147"/>
      <c r="G277" s="112"/>
      <c r="K277" s="112"/>
      <c r="L277" s="112"/>
      <c r="R277" s="27">
        <f>_xll.qlCalendarAdvance(Calendar,R276,"1D","f")</f>
        <v>42766</v>
      </c>
      <c r="S277" s="3">
        <f>_xll.qlInterpolationInterpolate(B3Minterpolation,R277,TRUE)</f>
        <v>2.6975994484696865E-3</v>
      </c>
      <c r="X277" s="112"/>
      <c r="Y277" s="112"/>
    </row>
    <row r="278" spans="5:25" ht="11.25" customHeight="1" x14ac:dyDescent="0.2">
      <c r="E278" s="147"/>
      <c r="F278" s="147"/>
      <c r="G278" s="112"/>
      <c r="K278" s="112"/>
      <c r="L278" s="112"/>
      <c r="R278" s="27">
        <f>_xll.qlCalendarAdvance(Calendar,R277,"1D","f")</f>
        <v>42767</v>
      </c>
      <c r="S278" s="3">
        <f>_xll.qlInterpolationInterpolate(B3Minterpolation,R278,TRUE)</f>
        <v>2.6982334440461301E-3</v>
      </c>
      <c r="X278" s="112"/>
      <c r="Y278" s="112"/>
    </row>
    <row r="279" spans="5:25" ht="11.25" customHeight="1" x14ac:dyDescent="0.2">
      <c r="E279" s="147"/>
      <c r="F279" s="147"/>
      <c r="G279" s="112"/>
      <c r="K279" s="112"/>
      <c r="L279" s="112"/>
      <c r="R279" s="27">
        <f>_xll.qlCalendarAdvance(Calendar,R278,"1D","f")</f>
        <v>42768</v>
      </c>
      <c r="S279" s="3">
        <f>_xll.qlInterpolationInterpolate(B3Minterpolation,R279,TRUE)</f>
        <v>2.6988396951480014E-3</v>
      </c>
      <c r="X279" s="112"/>
      <c r="Y279" s="112"/>
    </row>
    <row r="280" spans="5:25" ht="11.25" customHeight="1" x14ac:dyDescent="0.2">
      <c r="E280" s="147"/>
      <c r="F280" s="147"/>
      <c r="G280" s="112"/>
      <c r="K280" s="112"/>
      <c r="L280" s="112"/>
      <c r="R280" s="27">
        <f>_xll.qlCalendarAdvance(Calendar,R279,"1D","f")</f>
        <v>42769</v>
      </c>
      <c r="S280" s="3">
        <f>_xll.qlInterpolationInterpolate(B3Minterpolation,R280,TRUE)</f>
        <v>2.6994188199698874E-3</v>
      </c>
      <c r="X280" s="112"/>
      <c r="Y280" s="112"/>
    </row>
    <row r="281" spans="5:25" ht="11.25" customHeight="1" x14ac:dyDescent="0.2">
      <c r="E281" s="147"/>
      <c r="F281" s="147"/>
      <c r="G281" s="112"/>
      <c r="K281" s="112"/>
      <c r="L281" s="112"/>
      <c r="R281" s="27">
        <f>_xll.qlCalendarAdvance(Calendar,R280,"1D","f")</f>
        <v>42772</v>
      </c>
      <c r="S281" s="3">
        <f>_xll.qlInterpolationInterpolate(B3Minterpolation,R281,TRUE)</f>
        <v>2.7009996187014984E-3</v>
      </c>
      <c r="X281" s="112"/>
      <c r="Y281" s="112"/>
    </row>
    <row r="282" spans="5:25" ht="11.25" customHeight="1" x14ac:dyDescent="0.2">
      <c r="E282" s="147"/>
      <c r="F282" s="147"/>
      <c r="G282" s="112"/>
      <c r="K282" s="112"/>
      <c r="L282" s="112"/>
      <c r="R282" s="27">
        <f>_xll.qlCalendarAdvance(Calendar,R281,"1D","f")</f>
        <v>42773</v>
      </c>
      <c r="S282" s="3">
        <f>_xll.qlInterpolationInterpolate(B3Minterpolation,R282,TRUE)</f>
        <v>2.7014764203493078E-3</v>
      </c>
      <c r="X282" s="112"/>
      <c r="Y282" s="112"/>
    </row>
    <row r="283" spans="5:25" ht="11.25" customHeight="1" x14ac:dyDescent="0.2">
      <c r="E283" s="147"/>
      <c r="F283" s="147"/>
      <c r="G283" s="112"/>
      <c r="K283" s="112"/>
      <c r="L283" s="112"/>
      <c r="R283" s="27">
        <f>_xll.qlCalendarAdvance(Calendar,R282,"1D","f")</f>
        <v>42774</v>
      </c>
      <c r="S283" s="3">
        <f>_xll.qlInterpolationInterpolate(B3Minterpolation,R283,TRUE)</f>
        <v>2.7019291866900645E-3</v>
      </c>
      <c r="X283" s="112"/>
      <c r="Y283" s="112"/>
    </row>
    <row r="284" spans="5:25" ht="11.25" customHeight="1" x14ac:dyDescent="0.2">
      <c r="E284" s="147"/>
      <c r="F284" s="147"/>
      <c r="G284" s="112"/>
      <c r="K284" s="112"/>
      <c r="L284" s="112"/>
      <c r="R284" s="27">
        <f>_xll.qlCalendarAdvance(Calendar,R283,"1D","f")</f>
        <v>42775</v>
      </c>
      <c r="S284" s="3">
        <f>_xll.qlInterpolationInterpolate(B3Minterpolation,R284,TRUE)</f>
        <v>2.7023585359183546E-3</v>
      </c>
      <c r="X284" s="112"/>
      <c r="Y284" s="112"/>
    </row>
    <row r="285" spans="5:25" ht="11.25" customHeight="1" x14ac:dyDescent="0.2">
      <c r="E285" s="147"/>
      <c r="F285" s="147"/>
      <c r="G285" s="112"/>
      <c r="K285" s="112"/>
      <c r="L285" s="112"/>
      <c r="R285" s="27">
        <f>_xll.qlCalendarAdvance(Calendar,R284,"1D","f")</f>
        <v>42776</v>
      </c>
      <c r="S285" s="3">
        <f>_xll.qlInterpolationInterpolate(B3Minterpolation,R285,TRUE)</f>
        <v>2.7027650862287652E-3</v>
      </c>
      <c r="X285" s="112"/>
      <c r="Y285" s="112"/>
    </row>
    <row r="286" spans="5:25" ht="11.25" customHeight="1" x14ac:dyDescent="0.2">
      <c r="E286" s="147"/>
      <c r="F286" s="147"/>
      <c r="G286" s="112"/>
      <c r="K286" s="112"/>
      <c r="L286" s="112"/>
      <c r="R286" s="27">
        <f>_xll.qlCalendarAdvance(Calendar,R285,"1D","f")</f>
        <v>42779</v>
      </c>
      <c r="S286" s="3">
        <f>_xll.qlInterpolationInterpolate(B3Minterpolation,R286,TRUE)</f>
        <v>2.7038541255985822E-3</v>
      </c>
      <c r="X286" s="112"/>
      <c r="Y286" s="112"/>
    </row>
    <row r="287" spans="5:25" ht="11.25" customHeight="1" x14ac:dyDescent="0.2">
      <c r="E287" s="147"/>
      <c r="F287" s="147"/>
      <c r="G287" s="112"/>
      <c r="K287" s="112"/>
      <c r="L287" s="112"/>
      <c r="R287" s="27">
        <f>_xll.qlCalendarAdvance(Calendar,R286,"1D","f")</f>
        <v>42780</v>
      </c>
      <c r="S287" s="3">
        <f>_xll.qlInterpolationInterpolate(B3Minterpolation,R287,TRUE)</f>
        <v>2.7041756621833382E-3</v>
      </c>
      <c r="X287" s="112"/>
      <c r="Y287" s="112"/>
    </row>
    <row r="288" spans="5:25" ht="11.25" customHeight="1" x14ac:dyDescent="0.2">
      <c r="E288" s="147"/>
      <c r="F288" s="147"/>
      <c r="G288" s="112"/>
      <c r="K288" s="112"/>
      <c r="L288" s="112"/>
      <c r="R288" s="27">
        <f>_xll.qlCalendarAdvance(Calendar,R287,"1D","f")</f>
        <v>42781</v>
      </c>
      <c r="S288" s="3">
        <f>_xll.qlInterpolationInterpolate(B3Minterpolation,R288,TRUE)</f>
        <v>2.7044774908231467E-3</v>
      </c>
      <c r="X288" s="112"/>
      <c r="Y288" s="112"/>
    </row>
    <row r="289" spans="5:25" ht="11.25" customHeight="1" x14ac:dyDescent="0.2">
      <c r="E289" s="147"/>
      <c r="F289" s="147"/>
      <c r="G289" s="112"/>
      <c r="K289" s="112"/>
      <c r="L289" s="112"/>
      <c r="R289" s="71">
        <f>_xll.qlCalendarAdvance(Calendar,R288,"1D","f")</f>
        <v>42782</v>
      </c>
      <c r="S289" s="60">
        <f>_xll.qlInterpolationInterpolate(B3Minterpolation,R289,TRUE)</f>
        <v>2.7047602297125941E-3</v>
      </c>
      <c r="X289" s="112"/>
      <c r="Y289" s="112"/>
    </row>
    <row r="290" spans="5:25" ht="11.25" customHeight="1" x14ac:dyDescent="0.2">
      <c r="E290" s="147"/>
      <c r="F290" s="147"/>
      <c r="G290" s="112"/>
      <c r="K290" s="112"/>
      <c r="L290" s="112"/>
      <c r="R290" s="149"/>
      <c r="S290" s="149"/>
      <c r="X290" s="112"/>
      <c r="Y290" s="112"/>
    </row>
    <row r="291" spans="5:25" ht="11.25" customHeight="1" x14ac:dyDescent="0.2">
      <c r="E291" s="147"/>
      <c r="F291" s="147"/>
      <c r="G291" s="112"/>
      <c r="K291" s="112"/>
      <c r="L291" s="112"/>
      <c r="R291" s="149"/>
      <c r="S291" s="149"/>
      <c r="X291" s="112"/>
      <c r="Y291" s="112"/>
    </row>
    <row r="292" spans="5:25" ht="11.25" customHeight="1" x14ac:dyDescent="0.2">
      <c r="E292" s="147"/>
      <c r="F292" s="147"/>
      <c r="G292" s="112"/>
      <c r="K292" s="112"/>
      <c r="L292" s="112"/>
      <c r="R292" s="149"/>
      <c r="S292" s="149"/>
      <c r="X292" s="112"/>
      <c r="Y292" s="112"/>
    </row>
    <row r="293" spans="5:25" ht="11.25" customHeight="1" x14ac:dyDescent="0.2">
      <c r="E293" s="147"/>
      <c r="F293" s="147"/>
      <c r="G293" s="112"/>
      <c r="K293" s="112"/>
      <c r="L293" s="112"/>
      <c r="R293" s="149"/>
      <c r="S293" s="149"/>
      <c r="X293" s="112"/>
      <c r="Y293" s="112"/>
    </row>
    <row r="294" spans="5:25" ht="11.25" customHeight="1" x14ac:dyDescent="0.2">
      <c r="E294" s="147"/>
      <c r="F294" s="147"/>
      <c r="G294" s="112"/>
      <c r="K294" s="112"/>
      <c r="L294" s="112"/>
      <c r="R294" s="149"/>
      <c r="S294" s="149"/>
      <c r="X294" s="112"/>
      <c r="Y294" s="112"/>
    </row>
    <row r="295" spans="5:25" ht="11.25" customHeight="1" x14ac:dyDescent="0.2">
      <c r="E295" s="147"/>
      <c r="F295" s="147"/>
      <c r="G295" s="112"/>
      <c r="K295" s="112"/>
      <c r="L295" s="112"/>
      <c r="R295" s="149"/>
      <c r="S295" s="149"/>
      <c r="X295" s="112"/>
      <c r="Y295" s="112"/>
    </row>
    <row r="296" spans="5:25" ht="11.25" customHeight="1" x14ac:dyDescent="0.2">
      <c r="E296" s="147"/>
      <c r="F296" s="147"/>
      <c r="G296" s="112"/>
      <c r="K296" s="112"/>
      <c r="L296" s="112"/>
      <c r="R296" s="149"/>
      <c r="S296" s="149"/>
      <c r="X296" s="112"/>
      <c r="Y296" s="112"/>
    </row>
    <row r="297" spans="5:25" ht="11.25" customHeight="1" x14ac:dyDescent="0.2">
      <c r="E297" s="147"/>
      <c r="F297" s="147"/>
      <c r="G297" s="112"/>
      <c r="K297" s="112"/>
      <c r="L297" s="112"/>
      <c r="R297" s="149"/>
      <c r="S297" s="149"/>
      <c r="X297" s="112"/>
      <c r="Y297" s="112"/>
    </row>
    <row r="298" spans="5:25" ht="11.25" customHeight="1" x14ac:dyDescent="0.2">
      <c r="E298" s="147"/>
      <c r="F298" s="147"/>
      <c r="G298" s="112"/>
      <c r="K298" s="112"/>
      <c r="L298" s="112"/>
      <c r="R298" s="149"/>
      <c r="S298" s="149"/>
      <c r="X298" s="112"/>
      <c r="Y298" s="112"/>
    </row>
    <row r="299" spans="5:25" ht="11.25" customHeight="1" x14ac:dyDescent="0.2">
      <c r="E299" s="147"/>
      <c r="F299" s="147"/>
      <c r="G299" s="112"/>
      <c r="K299" s="112"/>
      <c r="L299" s="112"/>
      <c r="R299" s="149"/>
      <c r="S299" s="149"/>
      <c r="X299" s="112"/>
      <c r="Y299" s="112"/>
    </row>
    <row r="300" spans="5:25" ht="11.25" customHeight="1" x14ac:dyDescent="0.2">
      <c r="E300" s="147"/>
      <c r="F300" s="147"/>
      <c r="G300" s="112"/>
      <c r="K300" s="112"/>
      <c r="L300" s="112"/>
      <c r="R300" s="149"/>
      <c r="S300" s="149"/>
      <c r="X300" s="112"/>
      <c r="Y300" s="112"/>
    </row>
    <row r="301" spans="5:25" ht="11.25" customHeight="1" x14ac:dyDescent="0.2">
      <c r="E301" s="147"/>
      <c r="F301" s="147"/>
      <c r="G301" s="112"/>
      <c r="K301" s="112"/>
      <c r="L301" s="112"/>
      <c r="R301" s="149"/>
      <c r="S301" s="149"/>
      <c r="X301" s="112"/>
      <c r="Y301" s="112"/>
    </row>
    <row r="302" spans="5:25" ht="11.25" customHeight="1" x14ac:dyDescent="0.2">
      <c r="E302" s="147"/>
      <c r="F302" s="147"/>
      <c r="G302" s="112"/>
      <c r="K302" s="112"/>
      <c r="L302" s="112"/>
      <c r="R302" s="149"/>
      <c r="S302" s="149"/>
      <c r="X302" s="112"/>
      <c r="Y302" s="112"/>
    </row>
    <row r="303" spans="5:25" ht="11.25" customHeight="1" x14ac:dyDescent="0.2">
      <c r="E303" s="147"/>
      <c r="F303" s="147"/>
      <c r="G303" s="112"/>
      <c r="K303" s="112"/>
      <c r="L303" s="112"/>
      <c r="R303" s="149"/>
      <c r="S303" s="149"/>
      <c r="X303" s="112"/>
      <c r="Y303" s="112"/>
    </row>
    <row r="304" spans="5:25" ht="11.25" customHeight="1" x14ac:dyDescent="0.2">
      <c r="E304" s="147"/>
      <c r="F304" s="147"/>
      <c r="G304" s="112"/>
      <c r="K304" s="112"/>
      <c r="L304" s="112"/>
      <c r="R304" s="149"/>
      <c r="S304" s="149"/>
      <c r="X304" s="112"/>
      <c r="Y304" s="112"/>
    </row>
    <row r="305" spans="5:25" ht="11.25" customHeight="1" x14ac:dyDescent="0.2">
      <c r="E305" s="147"/>
      <c r="F305" s="147"/>
      <c r="G305" s="112"/>
      <c r="K305" s="112"/>
      <c r="L305" s="112"/>
      <c r="R305" s="149"/>
      <c r="S305" s="149"/>
      <c r="X305" s="112"/>
      <c r="Y305" s="112"/>
    </row>
    <row r="306" spans="5:25" ht="11.25" customHeight="1" x14ac:dyDescent="0.2">
      <c r="E306" s="147"/>
      <c r="F306" s="147"/>
      <c r="G306" s="112"/>
      <c r="K306" s="112"/>
      <c r="L306" s="112"/>
      <c r="R306" s="149"/>
      <c r="S306" s="149"/>
      <c r="X306" s="112"/>
      <c r="Y306" s="112"/>
    </row>
    <row r="307" spans="5:25" ht="11.25" customHeight="1" x14ac:dyDescent="0.2">
      <c r="E307" s="147"/>
      <c r="F307" s="147"/>
      <c r="G307" s="112"/>
      <c r="K307" s="112"/>
      <c r="L307" s="112"/>
      <c r="R307" s="149"/>
      <c r="S307" s="149"/>
      <c r="X307" s="112"/>
      <c r="Y307" s="112"/>
    </row>
    <row r="308" spans="5:25" ht="11.25" customHeight="1" x14ac:dyDescent="0.2">
      <c r="E308" s="147"/>
      <c r="F308" s="147"/>
      <c r="G308" s="112"/>
      <c r="K308" s="112"/>
      <c r="L308" s="112"/>
      <c r="R308" s="149"/>
      <c r="S308" s="149"/>
      <c r="X308" s="112"/>
      <c r="Y308" s="112"/>
    </row>
    <row r="309" spans="5:25" ht="11.25" customHeight="1" x14ac:dyDescent="0.2">
      <c r="E309" s="147"/>
      <c r="F309" s="147"/>
      <c r="G309" s="112"/>
      <c r="K309" s="112"/>
      <c r="L309" s="112"/>
      <c r="R309" s="149"/>
      <c r="S309" s="149"/>
      <c r="X309" s="112"/>
      <c r="Y309" s="112"/>
    </row>
    <row r="310" spans="5:25" ht="11.25" customHeight="1" x14ac:dyDescent="0.2">
      <c r="E310" s="147"/>
      <c r="F310" s="147"/>
      <c r="G310" s="112"/>
      <c r="K310" s="112"/>
      <c r="L310" s="112"/>
      <c r="R310" s="149"/>
      <c r="S310" s="149"/>
      <c r="X310" s="112"/>
      <c r="Y310" s="112"/>
    </row>
    <row r="311" spans="5:25" ht="11.25" customHeight="1" x14ac:dyDescent="0.2">
      <c r="E311" s="147"/>
      <c r="F311" s="147"/>
      <c r="G311" s="112"/>
      <c r="K311" s="112"/>
      <c r="L311" s="112"/>
      <c r="R311" s="149"/>
      <c r="S311" s="149"/>
      <c r="X311" s="112"/>
      <c r="Y311" s="112"/>
    </row>
    <row r="312" spans="5:25" ht="11.25" customHeight="1" x14ac:dyDescent="0.2">
      <c r="E312" s="147"/>
      <c r="F312" s="147"/>
      <c r="G312" s="112"/>
      <c r="K312" s="112"/>
      <c r="L312" s="112"/>
      <c r="R312" s="149"/>
      <c r="S312" s="149"/>
      <c r="X312" s="112"/>
      <c r="Y312" s="112"/>
    </row>
    <row r="313" spans="5:25" ht="11.25" customHeight="1" x14ac:dyDescent="0.2">
      <c r="E313" s="147"/>
      <c r="F313" s="147"/>
      <c r="G313" s="112"/>
      <c r="K313" s="112"/>
      <c r="L313" s="112"/>
      <c r="R313" s="149"/>
      <c r="S313" s="149"/>
      <c r="X313" s="112"/>
      <c r="Y313" s="112"/>
    </row>
    <row r="314" spans="5:25" ht="11.25" customHeight="1" x14ac:dyDescent="0.2">
      <c r="E314" s="147"/>
      <c r="F314" s="147"/>
      <c r="G314" s="112"/>
      <c r="K314" s="112"/>
      <c r="L314" s="112"/>
      <c r="R314" s="149"/>
      <c r="S314" s="149"/>
      <c r="X314" s="112"/>
      <c r="Y314" s="112"/>
    </row>
    <row r="315" spans="5:25" ht="11.25" customHeight="1" x14ac:dyDescent="0.2">
      <c r="E315" s="147"/>
      <c r="F315" s="147"/>
      <c r="G315" s="112"/>
      <c r="K315" s="112"/>
      <c r="L315" s="112"/>
      <c r="R315" s="149"/>
      <c r="S315" s="149"/>
      <c r="X315" s="112"/>
      <c r="Y315" s="112"/>
    </row>
    <row r="316" spans="5:25" ht="11.25" customHeight="1" x14ac:dyDescent="0.2">
      <c r="E316" s="147"/>
      <c r="F316" s="147"/>
      <c r="G316" s="112"/>
      <c r="K316" s="112"/>
      <c r="L316" s="112"/>
      <c r="R316" s="149"/>
      <c r="S316" s="149"/>
      <c r="X316" s="112"/>
      <c r="Y316" s="112"/>
    </row>
    <row r="317" spans="5:25" ht="11.25" customHeight="1" x14ac:dyDescent="0.2">
      <c r="E317" s="147"/>
      <c r="F317" s="147"/>
      <c r="G317" s="112"/>
      <c r="K317" s="112"/>
      <c r="L317" s="112"/>
      <c r="R317" s="149"/>
      <c r="S317" s="149"/>
      <c r="X317" s="112"/>
      <c r="Y317" s="112"/>
    </row>
    <row r="318" spans="5:25" ht="11.25" customHeight="1" x14ac:dyDescent="0.2">
      <c r="E318" s="147"/>
      <c r="F318" s="147"/>
      <c r="G318" s="112"/>
      <c r="K318" s="112"/>
      <c r="L318" s="112"/>
      <c r="R318" s="149"/>
      <c r="S318" s="149"/>
      <c r="X318" s="112"/>
      <c r="Y318" s="112"/>
    </row>
    <row r="319" spans="5:25" ht="11.25" customHeight="1" x14ac:dyDescent="0.2">
      <c r="E319" s="147"/>
      <c r="F319" s="147"/>
      <c r="G319" s="112"/>
      <c r="K319" s="112"/>
      <c r="L319" s="112"/>
      <c r="R319" s="149"/>
      <c r="S319" s="149"/>
      <c r="X319" s="112"/>
      <c r="Y319" s="112"/>
    </row>
    <row r="320" spans="5:25" ht="11.25" customHeight="1" x14ac:dyDescent="0.2">
      <c r="E320" s="147"/>
      <c r="F320" s="147"/>
      <c r="G320" s="112"/>
      <c r="K320" s="112"/>
      <c r="L320" s="112"/>
      <c r="R320" s="149"/>
      <c r="S320" s="149"/>
      <c r="X320" s="112"/>
      <c r="Y320" s="112"/>
    </row>
    <row r="321" spans="5:25" ht="11.25" customHeight="1" x14ac:dyDescent="0.2">
      <c r="E321" s="147"/>
      <c r="F321" s="147"/>
      <c r="G321" s="112"/>
      <c r="K321" s="112"/>
      <c r="L321" s="112"/>
      <c r="R321" s="149"/>
      <c r="S321" s="149"/>
      <c r="X321" s="112"/>
      <c r="Y321" s="112"/>
    </row>
    <row r="322" spans="5:25" ht="11.25" customHeight="1" x14ac:dyDescent="0.2">
      <c r="E322" s="147"/>
      <c r="F322" s="147"/>
      <c r="G322" s="112"/>
      <c r="K322" s="112"/>
      <c r="L322" s="112"/>
      <c r="R322" s="149"/>
      <c r="S322" s="149"/>
      <c r="X322" s="112"/>
      <c r="Y322" s="112"/>
    </row>
    <row r="323" spans="5:25" ht="11.25" customHeight="1" x14ac:dyDescent="0.2">
      <c r="E323" s="147"/>
      <c r="F323" s="147"/>
      <c r="G323" s="112"/>
      <c r="K323" s="112"/>
      <c r="L323" s="112"/>
      <c r="R323" s="149"/>
      <c r="S323" s="149"/>
      <c r="X323" s="112"/>
      <c r="Y323" s="112"/>
    </row>
    <row r="324" spans="5:25" ht="11.25" customHeight="1" x14ac:dyDescent="0.2">
      <c r="E324" s="147"/>
      <c r="F324" s="147"/>
      <c r="G324" s="112"/>
      <c r="K324" s="112"/>
      <c r="L324" s="112"/>
      <c r="R324" s="149"/>
      <c r="S324" s="149"/>
      <c r="X324" s="112"/>
      <c r="Y324" s="112"/>
    </row>
    <row r="325" spans="5:25" ht="11.25" customHeight="1" x14ac:dyDescent="0.2">
      <c r="E325" s="147"/>
      <c r="F325" s="147"/>
      <c r="G325" s="112"/>
      <c r="K325" s="112"/>
      <c r="L325" s="112"/>
      <c r="R325" s="149"/>
      <c r="S325" s="149"/>
      <c r="X325" s="112"/>
      <c r="Y325" s="112"/>
    </row>
    <row r="326" spans="5:25" ht="11.25" customHeight="1" x14ac:dyDescent="0.2">
      <c r="E326" s="147"/>
      <c r="F326" s="147"/>
      <c r="G326" s="112"/>
      <c r="K326" s="112"/>
      <c r="L326" s="112"/>
      <c r="R326" s="149"/>
      <c r="S326" s="149"/>
      <c r="X326" s="112"/>
      <c r="Y326" s="112"/>
    </row>
    <row r="327" spans="5:25" ht="11.25" customHeight="1" x14ac:dyDescent="0.2">
      <c r="E327" s="147"/>
      <c r="F327" s="147"/>
      <c r="G327" s="112"/>
      <c r="K327" s="112"/>
      <c r="L327" s="112"/>
      <c r="R327" s="149"/>
      <c r="S327" s="149"/>
      <c r="X327" s="112"/>
      <c r="Y327" s="112"/>
    </row>
    <row r="328" spans="5:25" ht="11.25" customHeight="1" x14ac:dyDescent="0.2">
      <c r="E328" s="147"/>
      <c r="F328" s="147"/>
      <c r="G328" s="112"/>
      <c r="K328" s="112"/>
      <c r="L328" s="112"/>
      <c r="R328" s="149"/>
      <c r="S328" s="149"/>
      <c r="X328" s="112"/>
      <c r="Y328" s="112"/>
    </row>
    <row r="329" spans="5:25" ht="11.25" customHeight="1" x14ac:dyDescent="0.2">
      <c r="E329" s="147"/>
      <c r="F329" s="147"/>
      <c r="G329" s="112"/>
      <c r="K329" s="112"/>
      <c r="L329" s="112"/>
      <c r="R329" s="149"/>
      <c r="S329" s="149"/>
      <c r="X329" s="112"/>
      <c r="Y329" s="112"/>
    </row>
    <row r="330" spans="5:25" ht="11.25" customHeight="1" x14ac:dyDescent="0.2">
      <c r="E330" s="147"/>
      <c r="F330" s="147"/>
      <c r="G330" s="112"/>
      <c r="K330" s="112"/>
      <c r="L330" s="112"/>
      <c r="R330" s="149"/>
      <c r="S330" s="149"/>
      <c r="X330" s="112"/>
      <c r="Y330" s="112"/>
    </row>
    <row r="331" spans="5:25" ht="11.25" customHeight="1" x14ac:dyDescent="0.2">
      <c r="E331" s="147"/>
      <c r="F331" s="147"/>
      <c r="G331" s="112"/>
      <c r="K331" s="112"/>
      <c r="L331" s="112"/>
      <c r="R331" s="149"/>
      <c r="S331" s="149"/>
      <c r="X331" s="112"/>
      <c r="Y331" s="112"/>
    </row>
    <row r="332" spans="5:25" ht="11.25" customHeight="1" x14ac:dyDescent="0.2">
      <c r="E332" s="147"/>
      <c r="F332" s="147"/>
      <c r="G332" s="112"/>
      <c r="K332" s="112"/>
      <c r="L332" s="112"/>
      <c r="R332" s="149"/>
      <c r="S332" s="149"/>
      <c r="X332" s="112"/>
      <c r="Y332" s="112"/>
    </row>
    <row r="333" spans="5:25" ht="11.25" customHeight="1" x14ac:dyDescent="0.2">
      <c r="E333" s="147"/>
      <c r="F333" s="147"/>
      <c r="G333" s="112"/>
      <c r="K333" s="112"/>
      <c r="L333" s="112"/>
      <c r="R333" s="149"/>
      <c r="S333" s="149"/>
      <c r="X333" s="112"/>
      <c r="Y333" s="112"/>
    </row>
    <row r="334" spans="5:25" ht="11.25" customHeight="1" x14ac:dyDescent="0.2">
      <c r="E334" s="147"/>
      <c r="F334" s="147"/>
      <c r="G334" s="112"/>
      <c r="K334" s="112"/>
      <c r="L334" s="112"/>
      <c r="R334" s="149"/>
      <c r="S334" s="149"/>
      <c r="X334" s="112"/>
      <c r="Y334" s="112"/>
    </row>
    <row r="335" spans="5:25" ht="11.25" customHeight="1" x14ac:dyDescent="0.2">
      <c r="E335" s="147"/>
      <c r="F335" s="147"/>
      <c r="G335" s="112"/>
      <c r="K335" s="112"/>
      <c r="L335" s="112"/>
      <c r="R335" s="149"/>
      <c r="S335" s="149"/>
      <c r="X335" s="112"/>
      <c r="Y335" s="112"/>
    </row>
    <row r="336" spans="5:25" ht="11.25" customHeight="1" x14ac:dyDescent="0.2">
      <c r="E336" s="147"/>
      <c r="F336" s="147"/>
      <c r="G336" s="112"/>
      <c r="K336" s="112"/>
      <c r="L336" s="112"/>
      <c r="R336" s="149"/>
      <c r="S336" s="149"/>
      <c r="X336" s="112"/>
      <c r="Y336" s="112"/>
    </row>
    <row r="337" spans="5:25" ht="11.25" customHeight="1" x14ac:dyDescent="0.2">
      <c r="E337" s="147"/>
      <c r="F337" s="147"/>
      <c r="G337" s="112"/>
      <c r="K337" s="112"/>
      <c r="L337" s="112"/>
      <c r="R337" s="149"/>
      <c r="S337" s="149"/>
      <c r="X337" s="112"/>
      <c r="Y337" s="112"/>
    </row>
    <row r="338" spans="5:25" ht="11.25" customHeight="1" x14ac:dyDescent="0.2">
      <c r="E338" s="147"/>
      <c r="F338" s="147"/>
      <c r="G338" s="112"/>
      <c r="K338" s="112"/>
      <c r="L338" s="112"/>
      <c r="R338" s="149"/>
      <c r="S338" s="149"/>
      <c r="X338" s="112"/>
      <c r="Y338" s="112"/>
    </row>
    <row r="339" spans="5:25" ht="11.25" customHeight="1" x14ac:dyDescent="0.2">
      <c r="E339" s="147"/>
      <c r="F339" s="147"/>
      <c r="G339" s="112"/>
      <c r="K339" s="112"/>
      <c r="L339" s="112"/>
      <c r="R339" s="149"/>
      <c r="S339" s="149"/>
      <c r="X339" s="112"/>
      <c r="Y339" s="112"/>
    </row>
    <row r="340" spans="5:25" ht="11.25" customHeight="1" x14ac:dyDescent="0.2">
      <c r="E340" s="147"/>
      <c r="F340" s="147"/>
      <c r="G340" s="112"/>
      <c r="K340" s="112"/>
      <c r="L340" s="112"/>
      <c r="R340" s="149"/>
      <c r="S340" s="149"/>
      <c r="X340" s="112"/>
      <c r="Y340" s="112"/>
    </row>
    <row r="341" spans="5:25" ht="11.25" customHeight="1" x14ac:dyDescent="0.2">
      <c r="E341" s="147"/>
      <c r="F341" s="147"/>
      <c r="G341" s="112"/>
      <c r="K341" s="112"/>
      <c r="L341" s="112"/>
      <c r="R341" s="149"/>
      <c r="S341" s="149"/>
      <c r="X341" s="112"/>
      <c r="Y341" s="112"/>
    </row>
    <row r="342" spans="5:25" ht="11.25" customHeight="1" x14ac:dyDescent="0.2">
      <c r="E342" s="147"/>
      <c r="F342" s="147"/>
      <c r="G342" s="112"/>
      <c r="K342" s="112"/>
      <c r="L342" s="112"/>
      <c r="R342" s="149"/>
      <c r="S342" s="149"/>
      <c r="X342" s="112"/>
      <c r="Y342" s="112"/>
    </row>
    <row r="343" spans="5:25" ht="11.25" customHeight="1" x14ac:dyDescent="0.2">
      <c r="E343" s="147"/>
      <c r="F343" s="147"/>
      <c r="G343" s="112"/>
      <c r="K343" s="112"/>
      <c r="L343" s="112"/>
      <c r="R343" s="149"/>
      <c r="S343" s="149"/>
      <c r="X343" s="112"/>
      <c r="Y343" s="112"/>
    </row>
    <row r="344" spans="5:25" ht="11.25" customHeight="1" x14ac:dyDescent="0.2">
      <c r="E344" s="147"/>
      <c r="F344" s="147"/>
      <c r="G344" s="112"/>
      <c r="K344" s="112"/>
      <c r="L344" s="112"/>
      <c r="R344" s="149"/>
      <c r="S344" s="149"/>
      <c r="X344" s="112"/>
      <c r="Y344" s="112"/>
    </row>
    <row r="345" spans="5:25" ht="11.25" customHeight="1" x14ac:dyDescent="0.2">
      <c r="E345" s="147"/>
      <c r="F345" s="147"/>
      <c r="G345" s="112"/>
      <c r="K345" s="112"/>
      <c r="L345" s="112"/>
      <c r="R345" s="149"/>
      <c r="S345" s="149"/>
      <c r="X345" s="112"/>
      <c r="Y345" s="112"/>
    </row>
    <row r="346" spans="5:25" ht="11.25" customHeight="1" x14ac:dyDescent="0.2">
      <c r="E346" s="147"/>
      <c r="F346" s="147"/>
      <c r="G346" s="112"/>
      <c r="K346" s="112"/>
      <c r="L346" s="112"/>
      <c r="R346" s="149"/>
      <c r="S346" s="149"/>
      <c r="X346" s="112"/>
      <c r="Y346" s="112"/>
    </row>
    <row r="347" spans="5:25" ht="11.25" customHeight="1" x14ac:dyDescent="0.2">
      <c r="E347" s="147"/>
      <c r="F347" s="147"/>
      <c r="G347" s="112"/>
      <c r="K347" s="112"/>
      <c r="L347" s="112"/>
      <c r="R347" s="149"/>
      <c r="S347" s="149"/>
      <c r="X347" s="112"/>
      <c r="Y347" s="112"/>
    </row>
    <row r="348" spans="5:25" ht="11.25" customHeight="1" x14ac:dyDescent="0.2">
      <c r="E348" s="147"/>
      <c r="F348" s="147"/>
      <c r="G348" s="112"/>
      <c r="K348" s="112"/>
      <c r="L348" s="112"/>
      <c r="R348" s="149"/>
      <c r="S348" s="149"/>
      <c r="X348" s="112"/>
      <c r="Y348" s="112"/>
    </row>
    <row r="349" spans="5:25" ht="11.25" customHeight="1" x14ac:dyDescent="0.2">
      <c r="E349" s="147"/>
      <c r="F349" s="147"/>
      <c r="G349" s="112"/>
      <c r="K349" s="112"/>
      <c r="L349" s="112"/>
      <c r="R349" s="149"/>
      <c r="S349" s="149"/>
      <c r="X349" s="112"/>
      <c r="Y349" s="112"/>
    </row>
    <row r="350" spans="5:25" ht="11.25" customHeight="1" x14ac:dyDescent="0.2">
      <c r="E350" s="147"/>
      <c r="F350" s="147"/>
      <c r="G350" s="112"/>
      <c r="K350" s="112"/>
      <c r="L350" s="112"/>
      <c r="R350" s="149"/>
      <c r="S350" s="149"/>
      <c r="X350" s="112"/>
      <c r="Y350" s="112"/>
    </row>
    <row r="351" spans="5:25" ht="11.25" customHeight="1" x14ac:dyDescent="0.2">
      <c r="E351" s="147"/>
      <c r="F351" s="147"/>
      <c r="G351" s="112"/>
      <c r="K351" s="112"/>
      <c r="L351" s="112"/>
      <c r="R351" s="149"/>
      <c r="S351" s="149"/>
      <c r="X351" s="112"/>
      <c r="Y351" s="112"/>
    </row>
    <row r="352" spans="5:25" ht="11.25" customHeight="1" x14ac:dyDescent="0.2">
      <c r="E352" s="147"/>
      <c r="F352" s="147"/>
      <c r="G352" s="112"/>
      <c r="K352" s="112"/>
      <c r="L352" s="112"/>
      <c r="R352" s="149"/>
      <c r="S352" s="149"/>
      <c r="X352" s="112"/>
      <c r="Y352" s="112"/>
    </row>
    <row r="353" spans="5:25" ht="11.25" customHeight="1" x14ac:dyDescent="0.2">
      <c r="E353" s="147"/>
      <c r="F353" s="147"/>
      <c r="G353" s="112"/>
      <c r="K353" s="112"/>
      <c r="L353" s="112"/>
      <c r="R353" s="149"/>
      <c r="S353" s="149"/>
      <c r="X353" s="112"/>
      <c r="Y353" s="112"/>
    </row>
    <row r="354" spans="5:25" ht="11.25" customHeight="1" x14ac:dyDescent="0.2">
      <c r="E354" s="147"/>
      <c r="F354" s="147"/>
      <c r="G354" s="112"/>
      <c r="K354" s="112"/>
      <c r="L354" s="112"/>
      <c r="R354" s="149"/>
      <c r="S354" s="149"/>
      <c r="X354" s="112"/>
      <c r="Y354" s="112"/>
    </row>
    <row r="355" spans="5:25" ht="11.25" customHeight="1" x14ac:dyDescent="0.2">
      <c r="E355" s="147"/>
      <c r="F355" s="147"/>
      <c r="G355" s="112"/>
      <c r="K355" s="112"/>
      <c r="L355" s="112"/>
      <c r="R355" s="149"/>
      <c r="S355" s="149"/>
      <c r="X355" s="112"/>
      <c r="Y355" s="112"/>
    </row>
    <row r="356" spans="5:25" ht="11.25" customHeight="1" x14ac:dyDescent="0.2">
      <c r="E356" s="147"/>
      <c r="F356" s="147"/>
      <c r="G356" s="112"/>
      <c r="K356" s="112"/>
      <c r="L356" s="112"/>
      <c r="R356" s="149"/>
      <c r="S356" s="149"/>
      <c r="X356" s="112"/>
      <c r="Y356" s="112"/>
    </row>
    <row r="357" spans="5:25" ht="11.25" customHeight="1" x14ac:dyDescent="0.2">
      <c r="E357" s="147"/>
      <c r="F357" s="147"/>
      <c r="G357" s="112"/>
      <c r="K357" s="112"/>
      <c r="L357" s="112"/>
      <c r="R357" s="149"/>
      <c r="S357" s="149"/>
      <c r="X357" s="112"/>
      <c r="Y357" s="112"/>
    </row>
    <row r="358" spans="5:25" ht="11.25" customHeight="1" x14ac:dyDescent="0.2">
      <c r="E358" s="147"/>
      <c r="F358" s="147"/>
      <c r="G358" s="112"/>
      <c r="K358" s="112"/>
      <c r="L358" s="112"/>
      <c r="R358" s="149"/>
      <c r="S358" s="149"/>
      <c r="X358" s="112"/>
      <c r="Y358" s="112"/>
    </row>
    <row r="359" spans="5:25" ht="11.25" customHeight="1" x14ac:dyDescent="0.2">
      <c r="E359" s="147"/>
      <c r="F359" s="147"/>
      <c r="G359" s="112"/>
      <c r="K359" s="112"/>
      <c r="L359" s="112"/>
      <c r="R359" s="149"/>
      <c r="S359" s="149"/>
      <c r="X359" s="112"/>
      <c r="Y359" s="112"/>
    </row>
    <row r="360" spans="5:25" ht="11.25" customHeight="1" x14ac:dyDescent="0.2">
      <c r="E360" s="147"/>
      <c r="F360" s="147"/>
      <c r="G360" s="112"/>
      <c r="K360" s="112"/>
      <c r="L360" s="112"/>
      <c r="R360" s="149"/>
      <c r="S360" s="149"/>
      <c r="X360" s="112"/>
      <c r="Y360" s="112"/>
    </row>
    <row r="361" spans="5:25" ht="11.25" customHeight="1" x14ac:dyDescent="0.2">
      <c r="E361" s="147"/>
      <c r="F361" s="147"/>
      <c r="G361" s="112"/>
      <c r="K361" s="112"/>
      <c r="L361" s="112"/>
      <c r="R361" s="149"/>
      <c r="S361" s="149"/>
      <c r="X361" s="112"/>
      <c r="Y361" s="112"/>
    </row>
    <row r="362" spans="5:25" ht="11.25" customHeight="1" x14ac:dyDescent="0.2">
      <c r="E362" s="147"/>
      <c r="F362" s="147"/>
      <c r="G362" s="112"/>
      <c r="K362" s="112"/>
      <c r="L362" s="112"/>
      <c r="R362" s="149"/>
      <c r="S362" s="149"/>
      <c r="X362" s="112"/>
      <c r="Y362" s="112"/>
    </row>
    <row r="363" spans="5:25" ht="11.25" customHeight="1" x14ac:dyDescent="0.2">
      <c r="E363" s="147"/>
      <c r="F363" s="147"/>
      <c r="G363" s="112"/>
      <c r="K363" s="112"/>
      <c r="L363" s="112"/>
      <c r="R363" s="149"/>
      <c r="S363" s="149"/>
      <c r="X363" s="112"/>
      <c r="Y363" s="112"/>
    </row>
    <row r="364" spans="5:25" ht="11.25" customHeight="1" x14ac:dyDescent="0.2">
      <c r="E364" s="147"/>
      <c r="F364" s="147"/>
      <c r="G364" s="112"/>
      <c r="K364" s="112"/>
      <c r="L364" s="112"/>
      <c r="R364" s="149"/>
      <c r="S364" s="149"/>
      <c r="X364" s="112"/>
      <c r="Y364" s="112"/>
    </row>
    <row r="365" spans="5:25" ht="11.25" customHeight="1" x14ac:dyDescent="0.2">
      <c r="E365" s="147"/>
      <c r="F365" s="147"/>
      <c r="G365" s="112"/>
      <c r="K365" s="112"/>
      <c r="L365" s="112"/>
      <c r="R365" s="149"/>
      <c r="S365" s="149"/>
      <c r="X365" s="112"/>
      <c r="Y365" s="112"/>
    </row>
    <row r="366" spans="5:25" ht="11.25" customHeight="1" x14ac:dyDescent="0.2">
      <c r="E366" s="147"/>
      <c r="F366" s="147"/>
      <c r="G366" s="112"/>
      <c r="K366" s="112"/>
      <c r="L366" s="112"/>
      <c r="R366" s="149"/>
      <c r="S366" s="149"/>
      <c r="X366" s="112"/>
      <c r="Y366" s="112"/>
    </row>
    <row r="367" spans="5:25" ht="11.25" customHeight="1" x14ac:dyDescent="0.2">
      <c r="E367" s="147"/>
      <c r="F367" s="147"/>
      <c r="G367" s="112"/>
      <c r="K367" s="112"/>
      <c r="L367" s="112"/>
      <c r="R367" s="149"/>
      <c r="S367" s="149"/>
      <c r="X367" s="112"/>
      <c r="Y367" s="112"/>
    </row>
    <row r="368" spans="5:25" ht="11.25" customHeight="1" x14ac:dyDescent="0.2">
      <c r="E368" s="147"/>
      <c r="F368" s="147"/>
      <c r="G368" s="112"/>
      <c r="K368" s="112"/>
      <c r="L368" s="112"/>
      <c r="R368" s="149"/>
      <c r="S368" s="149"/>
      <c r="X368" s="112"/>
      <c r="Y368" s="112"/>
    </row>
    <row r="369" spans="5:25" ht="11.25" customHeight="1" x14ac:dyDescent="0.2">
      <c r="E369" s="147"/>
      <c r="F369" s="147"/>
      <c r="G369" s="112"/>
      <c r="K369" s="112"/>
      <c r="L369" s="112"/>
      <c r="R369" s="149"/>
      <c r="S369" s="149"/>
      <c r="X369" s="112"/>
      <c r="Y369" s="112"/>
    </row>
    <row r="370" spans="5:25" ht="11.25" customHeight="1" x14ac:dyDescent="0.2">
      <c r="E370" s="147"/>
      <c r="F370" s="147"/>
      <c r="G370" s="112"/>
      <c r="K370" s="112"/>
      <c r="L370" s="112"/>
      <c r="R370" s="149"/>
      <c r="S370" s="149"/>
      <c r="X370" s="112"/>
      <c r="Y370" s="112"/>
    </row>
    <row r="371" spans="5:25" ht="11.25" customHeight="1" x14ac:dyDescent="0.2">
      <c r="E371" s="147"/>
      <c r="F371" s="147"/>
      <c r="G371" s="112"/>
      <c r="K371" s="112"/>
      <c r="L371" s="112"/>
      <c r="R371" s="149"/>
      <c r="S371" s="149"/>
      <c r="X371" s="112"/>
      <c r="Y371" s="112"/>
    </row>
    <row r="372" spans="5:25" ht="11.25" customHeight="1" x14ac:dyDescent="0.2">
      <c r="E372" s="147"/>
      <c r="F372" s="147"/>
      <c r="G372" s="112"/>
      <c r="K372" s="112"/>
      <c r="L372" s="112"/>
      <c r="R372" s="149"/>
      <c r="S372" s="149"/>
      <c r="X372" s="112"/>
      <c r="Y372" s="112"/>
    </row>
    <row r="373" spans="5:25" ht="11.25" customHeight="1" x14ac:dyDescent="0.2">
      <c r="E373" s="147"/>
      <c r="F373" s="147"/>
      <c r="G373" s="112"/>
      <c r="K373" s="112"/>
      <c r="L373" s="112"/>
      <c r="R373" s="149"/>
      <c r="S373" s="149"/>
      <c r="X373" s="112"/>
      <c r="Y373" s="112"/>
    </row>
    <row r="374" spans="5:25" ht="11.25" customHeight="1" x14ac:dyDescent="0.2">
      <c r="E374" s="147"/>
      <c r="F374" s="147"/>
      <c r="G374" s="112"/>
      <c r="K374" s="112"/>
      <c r="L374" s="112"/>
      <c r="R374" s="149"/>
      <c r="S374" s="149"/>
      <c r="X374" s="112"/>
      <c r="Y374" s="112"/>
    </row>
    <row r="375" spans="5:25" ht="11.25" customHeight="1" x14ac:dyDescent="0.2">
      <c r="E375" s="147"/>
      <c r="F375" s="147"/>
      <c r="G375" s="112"/>
      <c r="K375" s="112"/>
      <c r="L375" s="112"/>
      <c r="R375" s="149"/>
      <c r="S375" s="149"/>
      <c r="X375" s="112"/>
      <c r="Y375" s="112"/>
    </row>
    <row r="376" spans="5:25" ht="11.25" customHeight="1" x14ac:dyDescent="0.2">
      <c r="E376" s="147"/>
      <c r="F376" s="147"/>
      <c r="G376" s="112"/>
      <c r="K376" s="112"/>
      <c r="L376" s="112"/>
      <c r="R376" s="149"/>
      <c r="S376" s="149"/>
      <c r="X376" s="112"/>
      <c r="Y376" s="112"/>
    </row>
    <row r="377" spans="5:25" ht="11.25" customHeight="1" x14ac:dyDescent="0.2">
      <c r="E377" s="147"/>
      <c r="F377" s="147"/>
      <c r="G377" s="112"/>
      <c r="K377" s="112"/>
      <c r="L377" s="112"/>
      <c r="R377" s="149"/>
      <c r="S377" s="149"/>
      <c r="X377" s="112"/>
      <c r="Y377" s="112"/>
    </row>
    <row r="378" spans="5:25" ht="11.25" customHeight="1" x14ac:dyDescent="0.2">
      <c r="E378" s="147"/>
      <c r="F378" s="147"/>
      <c r="G378" s="112"/>
      <c r="K378" s="112"/>
      <c r="L378" s="112"/>
      <c r="R378" s="149"/>
      <c r="S378" s="149"/>
      <c r="X378" s="112"/>
      <c r="Y378" s="112"/>
    </row>
    <row r="379" spans="5:25" ht="11.25" customHeight="1" x14ac:dyDescent="0.2">
      <c r="E379" s="147"/>
      <c r="F379" s="147"/>
      <c r="G379" s="112"/>
      <c r="K379" s="112"/>
      <c r="L379" s="112"/>
      <c r="R379" s="149"/>
      <c r="S379" s="149"/>
      <c r="X379" s="112"/>
      <c r="Y379" s="112"/>
    </row>
    <row r="380" spans="5:25" ht="11.25" customHeight="1" x14ac:dyDescent="0.2">
      <c r="E380" s="147"/>
      <c r="F380" s="147"/>
      <c r="G380" s="112"/>
      <c r="K380" s="112"/>
      <c r="L380" s="112"/>
      <c r="R380" s="149"/>
      <c r="S380" s="149"/>
      <c r="X380" s="112"/>
      <c r="Y380" s="112"/>
    </row>
    <row r="381" spans="5:25" ht="11.25" customHeight="1" x14ac:dyDescent="0.2">
      <c r="E381" s="147"/>
      <c r="F381" s="147"/>
      <c r="G381" s="112"/>
      <c r="K381" s="112"/>
      <c r="L381" s="112"/>
      <c r="R381" s="149"/>
      <c r="S381" s="149"/>
      <c r="X381" s="112"/>
      <c r="Y381" s="112"/>
    </row>
    <row r="382" spans="5:25" ht="11.25" customHeight="1" x14ac:dyDescent="0.2">
      <c r="E382" s="147"/>
      <c r="F382" s="147"/>
      <c r="G382" s="112"/>
      <c r="K382" s="112"/>
      <c r="L382" s="112"/>
      <c r="R382" s="149"/>
      <c r="S382" s="149"/>
      <c r="X382" s="112"/>
      <c r="Y382" s="112"/>
    </row>
    <row r="383" spans="5:25" ht="11.25" customHeight="1" x14ac:dyDescent="0.2">
      <c r="E383" s="147"/>
      <c r="F383" s="147"/>
      <c r="G383" s="112"/>
      <c r="K383" s="112"/>
      <c r="L383" s="112"/>
      <c r="R383" s="149"/>
      <c r="S383" s="149"/>
      <c r="X383" s="112"/>
      <c r="Y383" s="112"/>
    </row>
    <row r="384" spans="5:25" ht="11.25" customHeight="1" x14ac:dyDescent="0.2">
      <c r="E384" s="147"/>
      <c r="F384" s="147"/>
      <c r="G384" s="112"/>
      <c r="K384" s="112"/>
      <c r="L384" s="112"/>
      <c r="R384" s="149"/>
      <c r="S384" s="149"/>
      <c r="X384" s="112"/>
      <c r="Y384" s="112"/>
    </row>
    <row r="385" spans="5:25" ht="11.25" customHeight="1" x14ac:dyDescent="0.2">
      <c r="E385" s="147"/>
      <c r="F385" s="147"/>
      <c r="G385" s="112"/>
      <c r="K385" s="112"/>
      <c r="L385" s="112"/>
      <c r="R385" s="149"/>
      <c r="S385" s="149"/>
      <c r="X385" s="112"/>
      <c r="Y385" s="112"/>
    </row>
    <row r="386" spans="5:25" ht="11.25" customHeight="1" x14ac:dyDescent="0.2">
      <c r="E386" s="147"/>
      <c r="F386" s="147"/>
      <c r="G386" s="112"/>
      <c r="K386" s="112"/>
      <c r="L386" s="112"/>
      <c r="R386" s="149"/>
      <c r="S386" s="149"/>
      <c r="X386" s="112"/>
      <c r="Y386" s="112"/>
    </row>
    <row r="387" spans="5:25" ht="11.25" customHeight="1" x14ac:dyDescent="0.2">
      <c r="E387" s="147"/>
      <c r="F387" s="147"/>
      <c r="G387" s="112"/>
      <c r="K387" s="112"/>
      <c r="L387" s="112"/>
      <c r="R387" s="149"/>
      <c r="S387" s="149"/>
      <c r="X387" s="112"/>
      <c r="Y387" s="112"/>
    </row>
    <row r="388" spans="5:25" ht="11.25" customHeight="1" x14ac:dyDescent="0.2">
      <c r="E388" s="147"/>
      <c r="F388" s="147"/>
      <c r="G388" s="112"/>
      <c r="K388" s="112"/>
      <c r="L388" s="112"/>
      <c r="R388" s="149"/>
      <c r="S388" s="149"/>
      <c r="X388" s="112"/>
      <c r="Y388" s="112"/>
    </row>
    <row r="389" spans="5:25" ht="11.25" customHeight="1" x14ac:dyDescent="0.2">
      <c r="E389" s="147"/>
      <c r="F389" s="147"/>
      <c r="G389" s="112"/>
      <c r="K389" s="112"/>
      <c r="L389" s="112"/>
      <c r="R389" s="149"/>
      <c r="S389" s="149"/>
      <c r="X389" s="112"/>
      <c r="Y389" s="112"/>
    </row>
    <row r="390" spans="5:25" ht="11.25" customHeight="1" x14ac:dyDescent="0.2">
      <c r="E390" s="147"/>
      <c r="F390" s="147"/>
      <c r="G390" s="112"/>
      <c r="K390" s="112"/>
      <c r="L390" s="112"/>
      <c r="R390" s="149"/>
      <c r="S390" s="149"/>
      <c r="X390" s="112"/>
      <c r="Y390" s="112"/>
    </row>
    <row r="391" spans="5:25" ht="11.25" customHeight="1" x14ac:dyDescent="0.2">
      <c r="E391" s="147"/>
      <c r="F391" s="147"/>
      <c r="G391" s="112"/>
      <c r="K391" s="112"/>
      <c r="L391" s="112"/>
      <c r="R391" s="149"/>
      <c r="S391" s="149"/>
      <c r="X391" s="112"/>
      <c r="Y391" s="112"/>
    </row>
    <row r="392" spans="5:25" ht="11.25" customHeight="1" x14ac:dyDescent="0.2">
      <c r="E392" s="147"/>
      <c r="F392" s="147"/>
      <c r="G392" s="112"/>
      <c r="K392" s="112"/>
      <c r="L392" s="112"/>
      <c r="R392" s="149"/>
      <c r="S392" s="149"/>
      <c r="X392" s="112"/>
      <c r="Y392" s="112"/>
    </row>
    <row r="393" spans="5:25" ht="11.25" customHeight="1" x14ac:dyDescent="0.2">
      <c r="E393" s="147"/>
      <c r="F393" s="147"/>
      <c r="G393" s="112"/>
      <c r="K393" s="112"/>
      <c r="L393" s="112"/>
      <c r="R393" s="149"/>
      <c r="S393" s="149"/>
      <c r="X393" s="112"/>
      <c r="Y393" s="112"/>
    </row>
    <row r="394" spans="5:25" ht="11.25" customHeight="1" x14ac:dyDescent="0.2">
      <c r="E394" s="147"/>
      <c r="F394" s="147"/>
      <c r="G394" s="112"/>
      <c r="K394" s="112"/>
      <c r="L394" s="112"/>
      <c r="R394" s="149"/>
      <c r="S394" s="149"/>
      <c r="X394" s="112"/>
      <c r="Y394" s="112"/>
    </row>
    <row r="395" spans="5:25" ht="11.25" customHeight="1" x14ac:dyDescent="0.2">
      <c r="E395" s="147"/>
      <c r="F395" s="147"/>
      <c r="G395" s="112"/>
      <c r="K395" s="112"/>
      <c r="L395" s="112"/>
      <c r="R395" s="149"/>
      <c r="S395" s="149"/>
      <c r="X395" s="112"/>
      <c r="Y395" s="112"/>
    </row>
    <row r="396" spans="5:25" ht="11.25" customHeight="1" x14ac:dyDescent="0.2">
      <c r="E396" s="147"/>
      <c r="F396" s="147"/>
      <c r="G396" s="112"/>
      <c r="K396" s="112"/>
      <c r="L396" s="112"/>
      <c r="R396" s="149"/>
      <c r="S396" s="149"/>
      <c r="X396" s="112"/>
      <c r="Y396" s="112"/>
    </row>
    <row r="397" spans="5:25" ht="11.25" customHeight="1" x14ac:dyDescent="0.2">
      <c r="E397" s="147"/>
      <c r="F397" s="147"/>
      <c r="G397" s="112"/>
      <c r="K397" s="112"/>
      <c r="L397" s="112"/>
      <c r="R397" s="149"/>
      <c r="S397" s="149"/>
      <c r="X397" s="112"/>
      <c r="Y397" s="112"/>
    </row>
    <row r="398" spans="5:25" ht="11.25" customHeight="1" x14ac:dyDescent="0.2">
      <c r="E398" s="147"/>
      <c r="F398" s="147"/>
      <c r="G398" s="112"/>
      <c r="K398" s="112"/>
      <c r="L398" s="112"/>
      <c r="R398" s="149"/>
      <c r="S398" s="149"/>
      <c r="X398" s="112"/>
      <c r="Y398" s="112"/>
    </row>
    <row r="399" spans="5:25" ht="11.25" customHeight="1" x14ac:dyDescent="0.2">
      <c r="E399" s="147"/>
      <c r="F399" s="147"/>
      <c r="G399" s="112"/>
      <c r="K399" s="112"/>
      <c r="L399" s="112"/>
      <c r="R399" s="149"/>
      <c r="S399" s="149"/>
      <c r="X399" s="112"/>
      <c r="Y399" s="112"/>
    </row>
    <row r="400" spans="5:25" ht="11.25" customHeight="1" x14ac:dyDescent="0.2">
      <c r="E400" s="147"/>
      <c r="F400" s="147"/>
      <c r="G400" s="112"/>
      <c r="K400" s="112"/>
      <c r="L400" s="112"/>
      <c r="R400" s="149"/>
      <c r="S400" s="149"/>
      <c r="X400" s="112"/>
      <c r="Y400" s="112"/>
    </row>
    <row r="401" spans="5:25" ht="11.25" customHeight="1" x14ac:dyDescent="0.2">
      <c r="E401" s="147"/>
      <c r="F401" s="147"/>
      <c r="G401" s="112"/>
      <c r="K401" s="112"/>
      <c r="L401" s="112"/>
      <c r="R401" s="149"/>
      <c r="S401" s="149"/>
      <c r="X401" s="112"/>
      <c r="Y401" s="112"/>
    </row>
    <row r="402" spans="5:25" ht="11.25" customHeight="1" x14ac:dyDescent="0.2">
      <c r="E402" s="147"/>
      <c r="F402" s="147"/>
      <c r="G402" s="112"/>
      <c r="K402" s="112"/>
      <c r="L402" s="112"/>
      <c r="R402" s="149"/>
      <c r="S402" s="149"/>
      <c r="X402" s="112"/>
      <c r="Y402" s="112"/>
    </row>
    <row r="403" spans="5:25" ht="11.25" customHeight="1" x14ac:dyDescent="0.2">
      <c r="E403" s="147"/>
      <c r="F403" s="147"/>
      <c r="G403" s="112"/>
      <c r="K403" s="112"/>
      <c r="L403" s="112"/>
      <c r="R403" s="149"/>
      <c r="S403" s="149"/>
      <c r="X403" s="112"/>
      <c r="Y403" s="112"/>
    </row>
    <row r="404" spans="5:25" ht="11.25" customHeight="1" x14ac:dyDescent="0.2">
      <c r="E404" s="147"/>
      <c r="F404" s="147"/>
      <c r="G404" s="112"/>
      <c r="K404" s="112"/>
      <c r="L404" s="112"/>
      <c r="R404" s="149"/>
      <c r="S404" s="149"/>
      <c r="X404" s="112"/>
      <c r="Y404" s="112"/>
    </row>
    <row r="405" spans="5:25" ht="11.25" customHeight="1" x14ac:dyDescent="0.2">
      <c r="E405" s="147"/>
      <c r="F405" s="147"/>
      <c r="G405" s="112"/>
      <c r="K405" s="112"/>
      <c r="L405" s="112"/>
      <c r="R405" s="149"/>
      <c r="S405" s="149"/>
      <c r="X405" s="112"/>
      <c r="Y405" s="112"/>
    </row>
    <row r="406" spans="5:25" ht="11.25" customHeight="1" x14ac:dyDescent="0.2">
      <c r="E406" s="147"/>
      <c r="F406" s="147"/>
      <c r="G406" s="112"/>
      <c r="K406" s="112"/>
      <c r="L406" s="112"/>
      <c r="R406" s="149"/>
      <c r="S406" s="149"/>
      <c r="X406" s="112"/>
      <c r="Y406" s="112"/>
    </row>
    <row r="407" spans="5:25" ht="11.25" customHeight="1" x14ac:dyDescent="0.2">
      <c r="E407" s="147"/>
      <c r="F407" s="147"/>
      <c r="G407" s="112"/>
      <c r="K407" s="112"/>
      <c r="L407" s="112"/>
      <c r="R407" s="149"/>
      <c r="S407" s="149"/>
      <c r="X407" s="112"/>
      <c r="Y407" s="112"/>
    </row>
    <row r="408" spans="5:25" ht="11.25" customHeight="1" x14ac:dyDescent="0.2">
      <c r="E408" s="147"/>
      <c r="F408" s="147"/>
      <c r="G408" s="112"/>
      <c r="K408" s="112"/>
      <c r="L408" s="112"/>
      <c r="R408" s="149"/>
      <c r="S408" s="149"/>
      <c r="X408" s="112"/>
      <c r="Y408" s="112"/>
    </row>
    <row r="409" spans="5:25" ht="11.25" customHeight="1" x14ac:dyDescent="0.2">
      <c r="E409" s="147"/>
      <c r="F409" s="147"/>
      <c r="G409" s="112"/>
      <c r="K409" s="112"/>
      <c r="L409" s="112"/>
      <c r="R409" s="149"/>
      <c r="S409" s="149"/>
      <c r="X409" s="112"/>
      <c r="Y409" s="112"/>
    </row>
    <row r="410" spans="5:25" ht="11.25" customHeight="1" x14ac:dyDescent="0.2">
      <c r="E410" s="147"/>
      <c r="F410" s="147"/>
      <c r="G410" s="112"/>
      <c r="K410" s="112"/>
      <c r="L410" s="112"/>
      <c r="R410" s="149"/>
      <c r="S410" s="149"/>
      <c r="X410" s="112"/>
      <c r="Y410" s="112"/>
    </row>
    <row r="411" spans="5:25" ht="11.25" customHeight="1" x14ac:dyDescent="0.2">
      <c r="E411" s="147"/>
      <c r="F411" s="147"/>
      <c r="G411" s="112"/>
      <c r="K411" s="112"/>
      <c r="L411" s="112"/>
      <c r="R411" s="149"/>
      <c r="S411" s="149"/>
      <c r="X411" s="112"/>
      <c r="Y411" s="112"/>
    </row>
    <row r="412" spans="5:25" ht="11.25" customHeight="1" x14ac:dyDescent="0.2">
      <c r="E412" s="147"/>
      <c r="F412" s="147"/>
      <c r="G412" s="112"/>
      <c r="K412" s="112"/>
      <c r="L412" s="112"/>
      <c r="R412" s="149"/>
      <c r="S412" s="149"/>
      <c r="X412" s="112"/>
      <c r="Y412" s="112"/>
    </row>
    <row r="413" spans="5:25" ht="11.25" customHeight="1" x14ac:dyDescent="0.2">
      <c r="E413" s="147"/>
      <c r="F413" s="147"/>
      <c r="G413" s="112"/>
      <c r="K413" s="112"/>
      <c r="L413" s="112"/>
      <c r="R413" s="149"/>
      <c r="S413" s="149"/>
      <c r="X413" s="112"/>
      <c r="Y413" s="112"/>
    </row>
    <row r="414" spans="5:25" ht="11.25" customHeight="1" x14ac:dyDescent="0.2">
      <c r="E414" s="147"/>
      <c r="F414" s="147"/>
      <c r="G414" s="112"/>
      <c r="K414" s="112"/>
      <c r="L414" s="112"/>
      <c r="R414" s="149"/>
      <c r="S414" s="149"/>
      <c r="X414" s="112"/>
      <c r="Y414" s="112"/>
    </row>
    <row r="415" spans="5:25" ht="11.25" customHeight="1" x14ac:dyDescent="0.2">
      <c r="E415" s="147"/>
      <c r="F415" s="147"/>
      <c r="G415" s="112"/>
      <c r="K415" s="112"/>
      <c r="L415" s="112"/>
      <c r="R415" s="149"/>
      <c r="S415" s="149"/>
      <c r="X415" s="112"/>
      <c r="Y415" s="112"/>
    </row>
    <row r="416" spans="5:25" ht="11.25" customHeight="1" x14ac:dyDescent="0.2">
      <c r="E416" s="147"/>
      <c r="F416" s="147"/>
      <c r="G416" s="112"/>
      <c r="K416" s="112"/>
      <c r="L416" s="112"/>
      <c r="R416" s="149"/>
      <c r="S416" s="149"/>
      <c r="X416" s="112"/>
      <c r="Y416" s="112"/>
    </row>
    <row r="417" spans="5:25" ht="11.25" customHeight="1" x14ac:dyDescent="0.2">
      <c r="E417" s="147"/>
      <c r="F417" s="147"/>
      <c r="G417" s="112"/>
      <c r="K417" s="112"/>
      <c r="L417" s="112"/>
      <c r="R417" s="149"/>
      <c r="S417" s="149"/>
      <c r="X417" s="112"/>
      <c r="Y417" s="112"/>
    </row>
    <row r="418" spans="5:25" ht="11.25" customHeight="1" x14ac:dyDescent="0.2">
      <c r="E418" s="147"/>
      <c r="F418" s="147"/>
      <c r="G418" s="112"/>
      <c r="K418" s="112"/>
      <c r="L418" s="112"/>
      <c r="R418" s="149"/>
      <c r="S418" s="149"/>
      <c r="X418" s="112"/>
      <c r="Y418" s="112"/>
    </row>
    <row r="419" spans="5:25" ht="11.25" customHeight="1" x14ac:dyDescent="0.2">
      <c r="E419" s="147"/>
      <c r="F419" s="147"/>
      <c r="G419" s="112"/>
      <c r="K419" s="112"/>
      <c r="L419" s="112"/>
      <c r="R419" s="149"/>
      <c r="S419" s="149"/>
      <c r="X419" s="112"/>
      <c r="Y419" s="112"/>
    </row>
    <row r="420" spans="5:25" ht="11.25" customHeight="1" x14ac:dyDescent="0.2">
      <c r="E420" s="147"/>
      <c r="F420" s="147"/>
      <c r="G420" s="112"/>
      <c r="K420" s="112"/>
      <c r="L420" s="112"/>
      <c r="R420" s="149"/>
      <c r="S420" s="149"/>
      <c r="X420" s="112"/>
      <c r="Y420" s="112"/>
    </row>
    <row r="421" spans="5:25" ht="11.25" customHeight="1" x14ac:dyDescent="0.2">
      <c r="E421" s="147"/>
      <c r="F421" s="147"/>
      <c r="G421" s="112"/>
      <c r="K421" s="112"/>
      <c r="L421" s="112"/>
      <c r="R421" s="149"/>
      <c r="S421" s="149"/>
      <c r="X421" s="112"/>
      <c r="Y421" s="112"/>
    </row>
    <row r="422" spans="5:25" ht="11.25" customHeight="1" x14ac:dyDescent="0.2">
      <c r="E422" s="147"/>
      <c r="F422" s="147"/>
      <c r="G422" s="112"/>
      <c r="K422" s="112"/>
      <c r="L422" s="112"/>
      <c r="R422" s="149"/>
      <c r="S422" s="149"/>
      <c r="X422" s="112"/>
      <c r="Y422" s="112"/>
    </row>
    <row r="423" spans="5:25" ht="11.25" customHeight="1" x14ac:dyDescent="0.2">
      <c r="E423" s="147"/>
      <c r="F423" s="147"/>
      <c r="G423" s="112"/>
      <c r="K423" s="112"/>
      <c r="L423" s="112"/>
      <c r="R423" s="149"/>
      <c r="S423" s="149"/>
      <c r="X423" s="112"/>
      <c r="Y423" s="112"/>
    </row>
    <row r="424" spans="5:25" ht="11.25" customHeight="1" x14ac:dyDescent="0.2">
      <c r="E424" s="147"/>
      <c r="F424" s="147"/>
      <c r="G424" s="112"/>
      <c r="K424" s="112"/>
      <c r="L424" s="112"/>
      <c r="R424" s="149"/>
      <c r="S424" s="149"/>
      <c r="X424" s="112"/>
      <c r="Y424" s="112"/>
    </row>
    <row r="425" spans="5:25" ht="11.25" customHeight="1" x14ac:dyDescent="0.2">
      <c r="E425" s="147"/>
      <c r="F425" s="147"/>
      <c r="G425" s="112"/>
      <c r="K425" s="112"/>
      <c r="L425" s="112"/>
      <c r="R425" s="149"/>
      <c r="S425" s="149"/>
      <c r="X425" s="112"/>
      <c r="Y425" s="112"/>
    </row>
    <row r="426" spans="5:25" ht="11.25" customHeight="1" x14ac:dyDescent="0.2">
      <c r="E426" s="147"/>
      <c r="F426" s="147"/>
      <c r="G426" s="112"/>
      <c r="K426" s="112"/>
      <c r="L426" s="112"/>
      <c r="R426" s="149"/>
      <c r="S426" s="149"/>
      <c r="X426" s="112"/>
      <c r="Y426" s="112"/>
    </row>
    <row r="427" spans="5:25" ht="11.25" customHeight="1" x14ac:dyDescent="0.2">
      <c r="E427" s="147"/>
      <c r="F427" s="147"/>
      <c r="G427" s="112"/>
      <c r="K427" s="112"/>
      <c r="L427" s="112"/>
      <c r="R427" s="149"/>
      <c r="S427" s="149"/>
      <c r="X427" s="112"/>
      <c r="Y427" s="112"/>
    </row>
    <row r="428" spans="5:25" ht="11.25" customHeight="1" x14ac:dyDescent="0.2">
      <c r="E428" s="147"/>
      <c r="F428" s="147"/>
      <c r="G428" s="112"/>
      <c r="K428" s="112"/>
      <c r="L428" s="112"/>
      <c r="R428" s="149"/>
      <c r="S428" s="149"/>
      <c r="X428" s="112"/>
      <c r="Y428" s="112"/>
    </row>
    <row r="429" spans="5:25" ht="11.25" customHeight="1" x14ac:dyDescent="0.2">
      <c r="E429" s="147"/>
      <c r="F429" s="147"/>
      <c r="G429" s="112"/>
      <c r="K429" s="112"/>
      <c r="L429" s="112"/>
      <c r="R429" s="149"/>
      <c r="S429" s="149"/>
      <c r="X429" s="112"/>
      <c r="Y429" s="112"/>
    </row>
    <row r="430" spans="5:25" ht="11.25" customHeight="1" x14ac:dyDescent="0.2">
      <c r="E430" s="147"/>
      <c r="F430" s="147"/>
      <c r="G430" s="112"/>
      <c r="K430" s="112"/>
      <c r="L430" s="112"/>
      <c r="R430" s="149"/>
      <c r="S430" s="149"/>
      <c r="X430" s="112"/>
      <c r="Y430" s="112"/>
    </row>
    <row r="431" spans="5:25" ht="11.25" customHeight="1" x14ac:dyDescent="0.2">
      <c r="E431" s="147"/>
      <c r="F431" s="147"/>
      <c r="G431" s="112"/>
      <c r="K431" s="112"/>
      <c r="L431" s="112"/>
      <c r="R431" s="149"/>
      <c r="S431" s="149"/>
      <c r="X431" s="112"/>
      <c r="Y431" s="112"/>
    </row>
    <row r="432" spans="5:25" ht="11.25" customHeight="1" x14ac:dyDescent="0.2">
      <c r="E432" s="147"/>
      <c r="F432" s="147"/>
      <c r="G432" s="112"/>
      <c r="K432" s="112"/>
      <c r="L432" s="112"/>
      <c r="R432" s="149"/>
      <c r="S432" s="149"/>
      <c r="X432" s="112"/>
      <c r="Y432" s="112"/>
    </row>
    <row r="433" spans="5:25" ht="11.25" customHeight="1" x14ac:dyDescent="0.2">
      <c r="E433" s="147"/>
      <c r="F433" s="147"/>
      <c r="G433" s="112"/>
      <c r="K433" s="112"/>
      <c r="L433" s="112"/>
      <c r="R433" s="149"/>
      <c r="S433" s="149"/>
      <c r="X433" s="112"/>
      <c r="Y433" s="112"/>
    </row>
    <row r="434" spans="5:25" ht="11.25" customHeight="1" x14ac:dyDescent="0.2">
      <c r="E434" s="147"/>
      <c r="F434" s="147"/>
      <c r="G434" s="112"/>
      <c r="K434" s="112"/>
      <c r="L434" s="112"/>
      <c r="R434" s="149"/>
      <c r="S434" s="149"/>
      <c r="X434" s="112"/>
      <c r="Y434" s="112"/>
    </row>
    <row r="435" spans="5:25" ht="11.25" customHeight="1" x14ac:dyDescent="0.2">
      <c r="E435" s="147"/>
      <c r="F435" s="147"/>
      <c r="G435" s="112"/>
      <c r="K435" s="112"/>
      <c r="L435" s="112"/>
      <c r="R435" s="149"/>
      <c r="S435" s="149"/>
      <c r="X435" s="112"/>
      <c r="Y435" s="112"/>
    </row>
    <row r="436" spans="5:25" ht="11.25" customHeight="1" x14ac:dyDescent="0.2">
      <c r="E436" s="147"/>
      <c r="F436" s="147"/>
      <c r="G436" s="112"/>
      <c r="K436" s="112"/>
      <c r="L436" s="112"/>
      <c r="R436" s="149"/>
      <c r="S436" s="149"/>
      <c r="X436" s="112"/>
      <c r="Y436" s="112"/>
    </row>
    <row r="437" spans="5:25" ht="11.25" customHeight="1" x14ac:dyDescent="0.2">
      <c r="E437" s="147"/>
      <c r="F437" s="147"/>
      <c r="G437" s="112"/>
      <c r="K437" s="112"/>
      <c r="L437" s="112"/>
      <c r="R437" s="149"/>
      <c r="S437" s="149"/>
      <c r="X437" s="112"/>
      <c r="Y437" s="112"/>
    </row>
    <row r="438" spans="5:25" ht="11.25" customHeight="1" x14ac:dyDescent="0.2">
      <c r="E438" s="147"/>
      <c r="F438" s="147"/>
      <c r="G438" s="112"/>
      <c r="K438" s="112"/>
      <c r="L438" s="112"/>
      <c r="R438" s="149"/>
      <c r="S438" s="149"/>
      <c r="X438" s="112"/>
      <c r="Y438" s="112"/>
    </row>
    <row r="439" spans="5:25" ht="11.25" customHeight="1" x14ac:dyDescent="0.2">
      <c r="E439" s="147"/>
      <c r="F439" s="147"/>
      <c r="G439" s="112"/>
      <c r="K439" s="112"/>
      <c r="L439" s="112"/>
      <c r="R439" s="149"/>
      <c r="S439" s="149"/>
      <c r="X439" s="112"/>
      <c r="Y439" s="112"/>
    </row>
    <row r="440" spans="5:25" ht="11.25" customHeight="1" x14ac:dyDescent="0.2">
      <c r="E440" s="147"/>
      <c r="F440" s="147"/>
      <c r="G440" s="112"/>
      <c r="K440" s="112"/>
      <c r="L440" s="112"/>
      <c r="R440" s="149"/>
      <c r="S440" s="149"/>
      <c r="X440" s="112"/>
      <c r="Y440" s="112"/>
    </row>
    <row r="441" spans="5:25" ht="11.25" customHeight="1" x14ac:dyDescent="0.2">
      <c r="E441" s="147"/>
      <c r="F441" s="147"/>
      <c r="G441" s="112"/>
      <c r="K441" s="112"/>
      <c r="L441" s="112"/>
      <c r="R441" s="149"/>
      <c r="S441" s="149"/>
      <c r="X441" s="112"/>
      <c r="Y441" s="112"/>
    </row>
    <row r="442" spans="5:25" ht="11.25" customHeight="1" x14ac:dyDescent="0.2">
      <c r="E442" s="147"/>
      <c r="F442" s="147"/>
      <c r="G442" s="112"/>
      <c r="K442" s="112"/>
      <c r="L442" s="112"/>
      <c r="R442" s="149"/>
      <c r="S442" s="149"/>
      <c r="X442" s="112"/>
      <c r="Y442" s="112"/>
    </row>
    <row r="443" spans="5:25" ht="11.25" customHeight="1" x14ac:dyDescent="0.2">
      <c r="E443" s="147"/>
      <c r="F443" s="147"/>
      <c r="G443" s="112"/>
      <c r="K443" s="112"/>
      <c r="L443" s="112"/>
      <c r="R443" s="149"/>
      <c r="S443" s="149"/>
      <c r="X443" s="112"/>
      <c r="Y443" s="112"/>
    </row>
    <row r="444" spans="5:25" ht="11.25" customHeight="1" x14ac:dyDescent="0.2">
      <c r="E444" s="147"/>
      <c r="F444" s="147"/>
      <c r="G444" s="112"/>
      <c r="K444" s="112"/>
      <c r="L444" s="112"/>
      <c r="R444" s="149"/>
      <c r="S444" s="149"/>
      <c r="X444" s="112"/>
      <c r="Y444" s="112"/>
    </row>
    <row r="445" spans="5:25" ht="11.25" customHeight="1" x14ac:dyDescent="0.2">
      <c r="E445" s="147"/>
      <c r="F445" s="147"/>
      <c r="G445" s="112"/>
      <c r="K445" s="112"/>
      <c r="L445" s="112"/>
      <c r="R445" s="149"/>
      <c r="S445" s="149"/>
      <c r="X445" s="112"/>
      <c r="Y445" s="112"/>
    </row>
    <row r="446" spans="5:25" ht="11.25" customHeight="1" x14ac:dyDescent="0.2">
      <c r="E446" s="147"/>
      <c r="F446" s="147"/>
      <c r="G446" s="112"/>
      <c r="K446" s="112"/>
      <c r="L446" s="112"/>
      <c r="R446" s="149"/>
      <c r="S446" s="149"/>
      <c r="X446" s="112"/>
      <c r="Y446" s="112"/>
    </row>
    <row r="447" spans="5:25" ht="11.25" customHeight="1" x14ac:dyDescent="0.2">
      <c r="E447" s="147"/>
      <c r="F447" s="147"/>
      <c r="G447" s="112"/>
      <c r="K447" s="112"/>
      <c r="L447" s="112"/>
      <c r="R447" s="149"/>
      <c r="S447" s="149"/>
      <c r="X447" s="112"/>
      <c r="Y447" s="112"/>
    </row>
    <row r="448" spans="5:25" ht="11.25" customHeight="1" x14ac:dyDescent="0.2">
      <c r="E448" s="147"/>
      <c r="F448" s="147"/>
      <c r="G448" s="112"/>
      <c r="K448" s="112"/>
      <c r="L448" s="112"/>
      <c r="R448" s="149"/>
      <c r="S448" s="149"/>
      <c r="X448" s="112"/>
      <c r="Y448" s="112"/>
    </row>
    <row r="449" spans="5:25" ht="11.25" customHeight="1" x14ac:dyDescent="0.2">
      <c r="E449" s="147"/>
      <c r="F449" s="147"/>
      <c r="G449" s="112"/>
      <c r="K449" s="112"/>
      <c r="L449" s="112"/>
      <c r="R449" s="149"/>
      <c r="S449" s="149"/>
      <c r="X449" s="112"/>
      <c r="Y449" s="112"/>
    </row>
    <row r="450" spans="5:25" ht="11.25" customHeight="1" x14ac:dyDescent="0.2">
      <c r="E450" s="147"/>
      <c r="F450" s="147"/>
      <c r="G450" s="112"/>
      <c r="K450" s="112"/>
      <c r="L450" s="112"/>
      <c r="R450" s="149"/>
      <c r="S450" s="149"/>
      <c r="X450" s="112"/>
      <c r="Y450" s="112"/>
    </row>
    <row r="451" spans="5:25" ht="11.25" customHeight="1" x14ac:dyDescent="0.2">
      <c r="E451" s="147"/>
      <c r="F451" s="147"/>
      <c r="G451" s="112"/>
      <c r="K451" s="112"/>
      <c r="L451" s="112"/>
      <c r="R451" s="149"/>
      <c r="S451" s="149"/>
      <c r="X451" s="112"/>
      <c r="Y451" s="112"/>
    </row>
    <row r="452" spans="5:25" ht="11.25" customHeight="1" x14ac:dyDescent="0.2">
      <c r="E452" s="147"/>
      <c r="F452" s="147"/>
      <c r="G452" s="112"/>
      <c r="K452" s="112"/>
      <c r="L452" s="112"/>
      <c r="R452" s="149"/>
      <c r="S452" s="149"/>
      <c r="X452" s="112"/>
      <c r="Y452" s="112"/>
    </row>
    <row r="453" spans="5:25" ht="11.25" customHeight="1" x14ac:dyDescent="0.2">
      <c r="E453" s="147"/>
      <c r="F453" s="147"/>
      <c r="G453" s="112"/>
      <c r="K453" s="112"/>
      <c r="L453" s="112"/>
      <c r="R453" s="149"/>
      <c r="S453" s="149"/>
      <c r="X453" s="112"/>
      <c r="Y453" s="112"/>
    </row>
    <row r="454" spans="5:25" ht="11.25" customHeight="1" x14ac:dyDescent="0.2">
      <c r="E454" s="147"/>
      <c r="F454" s="147"/>
      <c r="G454" s="112"/>
      <c r="K454" s="112"/>
      <c r="L454" s="112"/>
      <c r="R454" s="149"/>
      <c r="S454" s="149"/>
      <c r="X454" s="112"/>
      <c r="Y454" s="112"/>
    </row>
    <row r="455" spans="5:25" ht="11.25" customHeight="1" x14ac:dyDescent="0.2">
      <c r="E455" s="147"/>
      <c r="F455" s="147"/>
      <c r="G455" s="112"/>
      <c r="K455" s="112"/>
      <c r="L455" s="112"/>
      <c r="R455" s="149"/>
      <c r="S455" s="149"/>
      <c r="X455" s="112"/>
      <c r="Y455" s="112"/>
    </row>
    <row r="456" spans="5:25" ht="11.25" customHeight="1" x14ac:dyDescent="0.2">
      <c r="E456" s="147"/>
      <c r="F456" s="147"/>
      <c r="G456" s="112"/>
      <c r="K456" s="112"/>
      <c r="L456" s="112"/>
      <c r="R456" s="149"/>
      <c r="S456" s="149"/>
      <c r="X456" s="112"/>
      <c r="Y456" s="112"/>
    </row>
    <row r="457" spans="5:25" ht="11.25" customHeight="1" x14ac:dyDescent="0.2">
      <c r="E457" s="147"/>
      <c r="F457" s="147"/>
      <c r="G457" s="112"/>
      <c r="K457" s="112"/>
      <c r="L457" s="112"/>
      <c r="R457" s="149"/>
      <c r="S457" s="149"/>
      <c r="X457" s="112"/>
      <c r="Y457" s="112"/>
    </row>
    <row r="458" spans="5:25" ht="11.25" customHeight="1" x14ac:dyDescent="0.2">
      <c r="E458" s="147"/>
      <c r="F458" s="147"/>
      <c r="G458" s="112"/>
      <c r="K458" s="112"/>
      <c r="L458" s="112"/>
      <c r="R458" s="149"/>
      <c r="S458" s="149"/>
      <c r="X458" s="112"/>
      <c r="Y458" s="112"/>
    </row>
    <row r="459" spans="5:25" ht="11.25" customHeight="1" x14ac:dyDescent="0.2">
      <c r="E459" s="147"/>
      <c r="F459" s="147"/>
      <c r="G459" s="112"/>
      <c r="K459" s="112"/>
      <c r="L459" s="112"/>
      <c r="R459" s="149"/>
      <c r="S459" s="149"/>
      <c r="X459" s="112"/>
      <c r="Y459" s="112"/>
    </row>
    <row r="460" spans="5:25" ht="11.25" customHeight="1" x14ac:dyDescent="0.2">
      <c r="E460" s="147"/>
      <c r="F460" s="147"/>
      <c r="G460" s="112"/>
      <c r="K460" s="112"/>
      <c r="L460" s="112"/>
      <c r="R460" s="149"/>
      <c r="S460" s="149"/>
      <c r="X460" s="112"/>
      <c r="Y460" s="112"/>
    </row>
    <row r="461" spans="5:25" ht="11.25" customHeight="1" x14ac:dyDescent="0.2">
      <c r="E461" s="147"/>
      <c r="F461" s="147"/>
      <c r="G461" s="112"/>
      <c r="K461" s="112"/>
      <c r="L461" s="112"/>
      <c r="R461" s="149"/>
      <c r="S461" s="149"/>
      <c r="X461" s="112"/>
      <c r="Y461" s="112"/>
    </row>
    <row r="462" spans="5:25" ht="11.25" customHeight="1" x14ac:dyDescent="0.2">
      <c r="E462" s="147"/>
      <c r="F462" s="147"/>
      <c r="G462" s="112"/>
      <c r="K462" s="112"/>
      <c r="L462" s="112"/>
      <c r="R462" s="149"/>
      <c r="S462" s="149"/>
      <c r="X462" s="112"/>
      <c r="Y462" s="112"/>
    </row>
    <row r="463" spans="5:25" ht="11.25" customHeight="1" x14ac:dyDescent="0.2">
      <c r="E463" s="147"/>
      <c r="F463" s="147"/>
      <c r="G463" s="112"/>
      <c r="K463" s="112"/>
      <c r="L463" s="112"/>
      <c r="R463" s="149"/>
      <c r="S463" s="149"/>
      <c r="X463" s="112"/>
      <c r="Y463" s="112"/>
    </row>
    <row r="464" spans="5:25" ht="11.25" customHeight="1" x14ac:dyDescent="0.2">
      <c r="E464" s="147"/>
      <c r="F464" s="147"/>
      <c r="G464" s="112"/>
      <c r="K464" s="112"/>
      <c r="L464" s="112"/>
      <c r="R464" s="149"/>
      <c r="S464" s="149"/>
      <c r="X464" s="112"/>
      <c r="Y464" s="112"/>
    </row>
    <row r="465" spans="5:25" ht="11.25" customHeight="1" x14ac:dyDescent="0.2">
      <c r="E465" s="147"/>
      <c r="F465" s="147"/>
      <c r="G465" s="112"/>
      <c r="K465" s="112"/>
      <c r="L465" s="112"/>
      <c r="R465" s="149"/>
      <c r="S465" s="149"/>
      <c r="X465" s="112"/>
      <c r="Y465" s="112"/>
    </row>
    <row r="466" spans="5:25" ht="11.25" customHeight="1" x14ac:dyDescent="0.2">
      <c r="E466" s="147"/>
      <c r="F466" s="147"/>
      <c r="G466" s="112"/>
      <c r="K466" s="112"/>
      <c r="L466" s="112"/>
      <c r="R466" s="149"/>
      <c r="S466" s="149"/>
      <c r="X466" s="112"/>
      <c r="Y466" s="112"/>
    </row>
    <row r="467" spans="5:25" ht="11.25" customHeight="1" x14ac:dyDescent="0.2">
      <c r="E467" s="147"/>
      <c r="F467" s="147"/>
      <c r="G467" s="112"/>
      <c r="K467" s="112"/>
      <c r="L467" s="112"/>
      <c r="R467" s="149"/>
      <c r="S467" s="149"/>
      <c r="X467" s="112"/>
      <c r="Y467" s="112"/>
    </row>
    <row r="468" spans="5:25" ht="11.25" customHeight="1" x14ac:dyDescent="0.2">
      <c r="E468" s="147"/>
      <c r="F468" s="147"/>
      <c r="G468" s="112"/>
      <c r="K468" s="112"/>
      <c r="L468" s="112"/>
      <c r="R468" s="149"/>
      <c r="S468" s="149"/>
      <c r="X468" s="112"/>
      <c r="Y468" s="112"/>
    </row>
    <row r="469" spans="5:25" ht="11.25" customHeight="1" x14ac:dyDescent="0.2">
      <c r="E469" s="147"/>
      <c r="F469" s="147"/>
      <c r="G469" s="112"/>
      <c r="K469" s="112"/>
      <c r="L469" s="112"/>
      <c r="R469" s="149"/>
      <c r="S469" s="149"/>
      <c r="X469" s="112"/>
      <c r="Y469" s="112"/>
    </row>
    <row r="470" spans="5:25" ht="11.25" customHeight="1" x14ac:dyDescent="0.2">
      <c r="E470" s="147"/>
      <c r="F470" s="147"/>
      <c r="G470" s="112"/>
      <c r="K470" s="112"/>
      <c r="L470" s="112"/>
      <c r="R470" s="149"/>
      <c r="S470" s="149"/>
      <c r="X470" s="112"/>
      <c r="Y470" s="112"/>
    </row>
    <row r="471" spans="5:25" ht="11.25" customHeight="1" x14ac:dyDescent="0.2">
      <c r="E471" s="147"/>
      <c r="F471" s="147"/>
      <c r="G471" s="112"/>
      <c r="K471" s="112"/>
      <c r="L471" s="112"/>
      <c r="R471" s="149"/>
      <c r="S471" s="149"/>
      <c r="X471" s="112"/>
      <c r="Y471" s="112"/>
    </row>
    <row r="472" spans="5:25" ht="11.25" customHeight="1" x14ac:dyDescent="0.2">
      <c r="E472" s="147"/>
      <c r="F472" s="147"/>
      <c r="G472" s="112"/>
      <c r="K472" s="112"/>
      <c r="L472" s="112"/>
      <c r="R472" s="149"/>
      <c r="S472" s="149"/>
      <c r="X472" s="112"/>
      <c r="Y472" s="112"/>
    </row>
    <row r="473" spans="5:25" ht="11.25" customHeight="1" x14ac:dyDescent="0.2">
      <c r="E473" s="147"/>
      <c r="F473" s="147"/>
      <c r="G473" s="112"/>
      <c r="K473" s="112"/>
      <c r="L473" s="112"/>
      <c r="R473" s="149"/>
      <c r="S473" s="149"/>
      <c r="X473" s="112"/>
      <c r="Y473" s="112"/>
    </row>
    <row r="474" spans="5:25" ht="11.25" customHeight="1" x14ac:dyDescent="0.2">
      <c r="E474" s="147"/>
      <c r="F474" s="147"/>
      <c r="G474" s="112"/>
      <c r="K474" s="112"/>
      <c r="L474" s="112"/>
      <c r="R474" s="149"/>
      <c r="S474" s="149"/>
      <c r="X474" s="112"/>
      <c r="Y474" s="112"/>
    </row>
    <row r="475" spans="5:25" ht="11.25" customHeight="1" x14ac:dyDescent="0.2">
      <c r="E475" s="147"/>
      <c r="F475" s="147"/>
      <c r="G475" s="112"/>
      <c r="K475" s="112"/>
      <c r="L475" s="112"/>
      <c r="R475" s="149"/>
      <c r="S475" s="149"/>
      <c r="X475" s="112"/>
      <c r="Y475" s="112"/>
    </row>
    <row r="476" spans="5:25" ht="11.25" customHeight="1" x14ac:dyDescent="0.2">
      <c r="E476" s="147"/>
      <c r="F476" s="147"/>
      <c r="G476" s="112"/>
      <c r="K476" s="112"/>
      <c r="L476" s="112"/>
      <c r="R476" s="149"/>
      <c r="S476" s="149"/>
      <c r="X476" s="112"/>
      <c r="Y476" s="112"/>
    </row>
    <row r="477" spans="5:25" ht="11.25" customHeight="1" x14ac:dyDescent="0.2">
      <c r="E477" s="147"/>
      <c r="F477" s="147"/>
      <c r="G477" s="112"/>
      <c r="K477" s="112"/>
      <c r="L477" s="112"/>
      <c r="R477" s="149"/>
      <c r="S477" s="149"/>
      <c r="X477" s="112"/>
      <c r="Y477" s="112"/>
    </row>
    <row r="478" spans="5:25" ht="11.25" customHeight="1" x14ac:dyDescent="0.2">
      <c r="E478" s="147"/>
      <c r="F478" s="147"/>
      <c r="G478" s="112"/>
      <c r="K478" s="112"/>
      <c r="L478" s="112"/>
      <c r="R478" s="149"/>
      <c r="S478" s="149"/>
      <c r="X478" s="112"/>
      <c r="Y478" s="112"/>
    </row>
    <row r="479" spans="5:25" ht="11.25" customHeight="1" x14ac:dyDescent="0.2">
      <c r="E479" s="147"/>
      <c r="F479" s="147"/>
      <c r="G479" s="112"/>
      <c r="K479" s="112"/>
      <c r="L479" s="112"/>
      <c r="R479" s="149"/>
      <c r="S479" s="149"/>
      <c r="X479" s="112"/>
      <c r="Y479" s="112"/>
    </row>
    <row r="480" spans="5:25" ht="11.25" customHeight="1" x14ac:dyDescent="0.2">
      <c r="E480" s="147"/>
      <c r="F480" s="147"/>
      <c r="G480" s="112"/>
      <c r="K480" s="112"/>
      <c r="L480" s="112"/>
      <c r="R480" s="149"/>
      <c r="S480" s="149"/>
      <c r="V480" s="112"/>
      <c r="X480" s="112"/>
      <c r="Y480" s="112"/>
    </row>
    <row r="481" spans="5:25" ht="11.25" customHeight="1" x14ac:dyDescent="0.2">
      <c r="E481" s="147"/>
      <c r="F481" s="147"/>
      <c r="G481" s="112"/>
      <c r="K481" s="112"/>
      <c r="L481" s="112"/>
      <c r="R481" s="149"/>
      <c r="S481" s="149"/>
      <c r="V481" s="112"/>
      <c r="X481" s="112"/>
      <c r="Y481" s="112"/>
    </row>
    <row r="482" spans="5:25" ht="11.25" customHeight="1" x14ac:dyDescent="0.2">
      <c r="E482" s="147"/>
      <c r="F482" s="147"/>
      <c r="G482" s="112"/>
      <c r="K482" s="112"/>
      <c r="L482" s="112"/>
      <c r="R482" s="149"/>
      <c r="S482" s="149"/>
      <c r="V482" s="112"/>
      <c r="X482" s="112"/>
      <c r="Y482" s="112"/>
    </row>
    <row r="483" spans="5:25" ht="11.25" customHeight="1" x14ac:dyDescent="0.2">
      <c r="E483" s="147"/>
      <c r="F483" s="147"/>
      <c r="G483" s="112"/>
      <c r="K483" s="112"/>
      <c r="L483" s="112"/>
      <c r="R483" s="149"/>
      <c r="S483" s="149"/>
      <c r="V483" s="112"/>
      <c r="X483" s="112"/>
      <c r="Y483" s="112"/>
    </row>
    <row r="484" spans="5:25" ht="11.25" customHeight="1" x14ac:dyDescent="0.2">
      <c r="E484" s="147"/>
      <c r="F484" s="147"/>
      <c r="G484" s="112"/>
      <c r="K484" s="112"/>
      <c r="L484" s="112"/>
      <c r="R484" s="149"/>
      <c r="S484" s="149"/>
      <c r="V484" s="112"/>
      <c r="X484" s="112"/>
      <c r="Y484" s="112"/>
    </row>
    <row r="485" spans="5:25" ht="11.25" customHeight="1" x14ac:dyDescent="0.2">
      <c r="E485" s="147"/>
      <c r="F485" s="147"/>
      <c r="G485" s="112"/>
      <c r="K485" s="112"/>
      <c r="L485" s="112"/>
      <c r="R485" s="149"/>
      <c r="S485" s="149"/>
      <c r="V485" s="112"/>
      <c r="X485" s="112"/>
      <c r="Y485" s="112"/>
    </row>
    <row r="486" spans="5:25" ht="11.25" customHeight="1" x14ac:dyDescent="0.2">
      <c r="E486" s="147"/>
      <c r="F486" s="147"/>
      <c r="G486" s="112"/>
      <c r="K486" s="112"/>
      <c r="L486" s="112"/>
      <c r="R486" s="149"/>
      <c r="S486" s="149"/>
      <c r="V486" s="112"/>
      <c r="X486" s="112"/>
      <c r="Y486" s="112"/>
    </row>
    <row r="487" spans="5:25" ht="11.25" customHeight="1" x14ac:dyDescent="0.2">
      <c r="E487" s="147"/>
      <c r="F487" s="147"/>
      <c r="G487" s="112"/>
      <c r="K487" s="112"/>
      <c r="L487" s="112"/>
      <c r="R487" s="149"/>
      <c r="S487" s="149"/>
      <c r="V487" s="112"/>
      <c r="X487" s="112"/>
      <c r="Y487" s="112"/>
    </row>
    <row r="488" spans="5:25" ht="11.25" customHeight="1" x14ac:dyDescent="0.2">
      <c r="E488" s="147"/>
      <c r="F488" s="147"/>
      <c r="G488" s="112"/>
      <c r="K488" s="112"/>
      <c r="L488" s="112"/>
      <c r="R488" s="149"/>
      <c r="S488" s="149"/>
      <c r="V488" s="112"/>
      <c r="X488" s="112"/>
      <c r="Y488" s="112"/>
    </row>
    <row r="489" spans="5:25" ht="11.25" customHeight="1" x14ac:dyDescent="0.2">
      <c r="E489" s="147"/>
      <c r="F489" s="147"/>
      <c r="G489" s="112"/>
      <c r="K489" s="112"/>
      <c r="L489" s="112"/>
      <c r="R489" s="149"/>
      <c r="S489" s="149"/>
      <c r="V489" s="112"/>
      <c r="X489" s="112"/>
      <c r="Y489" s="112"/>
    </row>
    <row r="490" spans="5:25" ht="11.25" customHeight="1" x14ac:dyDescent="0.2">
      <c r="E490" s="147"/>
      <c r="F490" s="147"/>
      <c r="G490" s="112"/>
      <c r="K490" s="112"/>
      <c r="L490" s="112"/>
      <c r="R490" s="149"/>
      <c r="S490" s="149"/>
      <c r="V490" s="112"/>
      <c r="X490" s="112"/>
      <c r="Y490" s="112"/>
    </row>
    <row r="491" spans="5:25" ht="11.25" customHeight="1" x14ac:dyDescent="0.2">
      <c r="E491" s="147"/>
      <c r="F491" s="147"/>
      <c r="G491" s="112"/>
      <c r="K491" s="112"/>
      <c r="L491" s="112"/>
      <c r="R491" s="149"/>
      <c r="S491" s="149"/>
      <c r="V491" s="112"/>
      <c r="X491" s="112"/>
      <c r="Y491" s="112"/>
    </row>
    <row r="492" spans="5:25" ht="11.25" customHeight="1" x14ac:dyDescent="0.2">
      <c r="E492" s="147"/>
      <c r="F492" s="147"/>
      <c r="G492" s="112"/>
      <c r="K492" s="112"/>
      <c r="L492" s="112"/>
      <c r="R492" s="149"/>
      <c r="S492" s="149"/>
      <c r="V492" s="112"/>
      <c r="X492" s="112"/>
      <c r="Y492" s="112"/>
    </row>
    <row r="493" spans="5:25" ht="11.25" customHeight="1" x14ac:dyDescent="0.2">
      <c r="E493" s="147"/>
      <c r="F493" s="147"/>
      <c r="G493" s="112"/>
      <c r="K493" s="112"/>
      <c r="L493" s="112"/>
      <c r="R493" s="149"/>
      <c r="S493" s="149"/>
      <c r="V493" s="112"/>
      <c r="X493" s="112"/>
      <c r="Y493" s="112"/>
    </row>
    <row r="494" spans="5:25" ht="11.25" customHeight="1" x14ac:dyDescent="0.2">
      <c r="E494" s="147"/>
      <c r="F494" s="147"/>
      <c r="G494" s="112"/>
      <c r="K494" s="112"/>
      <c r="L494" s="112"/>
      <c r="R494" s="149"/>
      <c r="S494" s="149"/>
      <c r="V494" s="112"/>
      <c r="X494" s="112"/>
      <c r="Y494" s="112"/>
    </row>
    <row r="495" spans="5:25" ht="11.25" customHeight="1" x14ac:dyDescent="0.2">
      <c r="E495" s="147"/>
      <c r="F495" s="147"/>
      <c r="G495" s="112"/>
      <c r="K495" s="112"/>
      <c r="L495" s="112"/>
      <c r="R495" s="149"/>
      <c r="S495" s="149"/>
      <c r="V495" s="112"/>
      <c r="X495" s="112"/>
      <c r="Y495" s="112"/>
    </row>
    <row r="496" spans="5:25" ht="11.25" customHeight="1" x14ac:dyDescent="0.2">
      <c r="E496" s="147"/>
      <c r="F496" s="147"/>
      <c r="G496" s="112"/>
      <c r="K496" s="112"/>
      <c r="L496" s="112"/>
      <c r="R496" s="149"/>
      <c r="S496" s="149"/>
      <c r="V496" s="112"/>
      <c r="X496" s="112"/>
      <c r="Y496" s="112"/>
    </row>
    <row r="497" spans="5:25" ht="11.25" customHeight="1" x14ac:dyDescent="0.2">
      <c r="E497" s="147"/>
      <c r="F497" s="147"/>
      <c r="G497" s="112"/>
      <c r="K497" s="112"/>
      <c r="L497" s="112"/>
      <c r="R497" s="149"/>
      <c r="S497" s="149"/>
      <c r="V497" s="112"/>
      <c r="X497" s="112"/>
      <c r="Y497" s="112"/>
    </row>
    <row r="498" spans="5:25" ht="11.25" customHeight="1" x14ac:dyDescent="0.2">
      <c r="E498" s="147"/>
      <c r="F498" s="147"/>
      <c r="G498" s="112"/>
      <c r="K498" s="112"/>
      <c r="L498" s="112"/>
      <c r="R498" s="149"/>
      <c r="S498" s="149"/>
      <c r="V498" s="112"/>
      <c r="X498" s="112"/>
      <c r="Y498" s="112"/>
    </row>
    <row r="499" spans="5:25" ht="11.25" customHeight="1" x14ac:dyDescent="0.2">
      <c r="E499" s="147"/>
      <c r="F499" s="147"/>
      <c r="G499" s="112"/>
      <c r="K499" s="112"/>
      <c r="L499" s="112"/>
      <c r="R499" s="149"/>
      <c r="S499" s="149"/>
      <c r="V499" s="112"/>
      <c r="X499" s="112"/>
      <c r="Y499" s="112"/>
    </row>
    <row r="500" spans="5:25" ht="11.25" customHeight="1" x14ac:dyDescent="0.2">
      <c r="E500" s="147"/>
      <c r="F500" s="147"/>
      <c r="G500" s="112"/>
      <c r="K500" s="112"/>
      <c r="L500" s="112"/>
      <c r="R500" s="149"/>
      <c r="S500" s="149"/>
      <c r="V500" s="112"/>
      <c r="X500" s="112"/>
      <c r="Y500" s="112"/>
    </row>
    <row r="501" spans="5:25" ht="11.25" customHeight="1" x14ac:dyDescent="0.2">
      <c r="E501" s="147"/>
      <c r="F501" s="147"/>
      <c r="G501" s="112"/>
      <c r="K501" s="112"/>
      <c r="L501" s="112"/>
      <c r="R501" s="149"/>
      <c r="S501" s="149"/>
      <c r="V501" s="112"/>
      <c r="X501" s="112"/>
      <c r="Y501" s="112"/>
    </row>
    <row r="502" spans="5:25" ht="11.25" customHeight="1" x14ac:dyDescent="0.2">
      <c r="E502" s="147"/>
      <c r="F502" s="147"/>
      <c r="G502" s="112"/>
      <c r="K502" s="112"/>
      <c r="L502" s="112"/>
      <c r="R502" s="149"/>
      <c r="S502" s="149"/>
      <c r="V502" s="112"/>
      <c r="X502" s="112"/>
      <c r="Y502" s="112"/>
    </row>
    <row r="503" spans="5:25" ht="11.25" customHeight="1" x14ac:dyDescent="0.2">
      <c r="E503" s="147"/>
      <c r="F503" s="147"/>
      <c r="G503" s="112"/>
      <c r="K503" s="112"/>
      <c r="L503" s="112"/>
      <c r="R503" s="149"/>
      <c r="S503" s="149"/>
      <c r="V503" s="112"/>
      <c r="X503" s="112"/>
      <c r="Y503" s="112"/>
    </row>
    <row r="504" spans="5:25" ht="11.25" customHeight="1" x14ac:dyDescent="0.2">
      <c r="E504" s="147"/>
      <c r="F504" s="147"/>
      <c r="G504" s="112"/>
      <c r="K504" s="112"/>
      <c r="L504" s="112"/>
      <c r="R504" s="149"/>
      <c r="S504" s="149"/>
      <c r="V504" s="112"/>
      <c r="X504" s="112"/>
      <c r="Y504" s="112"/>
    </row>
    <row r="505" spans="5:25" ht="11.25" customHeight="1" x14ac:dyDescent="0.2">
      <c r="E505" s="147"/>
      <c r="F505" s="147"/>
      <c r="G505" s="112"/>
      <c r="K505" s="112"/>
      <c r="L505" s="112"/>
      <c r="R505" s="149"/>
      <c r="S505" s="149"/>
      <c r="V505" s="112"/>
      <c r="X505" s="112"/>
      <c r="Y505" s="112"/>
    </row>
    <row r="506" spans="5:25" ht="11.25" customHeight="1" x14ac:dyDescent="0.2">
      <c r="E506" s="147"/>
      <c r="F506" s="147"/>
      <c r="G506" s="112"/>
      <c r="K506" s="112"/>
      <c r="L506" s="112"/>
      <c r="R506" s="149"/>
      <c r="S506" s="149"/>
      <c r="V506" s="112"/>
      <c r="X506" s="112"/>
      <c r="Y506" s="112"/>
    </row>
    <row r="507" spans="5:25" ht="11.25" customHeight="1" x14ac:dyDescent="0.2">
      <c r="E507" s="147"/>
      <c r="F507" s="147"/>
      <c r="G507" s="112"/>
      <c r="K507" s="112"/>
      <c r="L507" s="112"/>
      <c r="R507" s="149"/>
      <c r="S507" s="149"/>
      <c r="V507" s="112"/>
      <c r="X507" s="112"/>
      <c r="Y507" s="112"/>
    </row>
    <row r="508" spans="5:25" ht="11.25" customHeight="1" x14ac:dyDescent="0.2">
      <c r="E508" s="147"/>
      <c r="F508" s="147"/>
      <c r="G508" s="112"/>
      <c r="K508" s="112"/>
      <c r="L508" s="112"/>
      <c r="R508" s="149"/>
      <c r="S508" s="149"/>
      <c r="V508" s="112"/>
      <c r="X508" s="112"/>
      <c r="Y508" s="112"/>
    </row>
    <row r="509" spans="5:25" ht="11.25" customHeight="1" x14ac:dyDescent="0.2">
      <c r="E509" s="147"/>
      <c r="F509" s="147"/>
      <c r="G509" s="112"/>
      <c r="K509" s="112"/>
      <c r="L509" s="112"/>
      <c r="R509" s="149"/>
      <c r="S509" s="149"/>
      <c r="V509" s="112"/>
      <c r="X509" s="112"/>
      <c r="Y509" s="112"/>
    </row>
    <row r="510" spans="5:25" ht="11.25" customHeight="1" x14ac:dyDescent="0.2">
      <c r="E510" s="147"/>
      <c r="F510" s="147"/>
      <c r="G510" s="112"/>
      <c r="K510" s="112"/>
      <c r="L510" s="112"/>
      <c r="R510" s="149"/>
      <c r="S510" s="149"/>
      <c r="V510" s="112"/>
      <c r="X510" s="112"/>
      <c r="Y510" s="112"/>
    </row>
    <row r="511" spans="5:25" ht="11.25" customHeight="1" x14ac:dyDescent="0.2">
      <c r="E511" s="147"/>
      <c r="F511" s="147"/>
      <c r="G511" s="112"/>
      <c r="K511" s="112"/>
      <c r="L511" s="112"/>
      <c r="R511" s="149"/>
      <c r="S511" s="149"/>
      <c r="V511" s="112"/>
      <c r="X511" s="112"/>
      <c r="Y511" s="112"/>
    </row>
    <row r="512" spans="5:25" ht="11.25" customHeight="1" x14ac:dyDescent="0.2">
      <c r="E512" s="147"/>
      <c r="F512" s="147"/>
      <c r="G512" s="112"/>
      <c r="K512" s="112"/>
      <c r="L512" s="112"/>
      <c r="R512" s="149"/>
      <c r="S512" s="149"/>
      <c r="V512" s="112"/>
      <c r="X512" s="112"/>
      <c r="Y512" s="112"/>
    </row>
    <row r="513" spans="5:25" ht="11.25" customHeight="1" x14ac:dyDescent="0.2">
      <c r="E513" s="147"/>
      <c r="F513" s="147"/>
      <c r="G513" s="112"/>
      <c r="K513" s="112"/>
      <c r="L513" s="112"/>
      <c r="R513" s="149"/>
      <c r="S513" s="149"/>
      <c r="V513" s="112"/>
      <c r="X513" s="112"/>
      <c r="Y513" s="112"/>
    </row>
    <row r="514" spans="5:25" ht="11.25" customHeight="1" x14ac:dyDescent="0.2">
      <c r="E514" s="147"/>
      <c r="F514" s="147"/>
      <c r="G514" s="112"/>
      <c r="K514" s="112"/>
      <c r="L514" s="112"/>
      <c r="R514" s="149"/>
      <c r="S514" s="149"/>
      <c r="V514" s="112"/>
      <c r="X514" s="112"/>
      <c r="Y514" s="112"/>
    </row>
    <row r="515" spans="5:25" ht="11.25" customHeight="1" x14ac:dyDescent="0.2">
      <c r="E515" s="147"/>
      <c r="F515" s="147"/>
      <c r="G515" s="112"/>
      <c r="K515" s="112"/>
      <c r="L515" s="112"/>
      <c r="R515" s="149"/>
      <c r="S515" s="149"/>
      <c r="V515" s="112"/>
      <c r="X515" s="112"/>
      <c r="Y515" s="112"/>
    </row>
    <row r="516" spans="5:25" ht="11.25" customHeight="1" x14ac:dyDescent="0.2">
      <c r="E516" s="147"/>
      <c r="F516" s="147"/>
      <c r="G516" s="112"/>
      <c r="K516" s="112"/>
      <c r="L516" s="112"/>
      <c r="R516" s="149"/>
      <c r="S516" s="149"/>
      <c r="V516" s="112"/>
      <c r="X516" s="112"/>
      <c r="Y516" s="112"/>
    </row>
    <row r="517" spans="5:25" ht="11.25" customHeight="1" x14ac:dyDescent="0.2">
      <c r="E517" s="147"/>
      <c r="F517" s="147"/>
      <c r="G517" s="112"/>
      <c r="K517" s="112"/>
      <c r="L517" s="112"/>
      <c r="R517" s="149"/>
      <c r="S517" s="149"/>
      <c r="V517" s="112"/>
      <c r="X517" s="112"/>
      <c r="Y517" s="112"/>
    </row>
    <row r="518" spans="5:25" ht="11.25" customHeight="1" x14ac:dyDescent="0.2">
      <c r="E518" s="147"/>
      <c r="F518" s="147"/>
      <c r="G518" s="112"/>
      <c r="K518" s="112"/>
      <c r="L518" s="112"/>
      <c r="R518" s="149"/>
      <c r="S518" s="149"/>
      <c r="V518" s="112"/>
      <c r="X518" s="112"/>
      <c r="Y518" s="112"/>
    </row>
    <row r="519" spans="5:25" ht="11.25" customHeight="1" x14ac:dyDescent="0.2">
      <c r="E519" s="147"/>
      <c r="F519" s="147"/>
      <c r="G519" s="112"/>
      <c r="K519" s="112"/>
      <c r="L519" s="112"/>
      <c r="R519" s="149"/>
      <c r="S519" s="149"/>
      <c r="V519" s="112"/>
      <c r="X519" s="112"/>
      <c r="Y519" s="112"/>
    </row>
    <row r="520" spans="5:25" ht="11.25" customHeight="1" x14ac:dyDescent="0.2">
      <c r="E520" s="147"/>
      <c r="F520" s="147"/>
      <c r="G520" s="112"/>
      <c r="K520" s="112"/>
      <c r="L520" s="112"/>
      <c r="R520" s="149"/>
      <c r="S520" s="149"/>
      <c r="V520" s="112"/>
      <c r="X520" s="112"/>
      <c r="Y520" s="112"/>
    </row>
    <row r="521" spans="5:25" ht="11.25" customHeight="1" x14ac:dyDescent="0.2">
      <c r="E521" s="147"/>
      <c r="F521" s="147"/>
      <c r="G521" s="112"/>
      <c r="K521" s="112"/>
      <c r="L521" s="112"/>
      <c r="R521" s="149"/>
      <c r="S521" s="149"/>
      <c r="V521" s="112"/>
      <c r="X521" s="112"/>
      <c r="Y521" s="112"/>
    </row>
    <row r="522" spans="5:25" ht="11.25" customHeight="1" x14ac:dyDescent="0.2">
      <c r="E522" s="147"/>
      <c r="F522" s="147"/>
      <c r="G522" s="112"/>
      <c r="K522" s="112"/>
      <c r="L522" s="112"/>
      <c r="R522" s="149"/>
      <c r="S522" s="149"/>
      <c r="V522" s="112"/>
      <c r="X522" s="112"/>
      <c r="Y522" s="112"/>
    </row>
    <row r="523" spans="5:25" ht="11.25" customHeight="1" x14ac:dyDescent="0.2">
      <c r="E523" s="147"/>
      <c r="F523" s="147"/>
      <c r="G523" s="112"/>
      <c r="K523" s="112"/>
      <c r="L523" s="112"/>
      <c r="R523" s="149"/>
      <c r="S523" s="149"/>
      <c r="V523" s="112"/>
      <c r="X523" s="112"/>
      <c r="Y523" s="112"/>
    </row>
    <row r="524" spans="5:25" ht="11.25" customHeight="1" x14ac:dyDescent="0.2">
      <c r="E524" s="147"/>
      <c r="F524" s="147"/>
      <c r="G524" s="112"/>
      <c r="K524" s="112"/>
      <c r="L524" s="112"/>
      <c r="R524" s="149"/>
      <c r="S524" s="149"/>
      <c r="V524" s="112"/>
      <c r="X524" s="112"/>
      <c r="Y524" s="112"/>
    </row>
    <row r="525" spans="5:25" ht="11.25" customHeight="1" x14ac:dyDescent="0.2">
      <c r="E525" s="147"/>
      <c r="F525" s="147"/>
      <c r="G525" s="112"/>
      <c r="K525" s="112"/>
      <c r="L525" s="112"/>
      <c r="R525" s="149"/>
      <c r="S525" s="149"/>
      <c r="V525" s="112"/>
      <c r="X525" s="112"/>
      <c r="Y525" s="112"/>
    </row>
    <row r="526" spans="5:25" ht="11.25" customHeight="1" x14ac:dyDescent="0.2">
      <c r="E526" s="147"/>
      <c r="F526" s="147"/>
      <c r="G526" s="112"/>
      <c r="K526" s="112"/>
      <c r="L526" s="112"/>
      <c r="R526" s="149"/>
      <c r="S526" s="149"/>
      <c r="V526" s="112"/>
      <c r="X526" s="112"/>
      <c r="Y526" s="112"/>
    </row>
    <row r="527" spans="5:25" ht="11.25" customHeight="1" x14ac:dyDescent="0.2">
      <c r="E527" s="147"/>
      <c r="F527" s="147"/>
      <c r="G527" s="112"/>
      <c r="K527" s="112"/>
      <c r="L527" s="112"/>
      <c r="R527" s="149"/>
      <c r="S527" s="149"/>
      <c r="V527" s="112"/>
      <c r="X527" s="112"/>
      <c r="Y527" s="112"/>
    </row>
    <row r="528" spans="5:25" ht="11.25" customHeight="1" x14ac:dyDescent="0.2">
      <c r="E528" s="147"/>
      <c r="F528" s="147"/>
      <c r="G528" s="112"/>
      <c r="K528" s="112"/>
      <c r="L528" s="112"/>
      <c r="R528" s="149"/>
      <c r="S528" s="149"/>
      <c r="V528" s="112"/>
      <c r="X528" s="112"/>
      <c r="Y528" s="112"/>
    </row>
    <row r="529" spans="5:25" ht="11.25" customHeight="1" x14ac:dyDescent="0.2">
      <c r="E529" s="147"/>
      <c r="F529" s="147"/>
      <c r="G529" s="112"/>
      <c r="K529" s="112"/>
      <c r="L529" s="112"/>
      <c r="R529" s="149"/>
      <c r="S529" s="149"/>
      <c r="V529" s="112"/>
      <c r="X529" s="112"/>
      <c r="Y529" s="112"/>
    </row>
    <row r="530" spans="5:25" ht="11.25" customHeight="1" x14ac:dyDescent="0.2">
      <c r="E530" s="147"/>
      <c r="F530" s="147"/>
      <c r="G530" s="112"/>
      <c r="K530" s="112"/>
      <c r="L530" s="112"/>
      <c r="R530" s="149"/>
      <c r="S530" s="149"/>
      <c r="V530" s="112"/>
      <c r="X530" s="112"/>
      <c r="Y530" s="112"/>
    </row>
    <row r="531" spans="5:25" ht="11.25" customHeight="1" x14ac:dyDescent="0.2">
      <c r="E531" s="147"/>
      <c r="F531" s="147"/>
      <c r="G531" s="112"/>
      <c r="K531" s="112"/>
      <c r="L531" s="112"/>
      <c r="R531" s="149"/>
      <c r="S531" s="149"/>
      <c r="V531" s="112"/>
      <c r="X531" s="112"/>
      <c r="Y531" s="112"/>
    </row>
    <row r="532" spans="5:25" ht="11.25" customHeight="1" x14ac:dyDescent="0.2">
      <c r="E532" s="147"/>
      <c r="F532" s="147"/>
      <c r="G532" s="112"/>
      <c r="K532" s="112"/>
      <c r="L532" s="112"/>
      <c r="R532" s="149"/>
      <c r="S532" s="149"/>
      <c r="V532" s="112"/>
      <c r="X532" s="112"/>
      <c r="Y532" s="112"/>
    </row>
    <row r="533" spans="5:25" ht="11.25" customHeight="1" x14ac:dyDescent="0.2">
      <c r="E533" s="147"/>
      <c r="F533" s="147"/>
      <c r="G533" s="112"/>
      <c r="K533" s="112"/>
      <c r="L533" s="112"/>
      <c r="R533" s="149"/>
      <c r="S533" s="149"/>
      <c r="V533" s="112"/>
      <c r="X533" s="112"/>
      <c r="Y533" s="112"/>
    </row>
    <row r="534" spans="5:25" ht="11.25" customHeight="1" x14ac:dyDescent="0.2">
      <c r="E534" s="147"/>
      <c r="F534" s="147"/>
      <c r="G534" s="112"/>
      <c r="K534" s="112"/>
      <c r="L534" s="112"/>
      <c r="R534" s="149"/>
      <c r="S534" s="149"/>
      <c r="V534" s="112"/>
      <c r="X534" s="112"/>
      <c r="Y534" s="112"/>
    </row>
    <row r="535" spans="5:25" ht="11.25" customHeight="1" x14ac:dyDescent="0.2">
      <c r="E535" s="147"/>
      <c r="F535" s="147"/>
      <c r="G535" s="112"/>
      <c r="K535" s="112"/>
      <c r="L535" s="112"/>
      <c r="V535" s="112"/>
      <c r="X535" s="112"/>
      <c r="Y535" s="112"/>
    </row>
    <row r="536" spans="5:25" ht="11.25" customHeight="1" x14ac:dyDescent="0.2">
      <c r="E536" s="147"/>
      <c r="F536" s="147"/>
      <c r="G536" s="112"/>
      <c r="K536" s="112"/>
      <c r="L536" s="112"/>
      <c r="V536" s="112"/>
      <c r="X536" s="112"/>
      <c r="Y536" s="112"/>
    </row>
    <row r="537" spans="5:25" ht="11.25" customHeight="1" x14ac:dyDescent="0.2">
      <c r="E537" s="147"/>
      <c r="F537" s="147"/>
      <c r="G537" s="112"/>
      <c r="K537" s="112"/>
      <c r="L537" s="112"/>
      <c r="V537" s="112"/>
      <c r="X537" s="112"/>
      <c r="Y537" s="112"/>
    </row>
    <row r="538" spans="5:25" ht="11.25" customHeight="1" x14ac:dyDescent="0.2">
      <c r="E538" s="147"/>
      <c r="F538" s="147"/>
      <c r="G538" s="112"/>
      <c r="K538" s="112"/>
      <c r="L538" s="112"/>
      <c r="V538" s="112"/>
      <c r="X538" s="112"/>
      <c r="Y538" s="112"/>
    </row>
    <row r="539" spans="5:25" ht="11.25" customHeight="1" x14ac:dyDescent="0.2">
      <c r="E539" s="147"/>
      <c r="F539" s="147"/>
      <c r="G539" s="112"/>
      <c r="K539" s="112"/>
      <c r="L539" s="112"/>
      <c r="V539" s="112"/>
      <c r="X539" s="112"/>
      <c r="Y539" s="112"/>
    </row>
    <row r="540" spans="5:25" ht="11.25" customHeight="1" x14ac:dyDescent="0.2">
      <c r="E540" s="147"/>
      <c r="F540" s="147"/>
      <c r="G540" s="112"/>
      <c r="K540" s="112"/>
      <c r="L540" s="112"/>
      <c r="V540" s="112"/>
      <c r="X540" s="112"/>
      <c r="Y540" s="112"/>
    </row>
    <row r="541" spans="5:25" ht="11.25" customHeight="1" x14ac:dyDescent="0.2">
      <c r="E541" s="147"/>
      <c r="F541" s="147"/>
      <c r="G541" s="112"/>
      <c r="K541" s="112"/>
      <c r="L541" s="112"/>
      <c r="V541" s="112"/>
      <c r="X541" s="112"/>
      <c r="Y541" s="112"/>
    </row>
    <row r="542" spans="5:25" ht="11.25" customHeight="1" x14ac:dyDescent="0.2">
      <c r="E542" s="147"/>
      <c r="F542" s="147"/>
      <c r="G542" s="112"/>
      <c r="K542" s="112"/>
      <c r="L542" s="112"/>
      <c r="V542" s="112"/>
      <c r="X542" s="112"/>
      <c r="Y542" s="112"/>
    </row>
    <row r="543" spans="5:25" ht="11.25" customHeight="1" x14ac:dyDescent="0.2">
      <c r="E543" s="147"/>
      <c r="F543" s="147"/>
      <c r="G543" s="112"/>
      <c r="K543" s="112"/>
      <c r="L543" s="112"/>
      <c r="V543" s="112"/>
      <c r="X543" s="112"/>
      <c r="Y543" s="112"/>
    </row>
    <row r="544" spans="5:25" ht="11.25" customHeight="1" x14ac:dyDescent="0.2">
      <c r="E544" s="147"/>
      <c r="F544" s="147"/>
      <c r="G544" s="112"/>
      <c r="K544" s="112"/>
      <c r="L544" s="112"/>
      <c r="V544" s="112"/>
      <c r="X544" s="112"/>
      <c r="Y544" s="112"/>
    </row>
    <row r="545" spans="5:25" ht="11.25" customHeight="1" x14ac:dyDescent="0.2">
      <c r="E545" s="147"/>
      <c r="F545" s="147"/>
      <c r="G545" s="112"/>
      <c r="K545" s="112"/>
      <c r="L545" s="112"/>
      <c r="V545" s="112"/>
      <c r="X545" s="112"/>
      <c r="Y545" s="112"/>
    </row>
    <row r="546" spans="5:25" ht="11.25" customHeight="1" x14ac:dyDescent="0.2">
      <c r="E546" s="147"/>
      <c r="F546" s="147"/>
      <c r="G546" s="112"/>
      <c r="K546" s="112"/>
      <c r="L546" s="112"/>
      <c r="V546" s="112"/>
      <c r="X546" s="112"/>
      <c r="Y546" s="112"/>
    </row>
    <row r="547" spans="5:25" ht="11.25" customHeight="1" x14ac:dyDescent="0.2">
      <c r="E547" s="147"/>
      <c r="F547" s="147"/>
      <c r="G547" s="112"/>
      <c r="K547" s="112"/>
      <c r="L547" s="112"/>
      <c r="V547" s="112"/>
      <c r="X547" s="112"/>
      <c r="Y547" s="112"/>
    </row>
    <row r="548" spans="5:25" ht="11.25" customHeight="1" x14ac:dyDescent="0.2">
      <c r="E548" s="147"/>
      <c r="F548" s="147"/>
      <c r="G548" s="112"/>
      <c r="K548" s="112"/>
      <c r="L548" s="112"/>
      <c r="V548" s="112"/>
      <c r="X548" s="112"/>
      <c r="Y548" s="112"/>
    </row>
    <row r="549" spans="5:25" ht="11.25" customHeight="1" x14ac:dyDescent="0.2">
      <c r="E549" s="147"/>
      <c r="F549" s="147"/>
      <c r="G549" s="112"/>
      <c r="K549" s="112"/>
      <c r="L549" s="112"/>
      <c r="V549" s="112"/>
      <c r="X549" s="112"/>
      <c r="Y549" s="112"/>
    </row>
    <row r="550" spans="5:25" ht="11.25" customHeight="1" x14ac:dyDescent="0.2">
      <c r="E550" s="147"/>
      <c r="F550" s="147"/>
      <c r="G550" s="112"/>
      <c r="K550" s="112"/>
      <c r="L550" s="112"/>
      <c r="V550" s="112"/>
      <c r="X550" s="112"/>
      <c r="Y550" s="112"/>
    </row>
    <row r="551" spans="5:25" ht="11.25" customHeight="1" x14ac:dyDescent="0.2">
      <c r="E551" s="147"/>
      <c r="F551" s="147"/>
      <c r="G551" s="112"/>
      <c r="K551" s="112"/>
      <c r="L551" s="112"/>
      <c r="V551" s="112"/>
      <c r="X551" s="112"/>
      <c r="Y551" s="112"/>
    </row>
    <row r="552" spans="5:25" ht="11.25" customHeight="1" x14ac:dyDescent="0.2">
      <c r="E552" s="147"/>
      <c r="F552" s="147"/>
      <c r="G552" s="112"/>
      <c r="K552" s="112"/>
      <c r="L552" s="112"/>
      <c r="V552" s="112"/>
      <c r="X552" s="112"/>
      <c r="Y552" s="112"/>
    </row>
    <row r="553" spans="5:25" ht="11.25" customHeight="1" x14ac:dyDescent="0.2">
      <c r="E553" s="147"/>
      <c r="F553" s="147"/>
      <c r="G553" s="112"/>
      <c r="K553" s="112"/>
      <c r="L553" s="112"/>
      <c r="V553" s="112"/>
      <c r="X553" s="112"/>
      <c r="Y553" s="112"/>
    </row>
    <row r="554" spans="5:25" ht="11.25" customHeight="1" x14ac:dyDescent="0.2">
      <c r="E554" s="147"/>
      <c r="F554" s="147"/>
      <c r="G554" s="112"/>
      <c r="K554" s="112"/>
      <c r="L554" s="112"/>
      <c r="V554" s="112"/>
      <c r="X554" s="112"/>
      <c r="Y554" s="112"/>
    </row>
    <row r="555" spans="5:25" ht="11.25" customHeight="1" x14ac:dyDescent="0.2">
      <c r="E555" s="147"/>
      <c r="F555" s="147"/>
      <c r="G555" s="112"/>
      <c r="K555" s="112"/>
      <c r="L555" s="112"/>
      <c r="V555" s="112"/>
      <c r="X555" s="112"/>
      <c r="Y555" s="112"/>
    </row>
    <row r="556" spans="5:25" ht="11.25" customHeight="1" x14ac:dyDescent="0.2">
      <c r="E556" s="147"/>
      <c r="F556" s="147"/>
      <c r="G556" s="112"/>
      <c r="K556" s="112"/>
      <c r="L556" s="112"/>
      <c r="V556" s="112"/>
      <c r="X556" s="112"/>
      <c r="Y556" s="112"/>
    </row>
    <row r="557" spans="5:25" ht="11.25" customHeight="1" x14ac:dyDescent="0.2">
      <c r="E557" s="147"/>
      <c r="F557" s="147"/>
      <c r="G557" s="112"/>
      <c r="K557" s="112"/>
      <c r="L557" s="112"/>
      <c r="V557" s="112"/>
      <c r="X557" s="112"/>
      <c r="Y557" s="112"/>
    </row>
    <row r="558" spans="5:25" ht="11.25" customHeight="1" x14ac:dyDescent="0.2">
      <c r="E558" s="147"/>
      <c r="F558" s="147"/>
      <c r="G558" s="112"/>
      <c r="K558" s="112"/>
      <c r="L558" s="112"/>
      <c r="V558" s="112"/>
      <c r="X558" s="112"/>
      <c r="Y558" s="112"/>
    </row>
    <row r="559" spans="5:25" ht="11.25" customHeight="1" x14ac:dyDescent="0.2">
      <c r="E559" s="147"/>
      <c r="F559" s="147"/>
      <c r="G559" s="112"/>
      <c r="K559" s="112"/>
      <c r="L559" s="112"/>
      <c r="V559" s="112"/>
      <c r="X559" s="112"/>
      <c r="Y559" s="112"/>
    </row>
    <row r="560" spans="5:25" ht="11.25" customHeight="1" x14ac:dyDescent="0.2">
      <c r="E560" s="147"/>
      <c r="F560" s="147"/>
      <c r="G560" s="112"/>
      <c r="K560" s="112"/>
      <c r="L560" s="112"/>
      <c r="V560" s="112"/>
      <c r="X560" s="112"/>
      <c r="Y560" s="112"/>
    </row>
    <row r="561" spans="5:25" ht="11.25" customHeight="1" x14ac:dyDescent="0.2">
      <c r="E561" s="147"/>
      <c r="F561" s="147"/>
      <c r="G561" s="112"/>
      <c r="K561" s="112"/>
      <c r="L561" s="112"/>
      <c r="V561" s="112"/>
      <c r="X561" s="112"/>
      <c r="Y561" s="112"/>
    </row>
    <row r="562" spans="5:25" ht="11.25" customHeight="1" x14ac:dyDescent="0.2">
      <c r="E562" s="147"/>
      <c r="F562" s="147"/>
      <c r="G562" s="112"/>
      <c r="K562" s="112"/>
      <c r="L562" s="112"/>
      <c r="V562" s="112"/>
      <c r="X562" s="112"/>
      <c r="Y562" s="112"/>
    </row>
    <row r="563" spans="5:25" ht="11.25" customHeight="1" x14ac:dyDescent="0.2">
      <c r="E563" s="147"/>
      <c r="F563" s="147"/>
      <c r="G563" s="112"/>
      <c r="K563" s="112"/>
      <c r="L563" s="112"/>
      <c r="V563" s="112"/>
      <c r="X563" s="112"/>
      <c r="Y563" s="112"/>
    </row>
    <row r="564" spans="5:25" ht="11.25" customHeight="1" x14ac:dyDescent="0.2">
      <c r="E564" s="147"/>
      <c r="F564" s="147"/>
      <c r="G564" s="112"/>
      <c r="K564" s="112"/>
      <c r="L564" s="112"/>
      <c r="V564" s="112"/>
      <c r="X564" s="112"/>
      <c r="Y564" s="112"/>
    </row>
    <row r="565" spans="5:25" ht="11.25" customHeight="1" x14ac:dyDescent="0.2">
      <c r="E565" s="147"/>
      <c r="F565" s="147"/>
      <c r="G565" s="112"/>
      <c r="K565" s="112"/>
      <c r="L565" s="112"/>
      <c r="V565" s="112"/>
      <c r="X565" s="112"/>
      <c r="Y565" s="112"/>
    </row>
    <row r="566" spans="5:25" ht="11.25" customHeight="1" x14ac:dyDescent="0.2">
      <c r="E566" s="147"/>
      <c r="F566" s="147"/>
      <c r="G566" s="112"/>
      <c r="K566" s="112"/>
      <c r="L566" s="112"/>
      <c r="V566" s="112"/>
      <c r="X566" s="112"/>
      <c r="Y566" s="112"/>
    </row>
    <row r="567" spans="5:25" ht="11.25" customHeight="1" x14ac:dyDescent="0.2">
      <c r="E567" s="147"/>
      <c r="F567" s="147"/>
      <c r="G567" s="112"/>
      <c r="K567" s="112"/>
      <c r="L567" s="112"/>
      <c r="V567" s="112"/>
      <c r="X567" s="112"/>
      <c r="Y567" s="112"/>
    </row>
    <row r="568" spans="5:25" ht="11.25" customHeight="1" x14ac:dyDescent="0.2">
      <c r="E568" s="147"/>
      <c r="F568" s="147"/>
      <c r="G568" s="112"/>
      <c r="K568" s="112"/>
      <c r="L568" s="112"/>
      <c r="V568" s="112"/>
      <c r="X568" s="112"/>
      <c r="Y568" s="112"/>
    </row>
    <row r="569" spans="5:25" ht="11.25" customHeight="1" x14ac:dyDescent="0.2">
      <c r="E569" s="147"/>
      <c r="F569" s="147"/>
      <c r="G569" s="112"/>
      <c r="K569" s="112"/>
      <c r="L569" s="112"/>
      <c r="V569" s="112"/>
      <c r="X569" s="112"/>
      <c r="Y569" s="112"/>
    </row>
    <row r="570" spans="5:25" ht="11.25" customHeight="1" x14ac:dyDescent="0.2">
      <c r="E570" s="147"/>
      <c r="F570" s="147"/>
      <c r="G570" s="112"/>
      <c r="K570" s="112"/>
      <c r="L570" s="112"/>
      <c r="V570" s="112"/>
      <c r="X570" s="112"/>
      <c r="Y570" s="112"/>
    </row>
    <row r="571" spans="5:25" ht="11.25" customHeight="1" x14ac:dyDescent="0.2">
      <c r="E571" s="147"/>
      <c r="F571" s="147"/>
      <c r="G571" s="112"/>
      <c r="K571" s="112"/>
      <c r="L571" s="112"/>
      <c r="V571" s="112"/>
      <c r="X571" s="112"/>
      <c r="Y571" s="112"/>
    </row>
    <row r="572" spans="5:25" ht="11.25" customHeight="1" x14ac:dyDescent="0.2">
      <c r="E572" s="147"/>
      <c r="F572" s="147"/>
      <c r="G572" s="112"/>
      <c r="K572" s="112"/>
      <c r="L572" s="112"/>
      <c r="V572" s="112"/>
      <c r="X572" s="112"/>
      <c r="Y572" s="112"/>
    </row>
    <row r="573" spans="5:25" ht="11.25" customHeight="1" x14ac:dyDescent="0.2">
      <c r="E573" s="147"/>
      <c r="F573" s="147"/>
      <c r="G573" s="112"/>
      <c r="K573" s="112"/>
      <c r="L573" s="112"/>
      <c r="V573" s="112"/>
      <c r="X573" s="112"/>
      <c r="Y573" s="112"/>
    </row>
    <row r="574" spans="5:25" ht="11.25" customHeight="1" x14ac:dyDescent="0.2">
      <c r="E574" s="147"/>
      <c r="F574" s="147"/>
      <c r="G574" s="112"/>
      <c r="K574" s="112"/>
      <c r="L574" s="112"/>
      <c r="V574" s="112"/>
      <c r="X574" s="112"/>
      <c r="Y574" s="112"/>
    </row>
    <row r="575" spans="5:25" ht="11.25" customHeight="1" x14ac:dyDescent="0.2">
      <c r="E575" s="147"/>
      <c r="F575" s="147"/>
      <c r="G575" s="112"/>
      <c r="K575" s="112"/>
      <c r="L575" s="112"/>
      <c r="V575" s="112"/>
      <c r="X575" s="112"/>
      <c r="Y575" s="112"/>
    </row>
    <row r="576" spans="5:25" ht="11.25" customHeight="1" x14ac:dyDescent="0.2">
      <c r="E576" s="147"/>
      <c r="F576" s="147"/>
      <c r="G576" s="112"/>
      <c r="K576" s="112"/>
      <c r="L576" s="112"/>
      <c r="V576" s="112"/>
      <c r="X576" s="112"/>
      <c r="Y576" s="112"/>
    </row>
    <row r="577" spans="5:25" ht="11.25" customHeight="1" x14ac:dyDescent="0.2">
      <c r="E577" s="147"/>
      <c r="F577" s="147"/>
      <c r="G577" s="112"/>
      <c r="K577" s="112"/>
      <c r="L577" s="112"/>
      <c r="V577" s="112"/>
      <c r="X577" s="112"/>
      <c r="Y577" s="112"/>
    </row>
    <row r="578" spans="5:25" ht="11.25" customHeight="1" x14ac:dyDescent="0.2">
      <c r="E578" s="147"/>
      <c r="F578" s="147"/>
      <c r="G578" s="112"/>
      <c r="K578" s="112"/>
      <c r="L578" s="112"/>
      <c r="V578" s="112"/>
      <c r="X578" s="112"/>
      <c r="Y578" s="112"/>
    </row>
    <row r="579" spans="5:25" ht="11.25" customHeight="1" x14ac:dyDescent="0.2">
      <c r="E579" s="147"/>
      <c r="F579" s="147"/>
      <c r="G579" s="112"/>
      <c r="K579" s="112"/>
      <c r="L579" s="112"/>
      <c r="V579" s="112"/>
      <c r="X579" s="112"/>
      <c r="Y579" s="112"/>
    </row>
    <row r="580" spans="5:25" ht="11.25" customHeight="1" x14ac:dyDescent="0.2">
      <c r="E580" s="147"/>
      <c r="F580" s="147"/>
      <c r="G580" s="112"/>
      <c r="K580" s="112"/>
      <c r="L580" s="112"/>
      <c r="V580" s="112"/>
      <c r="X580" s="112"/>
      <c r="Y580" s="112"/>
    </row>
    <row r="581" spans="5:25" ht="11.25" customHeight="1" x14ac:dyDescent="0.2">
      <c r="E581" s="147"/>
      <c r="F581" s="147"/>
      <c r="G581" s="112"/>
      <c r="K581" s="112"/>
      <c r="L581" s="112"/>
      <c r="V581" s="112"/>
      <c r="X581" s="112"/>
      <c r="Y581" s="112"/>
    </row>
    <row r="582" spans="5:25" ht="11.25" customHeight="1" x14ac:dyDescent="0.2">
      <c r="V582" s="112"/>
      <c r="X582" s="112"/>
      <c r="Y582" s="112"/>
    </row>
    <row r="583" spans="5:25" x14ac:dyDescent="0.2">
      <c r="V583" s="112"/>
      <c r="X583" s="112"/>
      <c r="Y583" s="112"/>
    </row>
    <row r="584" spans="5:25" x14ac:dyDescent="0.2">
      <c r="V584" s="112"/>
      <c r="X584" s="112"/>
      <c r="Y584" s="112"/>
    </row>
    <row r="585" spans="5:25" x14ac:dyDescent="0.2">
      <c r="V585" s="112"/>
      <c r="X585" s="112"/>
      <c r="Y585" s="112"/>
    </row>
    <row r="586" spans="5:25" x14ac:dyDescent="0.2">
      <c r="V586" s="112"/>
      <c r="X586" s="112"/>
      <c r="Y586" s="112"/>
    </row>
    <row r="587" spans="5:25" x14ac:dyDescent="0.2">
      <c r="V587" s="112"/>
      <c r="X587" s="112"/>
      <c r="Y587" s="112"/>
    </row>
    <row r="588" spans="5:25" x14ac:dyDescent="0.2">
      <c r="V588" s="112"/>
      <c r="X588" s="112"/>
      <c r="Y588" s="112"/>
    </row>
    <row r="589" spans="5:25" x14ac:dyDescent="0.2">
      <c r="V589" s="112"/>
      <c r="X589" s="112"/>
      <c r="Y589" s="112"/>
    </row>
    <row r="590" spans="5:25" x14ac:dyDescent="0.2">
      <c r="V590" s="112"/>
      <c r="X590" s="112"/>
      <c r="Y590" s="112"/>
    </row>
    <row r="591" spans="5:25" x14ac:dyDescent="0.2">
      <c r="V591" s="112"/>
      <c r="X591" s="112"/>
      <c r="Y591" s="112"/>
    </row>
    <row r="592" spans="5:25" x14ac:dyDescent="0.2">
      <c r="V592" s="112"/>
      <c r="X592" s="112"/>
      <c r="Y592" s="112"/>
    </row>
    <row r="593" spans="22:25" x14ac:dyDescent="0.2">
      <c r="V593" s="112"/>
      <c r="X593" s="112"/>
      <c r="Y593" s="112"/>
    </row>
    <row r="594" spans="22:25" x14ac:dyDescent="0.2">
      <c r="V594" s="112"/>
      <c r="X594" s="112"/>
      <c r="Y594" s="112"/>
    </row>
    <row r="595" spans="22:25" x14ac:dyDescent="0.2">
      <c r="V595" s="112"/>
      <c r="X595" s="112"/>
      <c r="Y595" s="112"/>
    </row>
    <row r="596" spans="22:25" x14ac:dyDescent="0.2">
      <c r="V596" s="112"/>
      <c r="X596" s="112"/>
      <c r="Y596" s="112"/>
    </row>
    <row r="597" spans="22:25" x14ac:dyDescent="0.2">
      <c r="V597" s="112"/>
      <c r="X597" s="112"/>
      <c r="Y597" s="112"/>
    </row>
    <row r="598" spans="22:25" x14ac:dyDescent="0.2">
      <c r="V598" s="112"/>
      <c r="X598" s="112"/>
      <c r="Y598" s="112"/>
    </row>
    <row r="599" spans="22:25" x14ac:dyDescent="0.2">
      <c r="V599" s="112"/>
      <c r="X599" s="112"/>
      <c r="Y599" s="112"/>
    </row>
    <row r="600" spans="22:25" x14ac:dyDescent="0.2">
      <c r="V600" s="112"/>
      <c r="X600" s="112"/>
      <c r="Y600" s="112"/>
    </row>
    <row r="601" spans="22:25" x14ac:dyDescent="0.2">
      <c r="V601" s="112"/>
      <c r="X601" s="112"/>
      <c r="Y601" s="112"/>
    </row>
    <row r="602" spans="22:25" x14ac:dyDescent="0.2">
      <c r="V602" s="112"/>
      <c r="X602" s="112"/>
      <c r="Y602" s="112"/>
    </row>
    <row r="603" spans="22:25" x14ac:dyDescent="0.2">
      <c r="V603" s="112"/>
      <c r="X603" s="112"/>
      <c r="Y603" s="112"/>
    </row>
    <row r="604" spans="22:25" x14ac:dyDescent="0.2">
      <c r="V604" s="112"/>
      <c r="X604" s="112"/>
      <c r="Y604" s="112"/>
    </row>
    <row r="605" spans="22:25" x14ac:dyDescent="0.2">
      <c r="V605" s="112"/>
      <c r="X605" s="112"/>
      <c r="Y605" s="112"/>
    </row>
    <row r="606" spans="22:25" x14ac:dyDescent="0.2">
      <c r="V606" s="112"/>
      <c r="X606" s="112"/>
      <c r="Y606" s="112"/>
    </row>
    <row r="607" spans="22:25" x14ac:dyDescent="0.2">
      <c r="V607" s="112"/>
      <c r="X607" s="112"/>
      <c r="Y607" s="112"/>
    </row>
    <row r="608" spans="22:25" x14ac:dyDescent="0.2">
      <c r="V608" s="112"/>
      <c r="X608" s="112"/>
      <c r="Y608" s="112"/>
    </row>
    <row r="609" spans="22:25" x14ac:dyDescent="0.2">
      <c r="V609" s="112"/>
      <c r="X609" s="112"/>
      <c r="Y609" s="112"/>
    </row>
    <row r="610" spans="22:25" x14ac:dyDescent="0.2">
      <c r="V610" s="112"/>
      <c r="X610" s="112"/>
      <c r="Y610" s="112"/>
    </row>
    <row r="611" spans="22:25" x14ac:dyDescent="0.2">
      <c r="V611" s="112"/>
      <c r="X611" s="112"/>
      <c r="Y611" s="112"/>
    </row>
    <row r="612" spans="22:25" x14ac:dyDescent="0.2">
      <c r="V612" s="112"/>
      <c r="X612" s="112"/>
      <c r="Y612" s="112"/>
    </row>
    <row r="613" spans="22:25" x14ac:dyDescent="0.2">
      <c r="V613" s="112"/>
      <c r="X613" s="112"/>
      <c r="Y613" s="112"/>
    </row>
    <row r="614" spans="22:25" x14ac:dyDescent="0.2">
      <c r="V614" s="112"/>
      <c r="X614" s="112"/>
      <c r="Y614" s="112"/>
    </row>
    <row r="615" spans="22:25" x14ac:dyDescent="0.2">
      <c r="V615" s="112"/>
      <c r="X615" s="112"/>
      <c r="Y615" s="112"/>
    </row>
    <row r="616" spans="22:25" x14ac:dyDescent="0.2">
      <c r="V616" s="112"/>
      <c r="X616" s="112"/>
      <c r="Y616" s="112"/>
    </row>
    <row r="617" spans="22:25" x14ac:dyDescent="0.2">
      <c r="V617" s="112"/>
      <c r="X617" s="112"/>
      <c r="Y617" s="112"/>
    </row>
    <row r="618" spans="22:25" x14ac:dyDescent="0.2">
      <c r="V618" s="112"/>
      <c r="X618" s="112"/>
      <c r="Y618" s="112"/>
    </row>
    <row r="619" spans="22:25" x14ac:dyDescent="0.2">
      <c r="V619" s="112"/>
      <c r="X619" s="112"/>
      <c r="Y619" s="112"/>
    </row>
    <row r="620" spans="22:25" x14ac:dyDescent="0.2">
      <c r="V620" s="112"/>
      <c r="X620" s="112"/>
      <c r="Y620" s="112"/>
    </row>
    <row r="621" spans="22:25" x14ac:dyDescent="0.2">
      <c r="V621" s="112"/>
      <c r="X621" s="112"/>
      <c r="Y621" s="112"/>
    </row>
    <row r="622" spans="22:25" x14ac:dyDescent="0.2">
      <c r="V622" s="112"/>
      <c r="X622" s="112"/>
      <c r="Y622" s="112"/>
    </row>
    <row r="623" spans="22:25" x14ac:dyDescent="0.2">
      <c r="V623" s="112"/>
      <c r="X623" s="112"/>
      <c r="Y623" s="112"/>
    </row>
    <row r="624" spans="22:25" x14ac:dyDescent="0.2">
      <c r="V624" s="112"/>
      <c r="X624" s="112"/>
      <c r="Y624" s="112"/>
    </row>
    <row r="625" spans="22:25" x14ac:dyDescent="0.2">
      <c r="V625" s="112"/>
      <c r="X625" s="112"/>
      <c r="Y625" s="112"/>
    </row>
    <row r="626" spans="22:25" x14ac:dyDescent="0.2">
      <c r="V626" s="112"/>
      <c r="X626" s="112"/>
      <c r="Y626" s="112"/>
    </row>
    <row r="627" spans="22:25" x14ac:dyDescent="0.2">
      <c r="V627" s="112"/>
      <c r="X627" s="112"/>
      <c r="Y627" s="112"/>
    </row>
    <row r="628" spans="22:25" x14ac:dyDescent="0.2">
      <c r="V628" s="112"/>
      <c r="X628" s="112"/>
      <c r="Y628" s="112"/>
    </row>
    <row r="629" spans="22:25" x14ac:dyDescent="0.2">
      <c r="V629" s="112"/>
      <c r="X629" s="112"/>
      <c r="Y629" s="112"/>
    </row>
    <row r="630" spans="22:25" x14ac:dyDescent="0.2">
      <c r="V630" s="112"/>
      <c r="X630" s="112"/>
      <c r="Y630" s="112"/>
    </row>
    <row r="631" spans="22:25" x14ac:dyDescent="0.2">
      <c r="V631" s="112"/>
      <c r="X631" s="112"/>
      <c r="Y631" s="112"/>
    </row>
    <row r="632" spans="22:25" x14ac:dyDescent="0.2">
      <c r="V632" s="112"/>
      <c r="X632" s="112"/>
      <c r="Y632" s="112"/>
    </row>
    <row r="633" spans="22:25" x14ac:dyDescent="0.2">
      <c r="V633" s="112"/>
      <c r="X633" s="112"/>
      <c r="Y633" s="112"/>
    </row>
    <row r="634" spans="22:25" x14ac:dyDescent="0.2">
      <c r="V634" s="112"/>
      <c r="X634" s="112"/>
      <c r="Y634" s="112"/>
    </row>
    <row r="635" spans="22:25" x14ac:dyDescent="0.2">
      <c r="V635" s="112"/>
      <c r="X635" s="112"/>
      <c r="Y635" s="112"/>
    </row>
    <row r="636" spans="22:25" x14ac:dyDescent="0.2">
      <c r="V636" s="112"/>
      <c r="X636" s="112"/>
      <c r="Y636" s="112"/>
    </row>
    <row r="637" spans="22:25" x14ac:dyDescent="0.2">
      <c r="V637" s="112"/>
      <c r="X637" s="112"/>
      <c r="Y637" s="112"/>
    </row>
    <row r="638" spans="22:25" x14ac:dyDescent="0.2">
      <c r="V638" s="112"/>
      <c r="X638" s="112"/>
      <c r="Y638" s="112"/>
    </row>
    <row r="639" spans="22:25" x14ac:dyDescent="0.2">
      <c r="V639" s="112"/>
      <c r="X639" s="112"/>
      <c r="Y639" s="112"/>
    </row>
    <row r="640" spans="22:25" x14ac:dyDescent="0.2">
      <c r="V640" s="112"/>
      <c r="X640" s="112"/>
      <c r="Y640" s="112"/>
    </row>
    <row r="641" spans="22:25" x14ac:dyDescent="0.2">
      <c r="V641" s="112"/>
      <c r="X641" s="112"/>
      <c r="Y641" s="112"/>
    </row>
    <row r="642" spans="22:25" x14ac:dyDescent="0.2">
      <c r="V642" s="112"/>
      <c r="X642" s="112"/>
      <c r="Y642" s="112"/>
    </row>
    <row r="643" spans="22:25" x14ac:dyDescent="0.2">
      <c r="V643" s="112"/>
      <c r="X643" s="112"/>
      <c r="Y643" s="112"/>
    </row>
    <row r="644" spans="22:25" x14ac:dyDescent="0.2">
      <c r="V644" s="112"/>
      <c r="X644" s="112"/>
      <c r="Y644" s="112"/>
    </row>
    <row r="645" spans="22:25" x14ac:dyDescent="0.2">
      <c r="V645" s="112"/>
      <c r="X645" s="112"/>
      <c r="Y645" s="112"/>
    </row>
    <row r="646" spans="22:25" x14ac:dyDescent="0.2">
      <c r="V646" s="112"/>
      <c r="X646" s="112"/>
      <c r="Y646" s="112"/>
    </row>
    <row r="647" spans="22:25" x14ac:dyDescent="0.2">
      <c r="V647" s="112"/>
      <c r="X647" s="112"/>
      <c r="Y647" s="112"/>
    </row>
    <row r="648" spans="22:25" x14ac:dyDescent="0.2">
      <c r="V648" s="112"/>
      <c r="X648" s="112"/>
      <c r="Y648" s="112"/>
    </row>
    <row r="649" spans="22:25" x14ac:dyDescent="0.2">
      <c r="V649" s="112"/>
      <c r="X649" s="112"/>
      <c r="Y649" s="112"/>
    </row>
    <row r="650" spans="22:25" x14ac:dyDescent="0.2">
      <c r="V650" s="112"/>
      <c r="X650" s="112"/>
      <c r="Y650" s="112"/>
    </row>
    <row r="651" spans="22:25" x14ac:dyDescent="0.2">
      <c r="V651" s="112"/>
      <c r="X651" s="112"/>
      <c r="Y651" s="112"/>
    </row>
    <row r="652" spans="22:25" x14ac:dyDescent="0.2">
      <c r="V652" s="112"/>
      <c r="X652" s="112"/>
      <c r="Y652" s="112"/>
    </row>
    <row r="653" spans="22:25" x14ac:dyDescent="0.2">
      <c r="V653" s="112"/>
      <c r="X653" s="112"/>
      <c r="Y653" s="112"/>
    </row>
    <row r="654" spans="22:25" x14ac:dyDescent="0.2">
      <c r="V654" s="112"/>
      <c r="X654" s="112"/>
      <c r="Y654" s="112"/>
    </row>
    <row r="655" spans="22:25" x14ac:dyDescent="0.2">
      <c r="V655" s="112"/>
      <c r="X655" s="112"/>
      <c r="Y655" s="112"/>
    </row>
    <row r="656" spans="22:25" x14ac:dyDescent="0.2">
      <c r="V656" s="112"/>
      <c r="X656" s="112"/>
      <c r="Y656" s="112"/>
    </row>
    <row r="657" spans="22:25" x14ac:dyDescent="0.2">
      <c r="V657" s="112"/>
      <c r="X657" s="112"/>
      <c r="Y657" s="112"/>
    </row>
    <row r="658" spans="22:25" x14ac:dyDescent="0.2">
      <c r="V658" s="112"/>
      <c r="X658" s="112"/>
      <c r="Y658" s="112"/>
    </row>
    <row r="659" spans="22:25" x14ac:dyDescent="0.2">
      <c r="V659" s="112"/>
      <c r="X659" s="112"/>
      <c r="Y659" s="112"/>
    </row>
    <row r="660" spans="22:25" x14ac:dyDescent="0.2">
      <c r="V660" s="112"/>
      <c r="X660" s="112"/>
      <c r="Y660" s="112"/>
    </row>
    <row r="661" spans="22:25" x14ac:dyDescent="0.2">
      <c r="V661" s="112"/>
      <c r="X661" s="112"/>
      <c r="Y661" s="112"/>
    </row>
    <row r="662" spans="22:25" x14ac:dyDescent="0.2">
      <c r="V662" s="112"/>
      <c r="X662" s="112"/>
      <c r="Y662" s="112"/>
    </row>
    <row r="663" spans="22:25" x14ac:dyDescent="0.2">
      <c r="V663" s="112"/>
      <c r="X663" s="112"/>
      <c r="Y663" s="112"/>
    </row>
    <row r="664" spans="22:25" x14ac:dyDescent="0.2">
      <c r="V664" s="112"/>
      <c r="X664" s="112"/>
      <c r="Y664" s="112"/>
    </row>
    <row r="665" spans="22:25" x14ac:dyDescent="0.2">
      <c r="V665" s="112"/>
      <c r="X665" s="112"/>
      <c r="Y665" s="112"/>
    </row>
    <row r="666" spans="22:25" x14ac:dyDescent="0.2">
      <c r="V666" s="112"/>
      <c r="X666" s="112"/>
      <c r="Y666" s="112"/>
    </row>
    <row r="667" spans="22:25" x14ac:dyDescent="0.2">
      <c r="V667" s="112"/>
      <c r="X667" s="112"/>
      <c r="Y667" s="112"/>
    </row>
    <row r="668" spans="22:25" x14ac:dyDescent="0.2">
      <c r="V668" s="112"/>
      <c r="X668" s="112"/>
      <c r="Y668" s="112"/>
    </row>
    <row r="669" spans="22:25" x14ac:dyDescent="0.2">
      <c r="V669" s="112"/>
      <c r="X669" s="112"/>
      <c r="Y669" s="112"/>
    </row>
    <row r="670" spans="22:25" x14ac:dyDescent="0.2">
      <c r="V670" s="112"/>
      <c r="X670" s="112"/>
      <c r="Y670" s="112"/>
    </row>
    <row r="671" spans="22:25" x14ac:dyDescent="0.2">
      <c r="V671" s="112"/>
      <c r="X671" s="112"/>
      <c r="Y671" s="112"/>
    </row>
    <row r="672" spans="22:25" x14ac:dyDescent="0.2">
      <c r="V672" s="112"/>
      <c r="X672" s="112"/>
      <c r="Y672" s="112"/>
    </row>
    <row r="673" spans="22:25" x14ac:dyDescent="0.2">
      <c r="V673" s="112"/>
      <c r="X673" s="112"/>
      <c r="Y673" s="112"/>
    </row>
    <row r="674" spans="22:25" x14ac:dyDescent="0.2">
      <c r="V674" s="112"/>
      <c r="X674" s="112"/>
      <c r="Y674" s="112"/>
    </row>
    <row r="675" spans="22:25" x14ac:dyDescent="0.2">
      <c r="V675" s="112"/>
      <c r="X675" s="112"/>
      <c r="Y675" s="112"/>
    </row>
    <row r="676" spans="22:25" x14ac:dyDescent="0.2">
      <c r="V676" s="112"/>
      <c r="X676" s="112"/>
      <c r="Y676" s="112"/>
    </row>
    <row r="677" spans="22:25" x14ac:dyDescent="0.2">
      <c r="V677" s="112"/>
      <c r="X677" s="112"/>
      <c r="Y677" s="112"/>
    </row>
    <row r="678" spans="22:25" x14ac:dyDescent="0.2">
      <c r="V678" s="112"/>
      <c r="X678" s="112"/>
      <c r="Y678" s="112"/>
    </row>
    <row r="679" spans="22:25" x14ac:dyDescent="0.2">
      <c r="V679" s="112"/>
      <c r="X679" s="112"/>
      <c r="Y679" s="112"/>
    </row>
    <row r="680" spans="22:25" x14ac:dyDescent="0.2">
      <c r="V680" s="112"/>
      <c r="X680" s="112"/>
      <c r="Y680" s="112"/>
    </row>
    <row r="681" spans="22:25" x14ac:dyDescent="0.2">
      <c r="V681" s="112"/>
      <c r="X681" s="112"/>
      <c r="Y681" s="112"/>
    </row>
    <row r="682" spans="22:25" x14ac:dyDescent="0.2">
      <c r="V682" s="112"/>
      <c r="X682" s="112"/>
      <c r="Y682" s="112"/>
    </row>
    <row r="683" spans="22:25" x14ac:dyDescent="0.2">
      <c r="V683" s="112"/>
      <c r="X683" s="112"/>
      <c r="Y683" s="112"/>
    </row>
    <row r="684" spans="22:25" x14ac:dyDescent="0.2">
      <c r="V684" s="112"/>
      <c r="X684" s="112"/>
      <c r="Y684" s="112"/>
    </row>
    <row r="685" spans="22:25" x14ac:dyDescent="0.2">
      <c r="V685" s="112"/>
      <c r="X685" s="112"/>
      <c r="Y685" s="112"/>
    </row>
    <row r="686" spans="22:25" x14ac:dyDescent="0.2">
      <c r="V686" s="112"/>
      <c r="X686" s="112"/>
      <c r="Y686" s="112"/>
    </row>
    <row r="687" spans="22:25" x14ac:dyDescent="0.2">
      <c r="V687" s="112"/>
      <c r="X687" s="112"/>
      <c r="Y687" s="112"/>
    </row>
    <row r="688" spans="22:25" x14ac:dyDescent="0.2">
      <c r="V688" s="112"/>
      <c r="X688" s="112"/>
      <c r="Y688" s="112"/>
    </row>
    <row r="689" spans="22:25" x14ac:dyDescent="0.2">
      <c r="V689" s="112"/>
      <c r="X689" s="112"/>
      <c r="Y689" s="112"/>
    </row>
    <row r="690" spans="22:25" x14ac:dyDescent="0.2">
      <c r="V690" s="112"/>
      <c r="X690" s="112"/>
      <c r="Y690" s="112"/>
    </row>
    <row r="691" spans="22:25" x14ac:dyDescent="0.2">
      <c r="V691" s="112"/>
      <c r="X691" s="112"/>
      <c r="Y691" s="112"/>
    </row>
    <row r="692" spans="22:25" x14ac:dyDescent="0.2">
      <c r="V692" s="112"/>
      <c r="X692" s="112"/>
      <c r="Y692" s="112"/>
    </row>
    <row r="693" spans="22:25" x14ac:dyDescent="0.2">
      <c r="V693" s="112"/>
      <c r="X693" s="112"/>
      <c r="Y693" s="112"/>
    </row>
    <row r="694" spans="22:25" x14ac:dyDescent="0.2">
      <c r="V694" s="112"/>
      <c r="X694" s="112"/>
      <c r="Y694" s="112"/>
    </row>
    <row r="695" spans="22:25" x14ac:dyDescent="0.2">
      <c r="V695" s="112"/>
      <c r="X695" s="112"/>
      <c r="Y695" s="112"/>
    </row>
    <row r="696" spans="22:25" x14ac:dyDescent="0.2">
      <c r="V696" s="112"/>
      <c r="X696" s="112"/>
      <c r="Y696" s="112"/>
    </row>
    <row r="697" spans="22:25" x14ac:dyDescent="0.2">
      <c r="V697" s="112"/>
      <c r="X697" s="112"/>
      <c r="Y697" s="112"/>
    </row>
    <row r="698" spans="22:25" x14ac:dyDescent="0.2">
      <c r="V698" s="112"/>
      <c r="X698" s="112"/>
      <c r="Y698" s="112"/>
    </row>
    <row r="699" spans="22:25" x14ac:dyDescent="0.2">
      <c r="V699" s="112"/>
      <c r="X699" s="112"/>
      <c r="Y699" s="112"/>
    </row>
    <row r="700" spans="22:25" x14ac:dyDescent="0.2">
      <c r="V700" s="112"/>
      <c r="X700" s="112"/>
      <c r="Y700" s="112"/>
    </row>
    <row r="701" spans="22:25" x14ac:dyDescent="0.2">
      <c r="V701" s="112"/>
      <c r="X701" s="112"/>
      <c r="Y701" s="112"/>
    </row>
    <row r="702" spans="22:25" x14ac:dyDescent="0.2">
      <c r="V702" s="112"/>
      <c r="X702" s="112"/>
      <c r="Y702" s="112"/>
    </row>
    <row r="703" spans="22:25" x14ac:dyDescent="0.2">
      <c r="V703" s="112"/>
      <c r="X703" s="112"/>
      <c r="Y703" s="112"/>
    </row>
    <row r="704" spans="22:25" x14ac:dyDescent="0.2">
      <c r="V704" s="112"/>
      <c r="X704" s="112"/>
      <c r="Y704" s="112"/>
    </row>
    <row r="705" spans="22:25" x14ac:dyDescent="0.2">
      <c r="V705" s="112"/>
      <c r="X705" s="112"/>
      <c r="Y705" s="112"/>
    </row>
    <row r="706" spans="22:25" x14ac:dyDescent="0.2">
      <c r="V706" s="112"/>
      <c r="X706" s="112"/>
      <c r="Y706" s="112"/>
    </row>
    <row r="707" spans="22:25" x14ac:dyDescent="0.2">
      <c r="V707" s="112"/>
      <c r="X707" s="112"/>
      <c r="Y707" s="112"/>
    </row>
    <row r="708" spans="22:25" x14ac:dyDescent="0.2">
      <c r="V708" s="112"/>
      <c r="X708" s="112"/>
      <c r="Y708" s="112"/>
    </row>
    <row r="709" spans="22:25" x14ac:dyDescent="0.2">
      <c r="V709" s="112"/>
      <c r="X709" s="112"/>
      <c r="Y709" s="112"/>
    </row>
    <row r="710" spans="22:25" x14ac:dyDescent="0.2">
      <c r="V710" s="112"/>
      <c r="X710" s="112"/>
      <c r="Y710" s="112"/>
    </row>
    <row r="711" spans="22:25" x14ac:dyDescent="0.2">
      <c r="V711" s="112"/>
      <c r="X711" s="112"/>
      <c r="Y711" s="112"/>
    </row>
    <row r="712" spans="22:25" x14ac:dyDescent="0.2">
      <c r="V712" s="112"/>
      <c r="X712" s="112"/>
      <c r="Y712" s="112"/>
    </row>
    <row r="713" spans="22:25" x14ac:dyDescent="0.2">
      <c r="V713" s="112"/>
      <c r="X713" s="112"/>
      <c r="Y713" s="112"/>
    </row>
    <row r="714" spans="22:25" x14ac:dyDescent="0.2">
      <c r="V714" s="112"/>
      <c r="X714" s="112"/>
      <c r="Y714" s="112"/>
    </row>
    <row r="715" spans="22:25" x14ac:dyDescent="0.2">
      <c r="V715" s="112"/>
      <c r="X715" s="112"/>
      <c r="Y715" s="112"/>
    </row>
    <row r="716" spans="22:25" x14ac:dyDescent="0.2">
      <c r="V716" s="112"/>
      <c r="X716" s="112"/>
      <c r="Y716" s="112"/>
    </row>
    <row r="717" spans="22:25" x14ac:dyDescent="0.2">
      <c r="V717" s="112"/>
      <c r="X717" s="112"/>
      <c r="Y717" s="112"/>
    </row>
    <row r="718" spans="22:25" x14ac:dyDescent="0.2">
      <c r="V718" s="112"/>
      <c r="X718" s="112"/>
      <c r="Y718" s="112"/>
    </row>
    <row r="719" spans="22:25" x14ac:dyDescent="0.2">
      <c r="V719" s="112"/>
      <c r="X719" s="112"/>
      <c r="Y719" s="112"/>
    </row>
    <row r="720" spans="22:25" x14ac:dyDescent="0.2">
      <c r="V720" s="112"/>
      <c r="X720" s="112"/>
      <c r="Y720" s="112"/>
    </row>
    <row r="721" spans="22:25" x14ac:dyDescent="0.2">
      <c r="V721" s="112"/>
      <c r="X721" s="112"/>
      <c r="Y721" s="112"/>
    </row>
    <row r="722" spans="22:25" x14ac:dyDescent="0.2">
      <c r="V722" s="112"/>
      <c r="X722" s="112"/>
      <c r="Y722" s="112"/>
    </row>
    <row r="723" spans="22:25" x14ac:dyDescent="0.2">
      <c r="V723" s="112"/>
      <c r="X723" s="112"/>
      <c r="Y723" s="112"/>
    </row>
    <row r="724" spans="22:25" x14ac:dyDescent="0.2">
      <c r="V724" s="112"/>
      <c r="X724" s="112"/>
      <c r="Y724" s="112"/>
    </row>
    <row r="725" spans="22:25" x14ac:dyDescent="0.2">
      <c r="V725" s="112"/>
      <c r="X725" s="112"/>
      <c r="Y725" s="112"/>
    </row>
    <row r="726" spans="22:25" x14ac:dyDescent="0.2">
      <c r="V726" s="112"/>
      <c r="X726" s="112"/>
      <c r="Y726" s="112"/>
    </row>
    <row r="727" spans="22:25" x14ac:dyDescent="0.2">
      <c r="V727" s="112"/>
      <c r="X727" s="112"/>
      <c r="Y727" s="112"/>
    </row>
    <row r="728" spans="22:25" x14ac:dyDescent="0.2">
      <c r="V728" s="112"/>
      <c r="X728" s="112"/>
      <c r="Y728" s="112"/>
    </row>
    <row r="729" spans="22:25" x14ac:dyDescent="0.2">
      <c r="V729" s="112"/>
      <c r="X729" s="112"/>
      <c r="Y729" s="112"/>
    </row>
    <row r="730" spans="22:25" x14ac:dyDescent="0.2">
      <c r="V730" s="112"/>
      <c r="X730" s="112"/>
      <c r="Y730" s="112"/>
    </row>
    <row r="731" spans="22:25" x14ac:dyDescent="0.2">
      <c r="V731" s="112"/>
      <c r="X731" s="112"/>
      <c r="Y731" s="112"/>
    </row>
    <row r="732" spans="22:25" x14ac:dyDescent="0.2">
      <c r="V732" s="112"/>
      <c r="X732" s="112"/>
      <c r="Y732" s="112"/>
    </row>
    <row r="733" spans="22:25" x14ac:dyDescent="0.2">
      <c r="V733" s="112"/>
      <c r="X733" s="112"/>
      <c r="Y733" s="112"/>
    </row>
    <row r="734" spans="22:25" x14ac:dyDescent="0.2">
      <c r="V734" s="112"/>
      <c r="X734" s="112"/>
      <c r="Y734" s="112"/>
    </row>
    <row r="735" spans="22:25" x14ac:dyDescent="0.2">
      <c r="V735" s="112"/>
      <c r="X735" s="112"/>
      <c r="Y735" s="112"/>
    </row>
    <row r="736" spans="22:25" x14ac:dyDescent="0.2">
      <c r="V736" s="112"/>
      <c r="X736" s="112"/>
      <c r="Y736" s="112"/>
    </row>
    <row r="737" spans="22:25" x14ac:dyDescent="0.2">
      <c r="V737" s="112"/>
      <c r="X737" s="112"/>
      <c r="Y737" s="112"/>
    </row>
    <row r="738" spans="22:25" x14ac:dyDescent="0.2">
      <c r="V738" s="112"/>
      <c r="X738" s="112"/>
      <c r="Y738" s="112"/>
    </row>
    <row r="739" spans="22:25" x14ac:dyDescent="0.2">
      <c r="V739" s="112"/>
      <c r="X739" s="112"/>
      <c r="Y739" s="112"/>
    </row>
    <row r="740" spans="22:25" x14ac:dyDescent="0.2">
      <c r="V740" s="112"/>
      <c r="X740" s="112"/>
      <c r="Y740" s="112"/>
    </row>
    <row r="741" spans="22:25" x14ac:dyDescent="0.2">
      <c r="V741" s="112"/>
      <c r="X741" s="112"/>
      <c r="Y741" s="112"/>
    </row>
    <row r="742" spans="22:25" x14ac:dyDescent="0.2">
      <c r="V742" s="112"/>
      <c r="X742" s="112"/>
      <c r="Y742" s="112"/>
    </row>
    <row r="743" spans="22:25" x14ac:dyDescent="0.2">
      <c r="V743" s="112"/>
      <c r="X743" s="112"/>
      <c r="Y743" s="112"/>
    </row>
    <row r="744" spans="22:25" x14ac:dyDescent="0.2">
      <c r="V744" s="112"/>
      <c r="X744" s="112"/>
      <c r="Y744" s="112"/>
    </row>
    <row r="745" spans="22:25" x14ac:dyDescent="0.2">
      <c r="V745" s="112"/>
      <c r="X745" s="112"/>
      <c r="Y745" s="112"/>
    </row>
    <row r="746" spans="22:25" x14ac:dyDescent="0.2">
      <c r="V746" s="112"/>
      <c r="X746" s="112"/>
      <c r="Y746" s="112"/>
    </row>
    <row r="747" spans="22:25" x14ac:dyDescent="0.2">
      <c r="V747" s="112"/>
      <c r="X747" s="112"/>
      <c r="Y747" s="112"/>
    </row>
    <row r="748" spans="22:25" x14ac:dyDescent="0.2">
      <c r="V748" s="112"/>
      <c r="X748" s="112"/>
      <c r="Y748" s="112"/>
    </row>
    <row r="749" spans="22:25" x14ac:dyDescent="0.2">
      <c r="V749" s="112"/>
      <c r="X749" s="112"/>
      <c r="Y749" s="112"/>
    </row>
    <row r="750" spans="22:25" x14ac:dyDescent="0.2">
      <c r="V750" s="112"/>
      <c r="X750" s="112"/>
      <c r="Y750" s="112"/>
    </row>
    <row r="751" spans="22:25" x14ac:dyDescent="0.2">
      <c r="V751" s="112"/>
      <c r="X751" s="112"/>
      <c r="Y751" s="112"/>
    </row>
    <row r="752" spans="22:25" x14ac:dyDescent="0.2">
      <c r="V752" s="112"/>
      <c r="X752" s="112"/>
      <c r="Y752" s="112"/>
    </row>
    <row r="753" spans="22:25" x14ac:dyDescent="0.2">
      <c r="V753" s="112"/>
      <c r="X753" s="112"/>
      <c r="Y753" s="112"/>
    </row>
    <row r="754" spans="22:25" x14ac:dyDescent="0.2">
      <c r="V754" s="112"/>
      <c r="X754" s="112"/>
      <c r="Y754" s="112"/>
    </row>
    <row r="755" spans="22:25" x14ac:dyDescent="0.2">
      <c r="V755" s="112"/>
      <c r="X755" s="112"/>
      <c r="Y755" s="112"/>
    </row>
    <row r="756" spans="22:25" x14ac:dyDescent="0.2">
      <c r="V756" s="112"/>
      <c r="X756" s="112"/>
      <c r="Y756" s="112"/>
    </row>
    <row r="757" spans="22:25" x14ac:dyDescent="0.2">
      <c r="V757" s="112"/>
      <c r="X757" s="112"/>
      <c r="Y757" s="112"/>
    </row>
    <row r="758" spans="22:25" x14ac:dyDescent="0.2">
      <c r="V758" s="112"/>
      <c r="X758" s="112"/>
      <c r="Y758" s="112"/>
    </row>
    <row r="759" spans="22:25" x14ac:dyDescent="0.2">
      <c r="V759" s="112"/>
      <c r="X759" s="112"/>
      <c r="Y759" s="112"/>
    </row>
    <row r="760" spans="22:25" x14ac:dyDescent="0.2">
      <c r="V760" s="112"/>
      <c r="X760" s="112"/>
      <c r="Y760" s="112"/>
    </row>
    <row r="761" spans="22:25" x14ac:dyDescent="0.2">
      <c r="V761" s="112"/>
      <c r="X761" s="112"/>
      <c r="Y761" s="112"/>
    </row>
    <row r="762" spans="22:25" x14ac:dyDescent="0.2">
      <c r="V762" s="112"/>
      <c r="X762" s="112"/>
      <c r="Y762" s="112"/>
    </row>
    <row r="763" spans="22:25" x14ac:dyDescent="0.2">
      <c r="V763" s="112"/>
      <c r="X763" s="112"/>
      <c r="Y763" s="112"/>
    </row>
    <row r="764" spans="22:25" x14ac:dyDescent="0.2">
      <c r="V764" s="112"/>
      <c r="X764" s="112"/>
      <c r="Y764" s="112"/>
    </row>
    <row r="765" spans="22:25" x14ac:dyDescent="0.2">
      <c r="V765" s="112"/>
      <c r="X765" s="112"/>
      <c r="Y765" s="112"/>
    </row>
    <row r="766" spans="22:25" x14ac:dyDescent="0.2">
      <c r="V766" s="112"/>
      <c r="X766" s="112"/>
      <c r="Y766" s="112"/>
    </row>
    <row r="767" spans="22:25" x14ac:dyDescent="0.2">
      <c r="V767" s="112"/>
      <c r="X767" s="112"/>
      <c r="Y767" s="112"/>
    </row>
    <row r="768" spans="22:25" x14ac:dyDescent="0.2">
      <c r="V768" s="112"/>
      <c r="X768" s="112"/>
      <c r="Y768" s="112"/>
    </row>
    <row r="769" spans="22:25" x14ac:dyDescent="0.2">
      <c r="V769" s="112"/>
      <c r="X769" s="112"/>
      <c r="Y769" s="112"/>
    </row>
    <row r="770" spans="22:25" x14ac:dyDescent="0.2">
      <c r="V770" s="112"/>
      <c r="X770" s="112"/>
      <c r="Y770" s="112"/>
    </row>
    <row r="771" spans="22:25" x14ac:dyDescent="0.2">
      <c r="V771" s="112"/>
      <c r="X771" s="112"/>
      <c r="Y771" s="112"/>
    </row>
    <row r="772" spans="22:25" x14ac:dyDescent="0.2">
      <c r="V772" s="112"/>
      <c r="X772" s="112"/>
      <c r="Y772" s="112"/>
    </row>
    <row r="773" spans="22:25" x14ac:dyDescent="0.2">
      <c r="V773" s="112"/>
      <c r="X773" s="112"/>
      <c r="Y773" s="112"/>
    </row>
    <row r="774" spans="22:25" x14ac:dyDescent="0.2">
      <c r="V774" s="112"/>
      <c r="X774" s="112"/>
      <c r="Y774" s="112"/>
    </row>
    <row r="775" spans="22:25" x14ac:dyDescent="0.2">
      <c r="V775" s="112"/>
      <c r="X775" s="112"/>
      <c r="Y775" s="112"/>
    </row>
    <row r="776" spans="22:25" x14ac:dyDescent="0.2">
      <c r="V776" s="112"/>
      <c r="X776" s="112"/>
      <c r="Y776" s="112"/>
    </row>
    <row r="777" spans="22:25" x14ac:dyDescent="0.2">
      <c r="V777" s="112"/>
      <c r="X777" s="112"/>
      <c r="Y777" s="112"/>
    </row>
    <row r="778" spans="22:25" x14ac:dyDescent="0.2">
      <c r="V778" s="112"/>
      <c r="X778" s="112"/>
      <c r="Y778" s="112"/>
    </row>
    <row r="779" spans="22:25" x14ac:dyDescent="0.2">
      <c r="V779" s="112"/>
      <c r="X779" s="112"/>
      <c r="Y779" s="112"/>
    </row>
    <row r="780" spans="22:25" x14ac:dyDescent="0.2">
      <c r="V780" s="112"/>
      <c r="X780" s="112"/>
      <c r="Y780" s="112"/>
    </row>
    <row r="781" spans="22:25" x14ac:dyDescent="0.2">
      <c r="V781" s="112"/>
      <c r="X781" s="112"/>
      <c r="Y781" s="112"/>
    </row>
    <row r="782" spans="22:25" x14ac:dyDescent="0.2">
      <c r="V782" s="112"/>
      <c r="X782" s="112"/>
      <c r="Y782" s="112"/>
    </row>
    <row r="783" spans="22:25" x14ac:dyDescent="0.2">
      <c r="V783" s="112"/>
      <c r="X783" s="112"/>
      <c r="Y783" s="112"/>
    </row>
    <row r="784" spans="22:25" x14ac:dyDescent="0.2">
      <c r="V784" s="112"/>
      <c r="X784" s="112"/>
      <c r="Y784" s="112"/>
    </row>
    <row r="785" spans="22:25" x14ac:dyDescent="0.2">
      <c r="V785" s="112"/>
      <c r="X785" s="112"/>
      <c r="Y785" s="112"/>
    </row>
    <row r="786" spans="22:25" x14ac:dyDescent="0.2">
      <c r="V786" s="112"/>
      <c r="X786" s="112"/>
      <c r="Y786" s="112"/>
    </row>
    <row r="787" spans="22:25" x14ac:dyDescent="0.2">
      <c r="V787" s="112"/>
      <c r="X787" s="112"/>
      <c r="Y787" s="112"/>
    </row>
    <row r="788" spans="22:25" x14ac:dyDescent="0.2">
      <c r="V788" s="112"/>
      <c r="X788" s="112"/>
      <c r="Y788" s="112"/>
    </row>
    <row r="789" spans="22:25" x14ac:dyDescent="0.2">
      <c r="V789" s="112"/>
      <c r="X789" s="112"/>
      <c r="Y789" s="112"/>
    </row>
    <row r="790" spans="22:25" x14ac:dyDescent="0.2">
      <c r="V790" s="112"/>
      <c r="X790" s="112"/>
      <c r="Y790" s="112"/>
    </row>
    <row r="791" spans="22:25" x14ac:dyDescent="0.2">
      <c r="V791" s="112"/>
      <c r="X791" s="112"/>
      <c r="Y791" s="112"/>
    </row>
    <row r="792" spans="22:25" x14ac:dyDescent="0.2">
      <c r="V792" s="112"/>
      <c r="X792" s="112"/>
      <c r="Y792" s="112"/>
    </row>
    <row r="793" spans="22:25" x14ac:dyDescent="0.2">
      <c r="V793" s="112"/>
      <c r="X793" s="112"/>
      <c r="Y793" s="112"/>
    </row>
    <row r="794" spans="22:25" x14ac:dyDescent="0.2">
      <c r="V794" s="112"/>
      <c r="X794" s="112"/>
      <c r="Y794" s="112"/>
    </row>
    <row r="795" spans="22:25" x14ac:dyDescent="0.2">
      <c r="V795" s="112"/>
      <c r="X795" s="112"/>
      <c r="Y795" s="112"/>
    </row>
    <row r="796" spans="22:25" x14ac:dyDescent="0.2">
      <c r="V796" s="112"/>
      <c r="X796" s="112"/>
      <c r="Y796" s="112"/>
    </row>
    <row r="797" spans="22:25" x14ac:dyDescent="0.2">
      <c r="V797" s="112"/>
      <c r="X797" s="112"/>
      <c r="Y797" s="112"/>
    </row>
    <row r="798" spans="22:25" x14ac:dyDescent="0.2">
      <c r="V798" s="112"/>
      <c r="X798" s="112"/>
      <c r="Y798" s="112"/>
    </row>
    <row r="799" spans="22:25" x14ac:dyDescent="0.2">
      <c r="V799" s="112"/>
      <c r="X799" s="112"/>
      <c r="Y799" s="112"/>
    </row>
    <row r="800" spans="22:25" x14ac:dyDescent="0.2">
      <c r="V800" s="112"/>
      <c r="X800" s="112"/>
      <c r="Y800" s="112"/>
    </row>
    <row r="801" spans="22:25" x14ac:dyDescent="0.2">
      <c r="V801" s="112"/>
      <c r="X801" s="112"/>
      <c r="Y801" s="112"/>
    </row>
    <row r="802" spans="22:25" x14ac:dyDescent="0.2">
      <c r="V802" s="112"/>
      <c r="X802" s="112"/>
      <c r="Y802" s="112"/>
    </row>
    <row r="803" spans="22:25" x14ac:dyDescent="0.2">
      <c r="V803" s="112"/>
      <c r="X803" s="112"/>
      <c r="Y803" s="112"/>
    </row>
    <row r="804" spans="22:25" x14ac:dyDescent="0.2">
      <c r="V804" s="112"/>
      <c r="X804" s="112"/>
      <c r="Y804" s="112"/>
    </row>
    <row r="805" spans="22:25" x14ac:dyDescent="0.2">
      <c r="V805" s="112"/>
      <c r="X805" s="112"/>
      <c r="Y805" s="112"/>
    </row>
    <row r="806" spans="22:25" x14ac:dyDescent="0.2">
      <c r="V806" s="112"/>
      <c r="X806" s="112"/>
      <c r="Y806" s="112"/>
    </row>
    <row r="807" spans="22:25" x14ac:dyDescent="0.2">
      <c r="V807" s="112"/>
      <c r="X807" s="112"/>
      <c r="Y807" s="112"/>
    </row>
    <row r="808" spans="22:25" x14ac:dyDescent="0.2">
      <c r="V808" s="112"/>
      <c r="X808" s="112"/>
      <c r="Y808" s="112"/>
    </row>
    <row r="809" spans="22:25" x14ac:dyDescent="0.2">
      <c r="V809" s="112"/>
      <c r="X809" s="112"/>
      <c r="Y809" s="112"/>
    </row>
    <row r="810" spans="22:25" x14ac:dyDescent="0.2">
      <c r="V810" s="112"/>
      <c r="X810" s="112"/>
      <c r="Y810" s="112"/>
    </row>
    <row r="811" spans="22:25" x14ac:dyDescent="0.2">
      <c r="V811" s="112"/>
      <c r="X811" s="112"/>
      <c r="Y811" s="112"/>
    </row>
    <row r="812" spans="22:25" x14ac:dyDescent="0.2">
      <c r="V812" s="112"/>
      <c r="X812" s="112"/>
      <c r="Y812" s="112"/>
    </row>
    <row r="813" spans="22:25" x14ac:dyDescent="0.2">
      <c r="V813" s="112"/>
      <c r="X813" s="112"/>
      <c r="Y813" s="112"/>
    </row>
    <row r="814" spans="22:25" x14ac:dyDescent="0.2">
      <c r="V814" s="112"/>
      <c r="X814" s="112"/>
      <c r="Y814" s="112"/>
    </row>
    <row r="815" spans="22:25" x14ac:dyDescent="0.2">
      <c r="V815" s="112"/>
      <c r="X815" s="112"/>
      <c r="Y815" s="112"/>
    </row>
    <row r="816" spans="22:25" x14ac:dyDescent="0.2">
      <c r="V816" s="112"/>
      <c r="X816" s="112"/>
      <c r="Y816" s="112"/>
    </row>
    <row r="817" spans="22:25" x14ac:dyDescent="0.2">
      <c r="V817" s="112"/>
      <c r="X817" s="112"/>
      <c r="Y817" s="112"/>
    </row>
    <row r="818" spans="22:25" x14ac:dyDescent="0.2">
      <c r="V818" s="112"/>
      <c r="X818" s="112"/>
      <c r="Y818" s="112"/>
    </row>
    <row r="819" spans="22:25" x14ac:dyDescent="0.2">
      <c r="V819" s="112"/>
      <c r="X819" s="112"/>
      <c r="Y819" s="112"/>
    </row>
    <row r="820" spans="22:25" x14ac:dyDescent="0.2">
      <c r="V820" s="112"/>
      <c r="X820" s="112"/>
      <c r="Y820" s="112"/>
    </row>
    <row r="821" spans="22:25" x14ac:dyDescent="0.2">
      <c r="V821" s="112"/>
      <c r="X821" s="112"/>
      <c r="Y821" s="112"/>
    </row>
    <row r="822" spans="22:25" x14ac:dyDescent="0.2">
      <c r="V822" s="112"/>
      <c r="X822" s="112"/>
      <c r="Y822" s="112"/>
    </row>
    <row r="823" spans="22:25" x14ac:dyDescent="0.2">
      <c r="V823" s="112"/>
      <c r="X823" s="112"/>
      <c r="Y823" s="112"/>
    </row>
    <row r="824" spans="22:25" x14ac:dyDescent="0.2">
      <c r="V824" s="112"/>
      <c r="X824" s="112"/>
      <c r="Y824" s="112"/>
    </row>
    <row r="825" spans="22:25" x14ac:dyDescent="0.2">
      <c r="V825" s="112"/>
      <c r="X825" s="112"/>
      <c r="Y825" s="112"/>
    </row>
    <row r="826" spans="22:25" x14ac:dyDescent="0.2">
      <c r="V826" s="112"/>
      <c r="X826" s="112"/>
      <c r="Y826" s="112"/>
    </row>
    <row r="827" spans="22:25" x14ac:dyDescent="0.2">
      <c r="V827" s="112"/>
      <c r="X827" s="112"/>
      <c r="Y827" s="112"/>
    </row>
    <row r="828" spans="22:25" x14ac:dyDescent="0.2">
      <c r="V828" s="112"/>
      <c r="X828" s="112"/>
      <c r="Y828" s="112"/>
    </row>
    <row r="829" spans="22:25" x14ac:dyDescent="0.2">
      <c r="V829" s="112"/>
      <c r="X829" s="112"/>
      <c r="Y829" s="112"/>
    </row>
    <row r="830" spans="22:25" x14ac:dyDescent="0.2">
      <c r="V830" s="112"/>
      <c r="X830" s="112"/>
      <c r="Y830" s="112"/>
    </row>
    <row r="831" spans="22:25" x14ac:dyDescent="0.2">
      <c r="V831" s="112"/>
      <c r="X831" s="112"/>
      <c r="Y831" s="112"/>
    </row>
    <row r="832" spans="22:25" x14ac:dyDescent="0.2">
      <c r="V832" s="112"/>
      <c r="X832" s="112"/>
      <c r="Y832" s="112"/>
    </row>
    <row r="833" spans="22:25" x14ac:dyDescent="0.2">
      <c r="V833" s="112"/>
      <c r="X833" s="112"/>
      <c r="Y833" s="112"/>
    </row>
    <row r="834" spans="22:25" x14ac:dyDescent="0.2">
      <c r="V834" s="112"/>
      <c r="X834" s="112"/>
      <c r="Y834" s="112"/>
    </row>
    <row r="835" spans="22:25" x14ac:dyDescent="0.2">
      <c r="V835" s="112"/>
      <c r="X835" s="112"/>
      <c r="Y835" s="112"/>
    </row>
    <row r="836" spans="22:25" x14ac:dyDescent="0.2">
      <c r="V836" s="112"/>
      <c r="X836" s="112"/>
      <c r="Y836" s="112"/>
    </row>
    <row r="837" spans="22:25" x14ac:dyDescent="0.2">
      <c r="V837" s="112"/>
      <c r="X837" s="112"/>
      <c r="Y837" s="112"/>
    </row>
    <row r="838" spans="22:25" x14ac:dyDescent="0.2">
      <c r="V838" s="112"/>
      <c r="X838" s="112"/>
      <c r="Y838" s="112"/>
    </row>
    <row r="839" spans="22:25" x14ac:dyDescent="0.2">
      <c r="V839" s="112"/>
      <c r="X839" s="112"/>
      <c r="Y839" s="112"/>
    </row>
    <row r="840" spans="22:25" x14ac:dyDescent="0.2">
      <c r="V840" s="112"/>
      <c r="X840" s="112"/>
      <c r="Y840" s="112"/>
    </row>
    <row r="841" spans="22:25" x14ac:dyDescent="0.2">
      <c r="V841" s="112"/>
      <c r="X841" s="112"/>
      <c r="Y841" s="112"/>
    </row>
    <row r="842" spans="22:25" x14ac:dyDescent="0.2">
      <c r="V842" s="112"/>
      <c r="X842" s="112"/>
      <c r="Y842" s="112"/>
    </row>
    <row r="843" spans="22:25" x14ac:dyDescent="0.2">
      <c r="V843" s="112"/>
      <c r="X843" s="112"/>
      <c r="Y843" s="112"/>
    </row>
    <row r="844" spans="22:25" x14ac:dyDescent="0.2">
      <c r="V844" s="112"/>
      <c r="X844" s="112"/>
      <c r="Y844" s="112"/>
    </row>
    <row r="845" spans="22:25" x14ac:dyDescent="0.2">
      <c r="V845" s="112"/>
      <c r="X845" s="112"/>
      <c r="Y845" s="112"/>
    </row>
    <row r="846" spans="22:25" x14ac:dyDescent="0.2">
      <c r="V846" s="112"/>
      <c r="X846" s="112"/>
      <c r="Y846" s="112"/>
    </row>
    <row r="847" spans="22:25" x14ac:dyDescent="0.2">
      <c r="V847" s="112"/>
      <c r="X847" s="112"/>
      <c r="Y847" s="112"/>
    </row>
    <row r="848" spans="22:25" x14ac:dyDescent="0.2">
      <c r="V848" s="112"/>
      <c r="X848" s="112"/>
      <c r="Y848" s="112"/>
    </row>
    <row r="849" spans="22:25" x14ac:dyDescent="0.2">
      <c r="V849" s="112"/>
      <c r="X849" s="112"/>
      <c r="Y849" s="112"/>
    </row>
    <row r="850" spans="22:25" x14ac:dyDescent="0.2">
      <c r="V850" s="112"/>
      <c r="X850" s="112"/>
      <c r="Y850" s="112"/>
    </row>
    <row r="851" spans="22:25" x14ac:dyDescent="0.2">
      <c r="V851" s="112"/>
      <c r="X851" s="112"/>
      <c r="Y851" s="112"/>
    </row>
    <row r="852" spans="22:25" x14ac:dyDescent="0.2">
      <c r="V852" s="112"/>
      <c r="X852" s="112"/>
      <c r="Y852" s="112"/>
    </row>
    <row r="853" spans="22:25" x14ac:dyDescent="0.2">
      <c r="V853" s="112"/>
      <c r="X853" s="112"/>
      <c r="Y853" s="112"/>
    </row>
    <row r="854" spans="22:25" x14ac:dyDescent="0.2">
      <c r="V854" s="112"/>
      <c r="X854" s="112"/>
      <c r="Y854" s="112"/>
    </row>
    <row r="855" spans="22:25" x14ac:dyDescent="0.2">
      <c r="V855" s="112"/>
      <c r="X855" s="112"/>
      <c r="Y855" s="112"/>
    </row>
    <row r="856" spans="22:25" x14ac:dyDescent="0.2">
      <c r="V856" s="112"/>
      <c r="X856" s="112"/>
      <c r="Y856" s="112"/>
    </row>
    <row r="857" spans="22:25" x14ac:dyDescent="0.2">
      <c r="V857" s="112"/>
      <c r="X857" s="112"/>
      <c r="Y857" s="112"/>
    </row>
    <row r="858" spans="22:25" x14ac:dyDescent="0.2">
      <c r="V858" s="112"/>
      <c r="X858" s="112"/>
      <c r="Y858" s="112"/>
    </row>
    <row r="859" spans="22:25" x14ac:dyDescent="0.2">
      <c r="V859" s="112"/>
      <c r="X859" s="112"/>
      <c r="Y859" s="112"/>
    </row>
    <row r="860" spans="22:25" x14ac:dyDescent="0.2">
      <c r="V860" s="112"/>
      <c r="X860" s="112"/>
      <c r="Y860" s="112"/>
    </row>
    <row r="861" spans="22:25" x14ac:dyDescent="0.2">
      <c r="V861" s="112"/>
      <c r="X861" s="112"/>
      <c r="Y861" s="112"/>
    </row>
    <row r="862" spans="22:25" x14ac:dyDescent="0.2">
      <c r="V862" s="112"/>
      <c r="X862" s="112"/>
      <c r="Y862" s="112"/>
    </row>
    <row r="863" spans="22:25" x14ac:dyDescent="0.2">
      <c r="V863" s="112"/>
      <c r="X863" s="112"/>
      <c r="Y863" s="112"/>
    </row>
    <row r="864" spans="22:25" x14ac:dyDescent="0.2">
      <c r="V864" s="112"/>
      <c r="X864" s="112"/>
      <c r="Y864" s="112"/>
    </row>
    <row r="865" spans="22:25" x14ac:dyDescent="0.2">
      <c r="V865" s="112"/>
      <c r="X865" s="112"/>
      <c r="Y865" s="112"/>
    </row>
    <row r="866" spans="22:25" x14ac:dyDescent="0.2">
      <c r="V866" s="112"/>
      <c r="X866" s="112"/>
      <c r="Y866" s="112"/>
    </row>
    <row r="867" spans="22:25" x14ac:dyDescent="0.2">
      <c r="V867" s="112"/>
      <c r="X867" s="112"/>
      <c r="Y867" s="112"/>
    </row>
    <row r="868" spans="22:25" x14ac:dyDescent="0.2">
      <c r="V868" s="112"/>
      <c r="X868" s="112"/>
      <c r="Y868" s="112"/>
    </row>
    <row r="869" spans="22:25" x14ac:dyDescent="0.2">
      <c r="V869" s="112"/>
      <c r="X869" s="112"/>
      <c r="Y869" s="112"/>
    </row>
    <row r="870" spans="22:25" x14ac:dyDescent="0.2">
      <c r="V870" s="112"/>
      <c r="X870" s="112"/>
      <c r="Y870" s="112"/>
    </row>
    <row r="871" spans="22:25" x14ac:dyDescent="0.2">
      <c r="V871" s="112"/>
      <c r="X871" s="112"/>
      <c r="Y871" s="112"/>
    </row>
    <row r="872" spans="22:25" x14ac:dyDescent="0.2">
      <c r="V872" s="112"/>
      <c r="X872" s="112"/>
      <c r="Y872" s="112"/>
    </row>
    <row r="873" spans="22:25" x14ac:dyDescent="0.2">
      <c r="V873" s="112"/>
      <c r="X873" s="112"/>
      <c r="Y873" s="112"/>
    </row>
    <row r="874" spans="22:25" x14ac:dyDescent="0.2">
      <c r="V874" s="112"/>
      <c r="X874" s="112"/>
      <c r="Y874" s="112"/>
    </row>
    <row r="875" spans="22:25" x14ac:dyDescent="0.2">
      <c r="V875" s="112"/>
      <c r="X875" s="112"/>
      <c r="Y875" s="112"/>
    </row>
    <row r="876" spans="22:25" x14ac:dyDescent="0.2">
      <c r="V876" s="112"/>
      <c r="X876" s="112"/>
      <c r="Y876" s="112"/>
    </row>
    <row r="877" spans="22:25" x14ac:dyDescent="0.2">
      <c r="V877" s="112"/>
      <c r="X877" s="112"/>
      <c r="Y877" s="112"/>
    </row>
    <row r="878" spans="22:25" x14ac:dyDescent="0.2">
      <c r="V878" s="112"/>
      <c r="X878" s="112"/>
      <c r="Y878" s="112"/>
    </row>
    <row r="879" spans="22:25" x14ac:dyDescent="0.2">
      <c r="V879" s="112"/>
      <c r="X879" s="112"/>
      <c r="Y879" s="112"/>
    </row>
    <row r="880" spans="22:25" x14ac:dyDescent="0.2">
      <c r="V880" s="112"/>
      <c r="X880" s="112"/>
      <c r="Y880" s="112"/>
    </row>
    <row r="881" spans="22:25" x14ac:dyDescent="0.2">
      <c r="V881" s="112"/>
      <c r="X881" s="112"/>
      <c r="Y881" s="112"/>
    </row>
    <row r="882" spans="22:25" x14ac:dyDescent="0.2">
      <c r="V882" s="112"/>
      <c r="X882" s="112"/>
      <c r="Y882" s="112"/>
    </row>
    <row r="883" spans="22:25" x14ac:dyDescent="0.2">
      <c r="V883" s="112"/>
      <c r="X883" s="112"/>
      <c r="Y883" s="112"/>
    </row>
    <row r="884" spans="22:25" x14ac:dyDescent="0.2">
      <c r="V884" s="112"/>
      <c r="X884" s="112"/>
      <c r="Y884" s="112"/>
    </row>
    <row r="885" spans="22:25" x14ac:dyDescent="0.2">
      <c r="V885" s="112"/>
      <c r="X885" s="112"/>
      <c r="Y885" s="112"/>
    </row>
    <row r="886" spans="22:25" x14ac:dyDescent="0.2">
      <c r="V886" s="112"/>
      <c r="X886" s="112"/>
      <c r="Y886" s="112"/>
    </row>
    <row r="887" spans="22:25" x14ac:dyDescent="0.2">
      <c r="V887" s="112"/>
      <c r="X887" s="112"/>
      <c r="Y887" s="112"/>
    </row>
    <row r="888" spans="22:25" x14ac:dyDescent="0.2">
      <c r="V888" s="112"/>
      <c r="X888" s="112"/>
      <c r="Y888" s="112"/>
    </row>
    <row r="889" spans="22:25" x14ac:dyDescent="0.2">
      <c r="V889" s="112"/>
      <c r="X889" s="112"/>
      <c r="Y889" s="112"/>
    </row>
    <row r="890" spans="22:25" x14ac:dyDescent="0.2">
      <c r="V890" s="112"/>
      <c r="X890" s="112"/>
      <c r="Y890" s="112"/>
    </row>
    <row r="891" spans="22:25" x14ac:dyDescent="0.2">
      <c r="V891" s="112"/>
      <c r="X891" s="112"/>
      <c r="Y891" s="112"/>
    </row>
    <row r="892" spans="22:25" x14ac:dyDescent="0.2">
      <c r="V892" s="112"/>
      <c r="X892" s="112"/>
      <c r="Y892" s="112"/>
    </row>
    <row r="893" spans="22:25" x14ac:dyDescent="0.2">
      <c r="V893" s="112"/>
      <c r="X893" s="112"/>
      <c r="Y893" s="112"/>
    </row>
    <row r="894" spans="22:25" x14ac:dyDescent="0.2">
      <c r="V894" s="112"/>
      <c r="X894" s="112"/>
      <c r="Y894" s="112"/>
    </row>
    <row r="895" spans="22:25" x14ac:dyDescent="0.2">
      <c r="V895" s="112"/>
      <c r="X895" s="112"/>
      <c r="Y895" s="112"/>
    </row>
    <row r="896" spans="22:25" x14ac:dyDescent="0.2">
      <c r="V896" s="112"/>
      <c r="X896" s="112"/>
      <c r="Y896" s="112"/>
    </row>
    <row r="897" spans="22:25" x14ac:dyDescent="0.2">
      <c r="V897" s="112"/>
      <c r="X897" s="112"/>
      <c r="Y897" s="112"/>
    </row>
    <row r="898" spans="22:25" x14ac:dyDescent="0.2">
      <c r="V898" s="112"/>
      <c r="X898" s="112"/>
      <c r="Y898" s="112"/>
    </row>
    <row r="899" spans="22:25" x14ac:dyDescent="0.2">
      <c r="V899" s="112"/>
      <c r="X899" s="112"/>
      <c r="Y899" s="112"/>
    </row>
    <row r="900" spans="22:25" x14ac:dyDescent="0.2">
      <c r="V900" s="112"/>
      <c r="X900" s="112"/>
      <c r="Y900" s="112"/>
    </row>
    <row r="901" spans="22:25" x14ac:dyDescent="0.2">
      <c r="V901" s="112"/>
      <c r="X901" s="112"/>
      <c r="Y901" s="112"/>
    </row>
    <row r="902" spans="22:25" x14ac:dyDescent="0.2">
      <c r="V902" s="112"/>
      <c r="X902" s="112"/>
      <c r="Y902" s="112"/>
    </row>
    <row r="903" spans="22:25" x14ac:dyDescent="0.2">
      <c r="V903" s="112"/>
      <c r="X903" s="112"/>
      <c r="Y903" s="112"/>
    </row>
    <row r="904" spans="22:25" x14ac:dyDescent="0.2">
      <c r="V904" s="112"/>
      <c r="X904" s="112"/>
      <c r="Y904" s="112"/>
    </row>
    <row r="905" spans="22:25" x14ac:dyDescent="0.2">
      <c r="V905" s="112"/>
      <c r="X905" s="112"/>
      <c r="Y905" s="112"/>
    </row>
    <row r="906" spans="22:25" x14ac:dyDescent="0.2">
      <c r="V906" s="112"/>
      <c r="X906" s="112"/>
      <c r="Y906" s="112"/>
    </row>
    <row r="907" spans="22:25" x14ac:dyDescent="0.2">
      <c r="V907" s="112"/>
      <c r="X907" s="112"/>
      <c r="Y907" s="112"/>
    </row>
    <row r="908" spans="22:25" x14ac:dyDescent="0.2">
      <c r="V908" s="112"/>
      <c r="X908" s="112"/>
      <c r="Y908" s="112"/>
    </row>
    <row r="909" spans="22:25" x14ac:dyDescent="0.2">
      <c r="V909" s="112"/>
      <c r="X909" s="112"/>
      <c r="Y909" s="112"/>
    </row>
    <row r="910" spans="22:25" x14ac:dyDescent="0.2">
      <c r="V910" s="112"/>
      <c r="X910" s="112"/>
      <c r="Y910" s="112"/>
    </row>
    <row r="911" spans="22:25" x14ac:dyDescent="0.2">
      <c r="V911" s="112"/>
      <c r="X911" s="112"/>
      <c r="Y911" s="112"/>
    </row>
    <row r="912" spans="22:25" x14ac:dyDescent="0.2">
      <c r="V912" s="112"/>
      <c r="X912" s="112"/>
      <c r="Y912" s="112"/>
    </row>
    <row r="913" spans="22:25" x14ac:dyDescent="0.2">
      <c r="V913" s="112"/>
      <c r="X913" s="112"/>
      <c r="Y913" s="112"/>
    </row>
    <row r="914" spans="22:25" x14ac:dyDescent="0.2">
      <c r="V914" s="112"/>
      <c r="X914" s="112"/>
      <c r="Y914" s="112"/>
    </row>
    <row r="915" spans="22:25" x14ac:dyDescent="0.2">
      <c r="V915" s="112"/>
      <c r="X915" s="112"/>
      <c r="Y915" s="112"/>
    </row>
    <row r="916" spans="22:25" x14ac:dyDescent="0.2">
      <c r="V916" s="112"/>
      <c r="X916" s="112"/>
      <c r="Y916" s="112"/>
    </row>
    <row r="917" spans="22:25" x14ac:dyDescent="0.2">
      <c r="V917" s="112"/>
      <c r="X917" s="112"/>
      <c r="Y917" s="112"/>
    </row>
    <row r="918" spans="22:25" x14ac:dyDescent="0.2">
      <c r="V918" s="112"/>
      <c r="X918" s="112"/>
      <c r="Y918" s="112"/>
    </row>
    <row r="919" spans="22:25" x14ac:dyDescent="0.2">
      <c r="V919" s="112"/>
      <c r="X919" s="112"/>
      <c r="Y919" s="112"/>
    </row>
    <row r="920" spans="22:25" x14ac:dyDescent="0.2">
      <c r="V920" s="112"/>
      <c r="X920" s="112"/>
      <c r="Y920" s="112"/>
    </row>
    <row r="921" spans="22:25" x14ac:dyDescent="0.2">
      <c r="V921" s="112"/>
      <c r="X921" s="112"/>
      <c r="Y921" s="112"/>
    </row>
    <row r="922" spans="22:25" x14ac:dyDescent="0.2">
      <c r="V922" s="112"/>
      <c r="X922" s="112"/>
      <c r="Y922" s="112"/>
    </row>
    <row r="923" spans="22:25" x14ac:dyDescent="0.2">
      <c r="V923" s="112"/>
      <c r="X923" s="112"/>
      <c r="Y923" s="112"/>
    </row>
    <row r="924" spans="22:25" x14ac:dyDescent="0.2">
      <c r="V924" s="112"/>
      <c r="X924" s="112"/>
      <c r="Y924" s="112"/>
    </row>
    <row r="925" spans="22:25" x14ac:dyDescent="0.2">
      <c r="V925" s="112"/>
      <c r="X925" s="112"/>
      <c r="Y925" s="112"/>
    </row>
    <row r="926" spans="22:25" x14ac:dyDescent="0.2">
      <c r="V926" s="112"/>
      <c r="X926" s="112"/>
      <c r="Y926" s="112"/>
    </row>
    <row r="927" spans="22:25" x14ac:dyDescent="0.2">
      <c r="V927" s="112"/>
      <c r="X927" s="112"/>
      <c r="Y927" s="112"/>
    </row>
    <row r="928" spans="22:25" x14ac:dyDescent="0.2">
      <c r="V928" s="112"/>
      <c r="X928" s="112"/>
      <c r="Y928" s="112"/>
    </row>
    <row r="929" spans="22:25" x14ac:dyDescent="0.2">
      <c r="V929" s="112"/>
      <c r="X929" s="112"/>
      <c r="Y929" s="112"/>
    </row>
    <row r="930" spans="22:25" x14ac:dyDescent="0.2">
      <c r="V930" s="112"/>
      <c r="X930" s="112"/>
      <c r="Y930" s="112"/>
    </row>
    <row r="931" spans="22:25" x14ac:dyDescent="0.2">
      <c r="V931" s="112"/>
      <c r="X931" s="112"/>
      <c r="Y931" s="112"/>
    </row>
    <row r="932" spans="22:25" x14ac:dyDescent="0.2">
      <c r="V932" s="112"/>
      <c r="X932" s="112"/>
      <c r="Y932" s="112"/>
    </row>
    <row r="933" spans="22:25" x14ac:dyDescent="0.2">
      <c r="V933" s="112"/>
      <c r="X933" s="112"/>
      <c r="Y933" s="112"/>
    </row>
    <row r="934" spans="22:25" x14ac:dyDescent="0.2">
      <c r="V934" s="112"/>
      <c r="X934" s="112"/>
      <c r="Y934" s="112"/>
    </row>
    <row r="935" spans="22:25" x14ac:dyDescent="0.2">
      <c r="V935" s="112"/>
      <c r="X935" s="112"/>
      <c r="Y935" s="112"/>
    </row>
    <row r="936" spans="22:25" x14ac:dyDescent="0.2">
      <c r="V936" s="112"/>
      <c r="X936" s="112"/>
      <c r="Y936" s="112"/>
    </row>
    <row r="937" spans="22:25" x14ac:dyDescent="0.2">
      <c r="V937" s="112"/>
      <c r="X937" s="112"/>
      <c r="Y937" s="112"/>
    </row>
    <row r="938" spans="22:25" x14ac:dyDescent="0.2">
      <c r="V938" s="112"/>
      <c r="X938" s="112"/>
      <c r="Y938" s="112"/>
    </row>
    <row r="939" spans="22:25" x14ac:dyDescent="0.2">
      <c r="V939" s="112"/>
      <c r="X939" s="112"/>
      <c r="Y939" s="112"/>
    </row>
    <row r="940" spans="22:25" x14ac:dyDescent="0.2">
      <c r="V940" s="112"/>
      <c r="X940" s="112"/>
      <c r="Y940" s="112"/>
    </row>
    <row r="941" spans="22:25" x14ac:dyDescent="0.2">
      <c r="V941" s="112"/>
      <c r="X941" s="112"/>
      <c r="Y941" s="112"/>
    </row>
    <row r="942" spans="22:25" x14ac:dyDescent="0.2">
      <c r="V942" s="112"/>
      <c r="X942" s="112"/>
      <c r="Y942" s="112"/>
    </row>
    <row r="943" spans="22:25" x14ac:dyDescent="0.2">
      <c r="V943" s="112"/>
      <c r="X943" s="112"/>
      <c r="Y943" s="112"/>
    </row>
    <row r="944" spans="22:25" x14ac:dyDescent="0.2">
      <c r="V944" s="112"/>
      <c r="X944" s="112"/>
      <c r="Y944" s="112"/>
    </row>
    <row r="945" spans="22:25" x14ac:dyDescent="0.2">
      <c r="V945" s="112"/>
      <c r="X945" s="112"/>
      <c r="Y945" s="112"/>
    </row>
    <row r="946" spans="22:25" x14ac:dyDescent="0.2">
      <c r="V946" s="112"/>
      <c r="X946" s="112"/>
      <c r="Y946" s="112"/>
    </row>
    <row r="947" spans="22:25" x14ac:dyDescent="0.2">
      <c r="V947" s="112"/>
      <c r="X947" s="112"/>
      <c r="Y947" s="112"/>
    </row>
    <row r="948" spans="22:25" x14ac:dyDescent="0.2">
      <c r="V948" s="112"/>
      <c r="X948" s="112"/>
      <c r="Y948" s="112"/>
    </row>
    <row r="949" spans="22:25" x14ac:dyDescent="0.2">
      <c r="V949" s="112"/>
      <c r="X949" s="112"/>
      <c r="Y949" s="112"/>
    </row>
    <row r="950" spans="22:25" x14ac:dyDescent="0.2">
      <c r="V950" s="112"/>
      <c r="X950" s="112"/>
      <c r="Y950" s="112"/>
    </row>
    <row r="951" spans="22:25" x14ac:dyDescent="0.2">
      <c r="V951" s="112"/>
      <c r="X951" s="112"/>
      <c r="Y951" s="112"/>
    </row>
    <row r="952" spans="22:25" x14ac:dyDescent="0.2">
      <c r="V952" s="112"/>
      <c r="X952" s="112"/>
      <c r="Y952" s="112"/>
    </row>
    <row r="953" spans="22:25" x14ac:dyDescent="0.2">
      <c r="V953" s="112"/>
      <c r="X953" s="112"/>
      <c r="Y953" s="112"/>
    </row>
    <row r="954" spans="22:25" x14ac:dyDescent="0.2">
      <c r="V954" s="112"/>
      <c r="X954" s="112"/>
      <c r="Y954" s="112"/>
    </row>
    <row r="955" spans="22:25" x14ac:dyDescent="0.2">
      <c r="V955" s="112"/>
      <c r="X955" s="112"/>
      <c r="Y955" s="112"/>
    </row>
    <row r="956" spans="22:25" x14ac:dyDescent="0.2">
      <c r="V956" s="112"/>
      <c r="X956" s="112"/>
      <c r="Y956" s="112"/>
    </row>
    <row r="957" spans="22:25" x14ac:dyDescent="0.2">
      <c r="V957" s="112"/>
      <c r="X957" s="112"/>
      <c r="Y957" s="112"/>
    </row>
    <row r="958" spans="22:25" x14ac:dyDescent="0.2">
      <c r="V958" s="112"/>
      <c r="X958" s="112"/>
      <c r="Y958" s="112"/>
    </row>
    <row r="959" spans="22:25" x14ac:dyDescent="0.2">
      <c r="V959" s="112"/>
      <c r="X959" s="112"/>
      <c r="Y959" s="112"/>
    </row>
    <row r="960" spans="22:25" x14ac:dyDescent="0.2">
      <c r="V960" s="112"/>
      <c r="X960" s="112"/>
      <c r="Y960" s="112"/>
    </row>
    <row r="961" spans="22:25" x14ac:dyDescent="0.2">
      <c r="V961" s="112"/>
      <c r="X961" s="112"/>
      <c r="Y961" s="112"/>
    </row>
    <row r="962" spans="22:25" x14ac:dyDescent="0.2">
      <c r="V962" s="112"/>
      <c r="X962" s="112"/>
      <c r="Y962" s="112"/>
    </row>
    <row r="963" spans="22:25" x14ac:dyDescent="0.2">
      <c r="V963" s="112"/>
      <c r="X963" s="112"/>
      <c r="Y963" s="112"/>
    </row>
    <row r="964" spans="22:25" x14ac:dyDescent="0.2">
      <c r="V964" s="112"/>
      <c r="X964" s="112"/>
      <c r="Y964" s="112"/>
    </row>
    <row r="965" spans="22:25" x14ac:dyDescent="0.2">
      <c r="V965" s="112"/>
      <c r="X965" s="112"/>
      <c r="Y965" s="112"/>
    </row>
    <row r="966" spans="22:25" x14ac:dyDescent="0.2">
      <c r="V966" s="112"/>
      <c r="X966" s="112"/>
      <c r="Y966" s="112"/>
    </row>
    <row r="967" spans="22:25" x14ac:dyDescent="0.2">
      <c r="V967" s="112"/>
      <c r="X967" s="112"/>
      <c r="Y967" s="112"/>
    </row>
    <row r="968" spans="22:25" x14ac:dyDescent="0.2">
      <c r="V968" s="112"/>
      <c r="X968" s="112"/>
      <c r="Y968" s="112"/>
    </row>
    <row r="969" spans="22:25" x14ac:dyDescent="0.2">
      <c r="V969" s="112"/>
      <c r="X969" s="112"/>
      <c r="Y969" s="112"/>
    </row>
    <row r="970" spans="22:25" x14ac:dyDescent="0.2">
      <c r="V970" s="112"/>
      <c r="X970" s="112"/>
      <c r="Y970" s="112"/>
    </row>
    <row r="971" spans="22:25" x14ac:dyDescent="0.2">
      <c r="V971" s="112"/>
      <c r="X971" s="112"/>
      <c r="Y971" s="112"/>
    </row>
    <row r="972" spans="22:25" x14ac:dyDescent="0.2">
      <c r="V972" s="112"/>
      <c r="X972" s="112"/>
      <c r="Y972" s="112"/>
    </row>
    <row r="973" spans="22:25" x14ac:dyDescent="0.2">
      <c r="V973" s="112"/>
      <c r="X973" s="112"/>
      <c r="Y973" s="112"/>
    </row>
    <row r="974" spans="22:25" x14ac:dyDescent="0.2">
      <c r="V974" s="112"/>
      <c r="X974" s="112"/>
      <c r="Y974" s="112"/>
    </row>
    <row r="975" spans="22:25" x14ac:dyDescent="0.2">
      <c r="V975" s="112"/>
      <c r="X975" s="112"/>
      <c r="Y975" s="112"/>
    </row>
    <row r="976" spans="22:25" x14ac:dyDescent="0.2">
      <c r="V976" s="112"/>
      <c r="X976" s="112"/>
      <c r="Y976" s="112"/>
    </row>
    <row r="977" spans="22:25" x14ac:dyDescent="0.2">
      <c r="V977" s="112"/>
      <c r="X977" s="112"/>
      <c r="Y977" s="112"/>
    </row>
    <row r="978" spans="22:25" x14ac:dyDescent="0.2">
      <c r="V978" s="112"/>
      <c r="X978" s="112"/>
      <c r="Y978" s="112"/>
    </row>
    <row r="979" spans="22:25" x14ac:dyDescent="0.2">
      <c r="V979" s="112"/>
      <c r="X979" s="112"/>
      <c r="Y979" s="112"/>
    </row>
    <row r="980" spans="22:25" x14ac:dyDescent="0.2">
      <c r="V980" s="112"/>
      <c r="X980" s="112"/>
      <c r="Y980" s="112"/>
    </row>
    <row r="981" spans="22:25" x14ac:dyDescent="0.2">
      <c r="V981" s="112"/>
      <c r="X981" s="112"/>
      <c r="Y981" s="112"/>
    </row>
    <row r="982" spans="22:25" x14ac:dyDescent="0.2">
      <c r="V982" s="112"/>
      <c r="X982" s="112"/>
      <c r="Y982" s="112"/>
    </row>
    <row r="983" spans="22:25" x14ac:dyDescent="0.2">
      <c r="V983" s="112"/>
      <c r="X983" s="112"/>
      <c r="Y983" s="112"/>
    </row>
    <row r="984" spans="22:25" x14ac:dyDescent="0.2">
      <c r="V984" s="112"/>
      <c r="X984" s="112"/>
      <c r="Y984" s="112"/>
    </row>
    <row r="985" spans="22:25" x14ac:dyDescent="0.2">
      <c r="V985" s="112"/>
      <c r="X985" s="112"/>
      <c r="Y985" s="112"/>
    </row>
    <row r="986" spans="22:25" x14ac:dyDescent="0.2">
      <c r="V986" s="112"/>
      <c r="X986" s="112"/>
      <c r="Y986" s="112"/>
    </row>
    <row r="987" spans="22:25" x14ac:dyDescent="0.2">
      <c r="V987" s="112"/>
      <c r="X987" s="112"/>
      <c r="Y987" s="112"/>
    </row>
    <row r="988" spans="22:25" x14ac:dyDescent="0.2">
      <c r="V988" s="112"/>
      <c r="X988" s="112"/>
      <c r="Y988" s="112"/>
    </row>
    <row r="989" spans="22:25" x14ac:dyDescent="0.2">
      <c r="V989" s="112"/>
      <c r="X989" s="112"/>
      <c r="Y989" s="112"/>
    </row>
    <row r="990" spans="22:25" x14ac:dyDescent="0.2">
      <c r="V990" s="112"/>
      <c r="X990" s="112"/>
      <c r="Y990" s="112"/>
    </row>
    <row r="991" spans="22:25" x14ac:dyDescent="0.2">
      <c r="V991" s="112"/>
      <c r="X991" s="112"/>
      <c r="Y991" s="112"/>
    </row>
    <row r="992" spans="22:25" x14ac:dyDescent="0.2">
      <c r="V992" s="112"/>
      <c r="X992" s="112"/>
      <c r="Y992" s="112"/>
    </row>
    <row r="993" spans="22:25" x14ac:dyDescent="0.2">
      <c r="V993" s="112"/>
      <c r="X993" s="112"/>
      <c r="Y993" s="112"/>
    </row>
    <row r="994" spans="22:25" x14ac:dyDescent="0.2">
      <c r="V994" s="112"/>
      <c r="X994" s="112"/>
      <c r="Y994" s="112"/>
    </row>
    <row r="995" spans="22:25" x14ac:dyDescent="0.2">
      <c r="V995" s="112"/>
      <c r="X995" s="112"/>
      <c r="Y995" s="112"/>
    </row>
    <row r="996" spans="22:25" x14ac:dyDescent="0.2">
      <c r="V996" s="112"/>
      <c r="X996" s="112"/>
      <c r="Y996" s="112"/>
    </row>
    <row r="997" spans="22:25" x14ac:dyDescent="0.2">
      <c r="V997" s="112"/>
      <c r="X997" s="112"/>
      <c r="Y997" s="112"/>
    </row>
    <row r="998" spans="22:25" x14ac:dyDescent="0.2">
      <c r="V998" s="112"/>
      <c r="X998" s="112"/>
      <c r="Y998" s="112"/>
    </row>
    <row r="999" spans="22:25" x14ac:dyDescent="0.2">
      <c r="V999" s="112"/>
      <c r="X999" s="112"/>
      <c r="Y999" s="112"/>
    </row>
    <row r="1000" spans="22:25" x14ac:dyDescent="0.2">
      <c r="V1000" s="112"/>
      <c r="X1000" s="112"/>
      <c r="Y1000" s="112"/>
    </row>
    <row r="1001" spans="22:25" x14ac:dyDescent="0.2">
      <c r="V1001" s="112"/>
      <c r="X1001" s="112"/>
      <c r="Y1001" s="112"/>
    </row>
    <row r="1002" spans="22:25" x14ac:dyDescent="0.2">
      <c r="V1002" s="112"/>
      <c r="X1002" s="112"/>
      <c r="Y1002" s="112"/>
    </row>
    <row r="1003" spans="22:25" x14ac:dyDescent="0.2">
      <c r="V1003" s="112"/>
      <c r="X1003" s="112"/>
      <c r="Y1003" s="112"/>
    </row>
    <row r="1004" spans="22:25" x14ac:dyDescent="0.2">
      <c r="V1004" s="112"/>
      <c r="X1004" s="112"/>
      <c r="Y1004" s="112"/>
    </row>
    <row r="1005" spans="22:25" x14ac:dyDescent="0.2">
      <c r="V1005" s="112"/>
      <c r="X1005" s="112"/>
      <c r="Y1005" s="112"/>
    </row>
    <row r="1006" spans="22:25" x14ac:dyDescent="0.2">
      <c r="V1006" s="112"/>
      <c r="X1006" s="112"/>
      <c r="Y1006" s="112"/>
    </row>
    <row r="1007" spans="22:25" x14ac:dyDescent="0.2">
      <c r="V1007" s="112"/>
      <c r="X1007" s="112"/>
      <c r="Y1007" s="112"/>
    </row>
    <row r="1008" spans="22:25" x14ac:dyDescent="0.2">
      <c r="V1008" s="112"/>
      <c r="X1008" s="112"/>
      <c r="Y1008" s="112"/>
    </row>
    <row r="1009" spans="22:25" x14ac:dyDescent="0.2">
      <c r="V1009" s="112"/>
      <c r="X1009" s="112"/>
      <c r="Y1009" s="112"/>
    </row>
    <row r="1010" spans="22:25" x14ac:dyDescent="0.2">
      <c r="V1010" s="112"/>
      <c r="X1010" s="112"/>
      <c r="Y1010" s="112"/>
    </row>
    <row r="1011" spans="22:25" x14ac:dyDescent="0.2">
      <c r="V1011" s="112"/>
      <c r="X1011" s="112"/>
      <c r="Y1011" s="112"/>
    </row>
    <row r="1012" spans="22:25" x14ac:dyDescent="0.2">
      <c r="V1012" s="112"/>
      <c r="X1012" s="112"/>
      <c r="Y1012" s="112"/>
    </row>
    <row r="1013" spans="22:25" x14ac:dyDescent="0.2">
      <c r="V1013" s="112"/>
      <c r="X1013" s="112"/>
      <c r="Y1013" s="112"/>
    </row>
    <row r="1014" spans="22:25" x14ac:dyDescent="0.2">
      <c r="V1014" s="112"/>
      <c r="X1014" s="112"/>
      <c r="Y1014" s="112"/>
    </row>
    <row r="1015" spans="22:25" x14ac:dyDescent="0.2">
      <c r="V1015" s="112"/>
      <c r="X1015" s="112"/>
      <c r="Y1015" s="112"/>
    </row>
    <row r="1016" spans="22:25" x14ac:dyDescent="0.2">
      <c r="V1016" s="112"/>
      <c r="X1016" s="112"/>
      <c r="Y1016" s="112"/>
    </row>
    <row r="1017" spans="22:25" x14ac:dyDescent="0.2">
      <c r="V1017" s="112"/>
      <c r="X1017" s="112"/>
      <c r="Y1017" s="112"/>
    </row>
    <row r="1018" spans="22:25" x14ac:dyDescent="0.2">
      <c r="V1018" s="112"/>
      <c r="X1018" s="112"/>
      <c r="Y1018" s="112"/>
    </row>
    <row r="1019" spans="22:25" x14ac:dyDescent="0.2">
      <c r="V1019" s="112"/>
      <c r="X1019" s="112"/>
      <c r="Y1019" s="112"/>
    </row>
    <row r="1020" spans="22:25" x14ac:dyDescent="0.2">
      <c r="V1020" s="112"/>
      <c r="X1020" s="112"/>
      <c r="Y1020" s="112"/>
    </row>
    <row r="1021" spans="22:25" x14ac:dyDescent="0.2">
      <c r="V1021" s="112"/>
      <c r="X1021" s="112"/>
      <c r="Y1021" s="112"/>
    </row>
    <row r="1022" spans="22:25" x14ac:dyDescent="0.2">
      <c r="V1022" s="112"/>
      <c r="X1022" s="112"/>
      <c r="Y1022" s="112"/>
    </row>
    <row r="1023" spans="22:25" x14ac:dyDescent="0.2">
      <c r="V1023" s="112"/>
      <c r="X1023" s="112"/>
      <c r="Y1023" s="112"/>
    </row>
    <row r="1024" spans="22:25" x14ac:dyDescent="0.2">
      <c r="V1024" s="112"/>
      <c r="X1024" s="112"/>
      <c r="Y1024" s="112"/>
    </row>
    <row r="1025" spans="22:25" x14ac:dyDescent="0.2">
      <c r="V1025" s="112"/>
      <c r="X1025" s="112"/>
      <c r="Y1025" s="112"/>
    </row>
    <row r="1026" spans="22:25" x14ac:dyDescent="0.2">
      <c r="V1026" s="112"/>
      <c r="X1026" s="112"/>
      <c r="Y1026" s="112"/>
    </row>
    <row r="1027" spans="22:25" x14ac:dyDescent="0.2">
      <c r="V1027" s="112"/>
      <c r="X1027" s="112"/>
      <c r="Y1027" s="112"/>
    </row>
    <row r="1028" spans="22:25" x14ac:dyDescent="0.2">
      <c r="V1028" s="112"/>
      <c r="X1028" s="112"/>
      <c r="Y1028" s="112"/>
    </row>
    <row r="1029" spans="22:25" x14ac:dyDescent="0.2">
      <c r="V1029" s="112"/>
      <c r="X1029" s="112"/>
      <c r="Y1029" s="112"/>
    </row>
    <row r="1030" spans="22:25" x14ac:dyDescent="0.2">
      <c r="V1030" s="112"/>
      <c r="X1030" s="112"/>
      <c r="Y1030" s="112"/>
    </row>
    <row r="1031" spans="22:25" x14ac:dyDescent="0.2">
      <c r="V1031" s="112"/>
      <c r="X1031" s="112"/>
      <c r="Y1031" s="112"/>
    </row>
    <row r="1032" spans="22:25" x14ac:dyDescent="0.2">
      <c r="V1032" s="112"/>
      <c r="X1032" s="112"/>
      <c r="Y1032" s="112"/>
    </row>
    <row r="1033" spans="22:25" x14ac:dyDescent="0.2">
      <c r="V1033" s="112"/>
      <c r="X1033" s="112"/>
      <c r="Y1033" s="112"/>
    </row>
    <row r="1034" spans="22:25" x14ac:dyDescent="0.2">
      <c r="V1034" s="112"/>
      <c r="X1034" s="112"/>
      <c r="Y1034" s="112"/>
    </row>
    <row r="1035" spans="22:25" x14ac:dyDescent="0.2">
      <c r="V1035" s="112"/>
      <c r="X1035" s="112"/>
      <c r="Y1035" s="112"/>
    </row>
    <row r="1036" spans="22:25" x14ac:dyDescent="0.2">
      <c r="V1036" s="112"/>
      <c r="X1036" s="112"/>
      <c r="Y1036" s="112"/>
    </row>
    <row r="1037" spans="22:25" x14ac:dyDescent="0.2">
      <c r="V1037" s="112"/>
      <c r="X1037" s="112"/>
      <c r="Y1037" s="112"/>
    </row>
    <row r="1038" spans="22:25" x14ac:dyDescent="0.2">
      <c r="V1038" s="112"/>
      <c r="X1038" s="112"/>
      <c r="Y1038" s="112"/>
    </row>
    <row r="1039" spans="22:25" x14ac:dyDescent="0.2">
      <c r="V1039" s="112"/>
      <c r="X1039" s="112"/>
      <c r="Y1039" s="112"/>
    </row>
    <row r="1040" spans="22:25" x14ac:dyDescent="0.2">
      <c r="V1040" s="112"/>
      <c r="X1040" s="112"/>
      <c r="Y1040" s="112"/>
    </row>
    <row r="1041" spans="22:25" x14ac:dyDescent="0.2">
      <c r="V1041" s="112"/>
      <c r="X1041" s="112"/>
      <c r="Y1041" s="112"/>
    </row>
    <row r="1042" spans="22:25" x14ac:dyDescent="0.2">
      <c r="V1042" s="112"/>
      <c r="X1042" s="112"/>
      <c r="Y1042" s="112"/>
    </row>
    <row r="1043" spans="22:25" x14ac:dyDescent="0.2">
      <c r="V1043" s="112"/>
      <c r="X1043" s="112"/>
      <c r="Y1043" s="112"/>
    </row>
    <row r="1044" spans="22:25" x14ac:dyDescent="0.2">
      <c r="V1044" s="112"/>
      <c r="X1044" s="112"/>
      <c r="Y1044" s="112"/>
    </row>
    <row r="1045" spans="22:25" x14ac:dyDescent="0.2">
      <c r="V1045" s="112"/>
      <c r="X1045" s="112"/>
      <c r="Y1045" s="112"/>
    </row>
    <row r="1046" spans="22:25" x14ac:dyDescent="0.2">
      <c r="V1046" s="112"/>
      <c r="X1046" s="112"/>
      <c r="Y1046" s="112"/>
    </row>
    <row r="1047" spans="22:25" x14ac:dyDescent="0.2">
      <c r="V1047" s="112"/>
      <c r="X1047" s="112"/>
      <c r="Y1047" s="112"/>
    </row>
    <row r="1048" spans="22:25" x14ac:dyDescent="0.2">
      <c r="V1048" s="112"/>
      <c r="X1048" s="112"/>
      <c r="Y1048" s="112"/>
    </row>
    <row r="1049" spans="22:25" x14ac:dyDescent="0.2">
      <c r="V1049" s="112"/>
      <c r="X1049" s="112"/>
      <c r="Y1049" s="112"/>
    </row>
    <row r="1050" spans="22:25" x14ac:dyDescent="0.2">
      <c r="V1050" s="112"/>
      <c r="X1050" s="112"/>
      <c r="Y1050" s="112"/>
    </row>
    <row r="1051" spans="22:25" x14ac:dyDescent="0.2">
      <c r="V1051" s="112"/>
      <c r="X1051" s="112"/>
      <c r="Y1051" s="112"/>
    </row>
    <row r="1052" spans="22:25" x14ac:dyDescent="0.2">
      <c r="V1052" s="112"/>
      <c r="X1052" s="112"/>
      <c r="Y1052" s="112"/>
    </row>
    <row r="1053" spans="22:25" x14ac:dyDescent="0.2">
      <c r="V1053" s="112"/>
      <c r="X1053" s="112"/>
      <c r="Y1053" s="112"/>
    </row>
    <row r="1054" spans="22:25" x14ac:dyDescent="0.2">
      <c r="V1054" s="112"/>
      <c r="X1054" s="112"/>
      <c r="Y1054" s="112"/>
    </row>
    <row r="1055" spans="22:25" x14ac:dyDescent="0.2">
      <c r="V1055" s="112"/>
      <c r="X1055" s="112"/>
      <c r="Y1055" s="112"/>
    </row>
    <row r="1056" spans="22:25" x14ac:dyDescent="0.2">
      <c r="V1056" s="112"/>
      <c r="X1056" s="112"/>
      <c r="Y1056" s="112"/>
    </row>
    <row r="1057" spans="22:25" x14ac:dyDescent="0.2">
      <c r="V1057" s="112"/>
      <c r="X1057" s="112"/>
      <c r="Y1057" s="112"/>
    </row>
    <row r="1058" spans="22:25" x14ac:dyDescent="0.2">
      <c r="V1058" s="112"/>
      <c r="X1058" s="112"/>
      <c r="Y1058" s="112"/>
    </row>
    <row r="1059" spans="22:25" x14ac:dyDescent="0.2">
      <c r="V1059" s="112"/>
      <c r="X1059" s="112"/>
      <c r="Y1059" s="112"/>
    </row>
    <row r="1060" spans="22:25" x14ac:dyDescent="0.2">
      <c r="V1060" s="112"/>
      <c r="X1060" s="112"/>
      <c r="Y1060" s="112"/>
    </row>
    <row r="1061" spans="22:25" x14ac:dyDescent="0.2">
      <c r="V1061" s="112"/>
      <c r="X1061" s="112"/>
      <c r="Y1061" s="112"/>
    </row>
    <row r="1062" spans="22:25" x14ac:dyDescent="0.2">
      <c r="V1062" s="112"/>
      <c r="X1062" s="112"/>
      <c r="Y1062" s="112"/>
    </row>
    <row r="1063" spans="22:25" x14ac:dyDescent="0.2">
      <c r="V1063" s="112"/>
      <c r="X1063" s="112"/>
      <c r="Y1063" s="112"/>
    </row>
    <row r="1064" spans="22:25" x14ac:dyDescent="0.2">
      <c r="V1064" s="112"/>
      <c r="X1064" s="112"/>
      <c r="Y1064" s="112"/>
    </row>
    <row r="1065" spans="22:25" x14ac:dyDescent="0.2">
      <c r="V1065" s="112"/>
      <c r="X1065" s="112"/>
      <c r="Y1065" s="112"/>
    </row>
    <row r="1066" spans="22:25" x14ac:dyDescent="0.2">
      <c r="V1066" s="112"/>
      <c r="X1066" s="112"/>
      <c r="Y1066" s="112"/>
    </row>
    <row r="1067" spans="22:25" x14ac:dyDescent="0.2">
      <c r="V1067" s="112"/>
      <c r="X1067" s="112"/>
      <c r="Y1067" s="112"/>
    </row>
    <row r="1068" spans="22:25" x14ac:dyDescent="0.2">
      <c r="V1068" s="112"/>
      <c r="X1068" s="112"/>
      <c r="Y1068" s="112"/>
    </row>
    <row r="1069" spans="22:25" x14ac:dyDescent="0.2">
      <c r="V1069" s="112"/>
      <c r="X1069" s="112"/>
      <c r="Y1069" s="112"/>
    </row>
    <row r="1070" spans="22:25" x14ac:dyDescent="0.2">
      <c r="V1070" s="112"/>
      <c r="X1070" s="112"/>
      <c r="Y1070" s="112"/>
    </row>
    <row r="1071" spans="22:25" x14ac:dyDescent="0.2">
      <c r="V1071" s="112"/>
      <c r="X1071" s="112"/>
      <c r="Y1071" s="112"/>
    </row>
    <row r="1072" spans="22:25" x14ac:dyDescent="0.2">
      <c r="V1072" s="112"/>
      <c r="X1072" s="112"/>
      <c r="Y1072" s="112"/>
    </row>
    <row r="1073" spans="22:25" x14ac:dyDescent="0.2">
      <c r="V1073" s="112"/>
      <c r="X1073" s="112"/>
      <c r="Y1073" s="112"/>
    </row>
    <row r="1074" spans="22:25" x14ac:dyDescent="0.2">
      <c r="V1074" s="112"/>
      <c r="X1074" s="112"/>
      <c r="Y1074" s="112"/>
    </row>
    <row r="1075" spans="22:25" x14ac:dyDescent="0.2">
      <c r="V1075" s="112"/>
      <c r="X1075" s="112"/>
      <c r="Y1075" s="112"/>
    </row>
    <row r="1076" spans="22:25" x14ac:dyDescent="0.2">
      <c r="V1076" s="112"/>
      <c r="X1076" s="112"/>
      <c r="Y1076" s="112"/>
    </row>
    <row r="1077" spans="22:25" x14ac:dyDescent="0.2">
      <c r="V1077" s="112"/>
      <c r="X1077" s="112"/>
      <c r="Y1077" s="112"/>
    </row>
    <row r="1078" spans="22:25" x14ac:dyDescent="0.2">
      <c r="V1078" s="112"/>
      <c r="X1078" s="112"/>
      <c r="Y1078" s="112"/>
    </row>
    <row r="1079" spans="22:25" x14ac:dyDescent="0.2">
      <c r="V1079" s="112"/>
      <c r="X1079" s="112"/>
      <c r="Y1079" s="112"/>
    </row>
    <row r="1080" spans="22:25" x14ac:dyDescent="0.2">
      <c r="V1080" s="112"/>
      <c r="X1080" s="112"/>
      <c r="Y1080" s="112"/>
    </row>
    <row r="1081" spans="22:25" x14ac:dyDescent="0.2">
      <c r="V1081" s="112"/>
      <c r="X1081" s="112"/>
      <c r="Y1081" s="112"/>
    </row>
    <row r="1082" spans="22:25" x14ac:dyDescent="0.2">
      <c r="V1082" s="112"/>
      <c r="X1082" s="112"/>
      <c r="Y1082" s="112"/>
    </row>
    <row r="1083" spans="22:25" x14ac:dyDescent="0.2">
      <c r="V1083" s="112"/>
      <c r="X1083" s="112"/>
      <c r="Y1083" s="112"/>
    </row>
    <row r="1084" spans="22:25" x14ac:dyDescent="0.2">
      <c r="V1084" s="112"/>
      <c r="X1084" s="112"/>
      <c r="Y1084" s="112"/>
    </row>
    <row r="1085" spans="22:25" x14ac:dyDescent="0.2">
      <c r="V1085" s="112"/>
      <c r="X1085" s="112"/>
      <c r="Y1085" s="112"/>
    </row>
    <row r="1086" spans="22:25" x14ac:dyDescent="0.2">
      <c r="V1086" s="112"/>
      <c r="X1086" s="112"/>
      <c r="Y1086" s="112"/>
    </row>
    <row r="1087" spans="22:25" x14ac:dyDescent="0.2">
      <c r="V1087" s="112"/>
      <c r="X1087" s="112"/>
      <c r="Y1087" s="112"/>
    </row>
    <row r="1088" spans="22:25" x14ac:dyDescent="0.2">
      <c r="V1088" s="112"/>
      <c r="X1088" s="112"/>
      <c r="Y1088" s="112"/>
    </row>
    <row r="1089" spans="22:25" x14ac:dyDescent="0.2">
      <c r="V1089" s="112"/>
      <c r="X1089" s="112"/>
      <c r="Y1089" s="112"/>
    </row>
    <row r="1090" spans="22:25" x14ac:dyDescent="0.2">
      <c r="V1090" s="112"/>
      <c r="X1090" s="112"/>
      <c r="Y1090" s="112"/>
    </row>
    <row r="1091" spans="22:25" x14ac:dyDescent="0.2">
      <c r="V1091" s="112"/>
      <c r="X1091" s="112"/>
      <c r="Y1091" s="112"/>
    </row>
    <row r="1092" spans="22:25" x14ac:dyDescent="0.2">
      <c r="V1092" s="112"/>
      <c r="X1092" s="112"/>
      <c r="Y1092" s="112"/>
    </row>
    <row r="1093" spans="22:25" x14ac:dyDescent="0.2">
      <c r="V1093" s="112"/>
      <c r="X1093" s="112"/>
      <c r="Y1093" s="112"/>
    </row>
    <row r="1094" spans="22:25" x14ac:dyDescent="0.2">
      <c r="V1094" s="112"/>
      <c r="X1094" s="112"/>
      <c r="Y1094" s="112"/>
    </row>
    <row r="1095" spans="22:25" x14ac:dyDescent="0.2">
      <c r="V1095" s="112"/>
      <c r="X1095" s="112"/>
      <c r="Y1095" s="112"/>
    </row>
    <row r="1096" spans="22:25" x14ac:dyDescent="0.2">
      <c r="V1096" s="112"/>
      <c r="X1096" s="112"/>
      <c r="Y1096" s="112"/>
    </row>
    <row r="1097" spans="22:25" x14ac:dyDescent="0.2">
      <c r="V1097" s="112"/>
      <c r="X1097" s="112"/>
      <c r="Y1097" s="112"/>
    </row>
    <row r="1098" spans="22:25" x14ac:dyDescent="0.2">
      <c r="V1098" s="112"/>
      <c r="X1098" s="112"/>
      <c r="Y1098" s="112"/>
    </row>
    <row r="1099" spans="22:25" x14ac:dyDescent="0.2">
      <c r="V1099" s="112"/>
      <c r="X1099" s="112"/>
      <c r="Y1099" s="112"/>
    </row>
    <row r="1100" spans="22:25" x14ac:dyDescent="0.2">
      <c r="V1100" s="112"/>
      <c r="X1100" s="112"/>
      <c r="Y1100" s="112"/>
    </row>
    <row r="1101" spans="22:25" x14ac:dyDescent="0.2">
      <c r="V1101" s="112"/>
      <c r="X1101" s="112"/>
      <c r="Y1101" s="112"/>
    </row>
    <row r="1102" spans="22:25" x14ac:dyDescent="0.2">
      <c r="V1102" s="112"/>
      <c r="X1102" s="112"/>
      <c r="Y1102" s="112"/>
    </row>
    <row r="1103" spans="22:25" x14ac:dyDescent="0.2">
      <c r="V1103" s="112"/>
      <c r="X1103" s="112"/>
      <c r="Y1103" s="112"/>
    </row>
    <row r="1104" spans="22:25" x14ac:dyDescent="0.2">
      <c r="V1104" s="112"/>
      <c r="X1104" s="112"/>
      <c r="Y1104" s="112"/>
    </row>
    <row r="1105" spans="22:25" x14ac:dyDescent="0.2">
      <c r="V1105" s="112"/>
      <c r="X1105" s="112"/>
      <c r="Y1105" s="112"/>
    </row>
    <row r="1106" spans="22:25" x14ac:dyDescent="0.2">
      <c r="V1106" s="112"/>
      <c r="X1106" s="112"/>
      <c r="Y1106" s="112"/>
    </row>
    <row r="1107" spans="22:25" x14ac:dyDescent="0.2">
      <c r="V1107" s="112"/>
      <c r="X1107" s="112"/>
      <c r="Y1107" s="112"/>
    </row>
    <row r="1108" spans="22:25" x14ac:dyDescent="0.2">
      <c r="V1108" s="112"/>
      <c r="X1108" s="112"/>
      <c r="Y1108" s="112"/>
    </row>
    <row r="1109" spans="22:25" x14ac:dyDescent="0.2">
      <c r="V1109" s="112"/>
      <c r="X1109" s="112"/>
      <c r="Y1109" s="112"/>
    </row>
    <row r="1110" spans="22:25" x14ac:dyDescent="0.2">
      <c r="V1110" s="112"/>
      <c r="X1110" s="112"/>
      <c r="Y1110" s="112"/>
    </row>
    <row r="1111" spans="22:25" x14ac:dyDescent="0.2">
      <c r="V1111" s="112"/>
      <c r="X1111" s="112"/>
      <c r="Y1111" s="112"/>
    </row>
    <row r="1112" spans="22:25" x14ac:dyDescent="0.2">
      <c r="V1112" s="112"/>
      <c r="X1112" s="112"/>
      <c r="Y1112" s="112"/>
    </row>
    <row r="1113" spans="22:25" x14ac:dyDescent="0.2">
      <c r="V1113" s="112"/>
      <c r="X1113" s="112"/>
      <c r="Y1113" s="112"/>
    </row>
    <row r="1114" spans="22:25" x14ac:dyDescent="0.2">
      <c r="V1114" s="112"/>
      <c r="X1114" s="112"/>
      <c r="Y1114" s="112"/>
    </row>
    <row r="1115" spans="22:25" x14ac:dyDescent="0.2">
      <c r="V1115" s="112"/>
      <c r="X1115" s="112"/>
      <c r="Y1115" s="112"/>
    </row>
    <row r="1116" spans="22:25" x14ac:dyDescent="0.2">
      <c r="V1116" s="112"/>
      <c r="X1116" s="112"/>
      <c r="Y1116" s="112"/>
    </row>
    <row r="1117" spans="22:25" x14ac:dyDescent="0.2">
      <c r="V1117" s="112"/>
      <c r="X1117" s="112"/>
      <c r="Y1117" s="112"/>
    </row>
    <row r="1118" spans="22:25" x14ac:dyDescent="0.2">
      <c r="V1118" s="112"/>
      <c r="X1118" s="112"/>
      <c r="Y1118" s="112"/>
    </row>
    <row r="1119" spans="22:25" x14ac:dyDescent="0.2">
      <c r="V1119" s="112"/>
      <c r="X1119" s="112"/>
      <c r="Y1119" s="112"/>
    </row>
    <row r="1120" spans="22:25" x14ac:dyDescent="0.2">
      <c r="V1120" s="112"/>
      <c r="X1120" s="112"/>
      <c r="Y1120" s="112"/>
    </row>
    <row r="1121" spans="22:25" x14ac:dyDescent="0.2">
      <c r="V1121" s="112"/>
      <c r="X1121" s="112"/>
      <c r="Y1121" s="112"/>
    </row>
    <row r="1122" spans="22:25" x14ac:dyDescent="0.2">
      <c r="V1122" s="112"/>
      <c r="X1122" s="112"/>
      <c r="Y1122" s="112"/>
    </row>
    <row r="1123" spans="22:25" x14ac:dyDescent="0.2">
      <c r="V1123" s="112"/>
      <c r="X1123" s="112"/>
      <c r="Y1123" s="112"/>
    </row>
    <row r="1124" spans="22:25" x14ac:dyDescent="0.2">
      <c r="V1124" s="112"/>
      <c r="X1124" s="112"/>
      <c r="Y1124" s="112"/>
    </row>
    <row r="1125" spans="22:25" x14ac:dyDescent="0.2">
      <c r="V1125" s="112"/>
      <c r="X1125" s="112"/>
      <c r="Y1125" s="112"/>
    </row>
    <row r="1126" spans="22:25" x14ac:dyDescent="0.2">
      <c r="V1126" s="112"/>
      <c r="X1126" s="112"/>
      <c r="Y1126" s="112"/>
    </row>
    <row r="1127" spans="22:25" x14ac:dyDescent="0.2">
      <c r="V1127" s="112"/>
      <c r="X1127" s="112"/>
      <c r="Y1127" s="112"/>
    </row>
    <row r="1128" spans="22:25" x14ac:dyDescent="0.2">
      <c r="V1128" s="112"/>
      <c r="X1128" s="112"/>
      <c r="Y1128" s="112"/>
    </row>
    <row r="1129" spans="22:25" x14ac:dyDescent="0.2">
      <c r="V1129" s="112"/>
      <c r="X1129" s="112"/>
      <c r="Y1129" s="112"/>
    </row>
    <row r="1130" spans="22:25" x14ac:dyDescent="0.2">
      <c r="V1130" s="112"/>
      <c r="X1130" s="112"/>
      <c r="Y1130" s="112"/>
    </row>
    <row r="1131" spans="22:25" x14ac:dyDescent="0.2">
      <c r="V1131" s="112"/>
      <c r="X1131" s="112"/>
      <c r="Y1131" s="112"/>
    </row>
    <row r="1132" spans="22:25" x14ac:dyDescent="0.2">
      <c r="V1132" s="112"/>
      <c r="X1132" s="112"/>
      <c r="Y1132" s="112"/>
    </row>
    <row r="1133" spans="22:25" x14ac:dyDescent="0.2">
      <c r="V1133" s="112"/>
      <c r="X1133" s="112"/>
      <c r="Y1133" s="112"/>
    </row>
    <row r="1134" spans="22:25" x14ac:dyDescent="0.2">
      <c r="V1134" s="112"/>
      <c r="X1134" s="112"/>
      <c r="Y1134" s="112"/>
    </row>
    <row r="1135" spans="22:25" x14ac:dyDescent="0.2">
      <c r="V1135" s="112"/>
      <c r="X1135" s="112"/>
      <c r="Y1135" s="112"/>
    </row>
    <row r="1136" spans="22:25" x14ac:dyDescent="0.2">
      <c r="V1136" s="112"/>
      <c r="X1136" s="112"/>
      <c r="Y1136" s="112"/>
    </row>
    <row r="1137" spans="22:25" x14ac:dyDescent="0.2">
      <c r="V1137" s="112"/>
      <c r="X1137" s="112"/>
      <c r="Y1137" s="112"/>
    </row>
    <row r="1138" spans="22:25" x14ac:dyDescent="0.2">
      <c r="V1138" s="112"/>
      <c r="X1138" s="112"/>
      <c r="Y1138" s="112"/>
    </row>
    <row r="1139" spans="22:25" x14ac:dyDescent="0.2">
      <c r="V1139" s="112"/>
      <c r="X1139" s="112"/>
      <c r="Y1139" s="112"/>
    </row>
    <row r="1140" spans="22:25" x14ac:dyDescent="0.2">
      <c r="V1140" s="112"/>
      <c r="X1140" s="112"/>
      <c r="Y1140" s="112"/>
    </row>
    <row r="1141" spans="22:25" x14ac:dyDescent="0.2">
      <c r="V1141" s="112"/>
      <c r="X1141" s="112"/>
      <c r="Y1141" s="112"/>
    </row>
    <row r="1142" spans="22:25" x14ac:dyDescent="0.2">
      <c r="V1142" s="112"/>
      <c r="X1142" s="112"/>
      <c r="Y1142" s="112"/>
    </row>
    <row r="1143" spans="22:25" x14ac:dyDescent="0.2">
      <c r="V1143" s="112"/>
      <c r="X1143" s="112"/>
      <c r="Y1143" s="112"/>
    </row>
    <row r="1144" spans="22:25" x14ac:dyDescent="0.2">
      <c r="V1144" s="112"/>
      <c r="X1144" s="112"/>
      <c r="Y1144" s="112"/>
    </row>
    <row r="1145" spans="22:25" x14ac:dyDescent="0.2">
      <c r="V1145" s="112"/>
      <c r="X1145" s="112"/>
      <c r="Y1145" s="112"/>
    </row>
    <row r="1146" spans="22:25" x14ac:dyDescent="0.2">
      <c r="V1146" s="112"/>
      <c r="X1146" s="112"/>
      <c r="Y1146" s="112"/>
    </row>
    <row r="1147" spans="22:25" x14ac:dyDescent="0.2">
      <c r="V1147" s="112"/>
      <c r="X1147" s="112"/>
      <c r="Y1147" s="112"/>
    </row>
    <row r="1148" spans="22:25" x14ac:dyDescent="0.2">
      <c r="V1148" s="112"/>
      <c r="X1148" s="112"/>
      <c r="Y1148" s="112"/>
    </row>
    <row r="1149" spans="22:25" x14ac:dyDescent="0.2">
      <c r="V1149" s="112"/>
      <c r="X1149" s="112"/>
      <c r="Y1149" s="112"/>
    </row>
    <row r="1150" spans="22:25" x14ac:dyDescent="0.2">
      <c r="V1150" s="112"/>
      <c r="X1150" s="112"/>
      <c r="Y1150" s="112"/>
    </row>
    <row r="1151" spans="22:25" x14ac:dyDescent="0.2">
      <c r="V1151" s="112"/>
      <c r="X1151" s="112"/>
      <c r="Y1151" s="112"/>
    </row>
    <row r="1152" spans="22:25" x14ac:dyDescent="0.2">
      <c r="V1152" s="112"/>
      <c r="X1152" s="112"/>
      <c r="Y1152" s="112"/>
    </row>
    <row r="1153" spans="22:25" x14ac:dyDescent="0.2">
      <c r="V1153" s="112"/>
      <c r="X1153" s="112"/>
      <c r="Y1153" s="112"/>
    </row>
    <row r="1154" spans="22:25" x14ac:dyDescent="0.2">
      <c r="V1154" s="112"/>
      <c r="X1154" s="112"/>
      <c r="Y1154" s="112"/>
    </row>
    <row r="1155" spans="22:25" x14ac:dyDescent="0.2">
      <c r="V1155" s="112"/>
      <c r="X1155" s="112"/>
      <c r="Y1155" s="112"/>
    </row>
    <row r="1156" spans="22:25" x14ac:dyDescent="0.2">
      <c r="V1156" s="112"/>
      <c r="X1156" s="112"/>
      <c r="Y1156" s="112"/>
    </row>
    <row r="1157" spans="22:25" x14ac:dyDescent="0.2">
      <c r="V1157" s="112"/>
      <c r="X1157" s="112"/>
      <c r="Y1157" s="112"/>
    </row>
    <row r="1158" spans="22:25" x14ac:dyDescent="0.2">
      <c r="V1158" s="112"/>
      <c r="X1158" s="112"/>
      <c r="Y1158" s="112"/>
    </row>
    <row r="1159" spans="22:25" x14ac:dyDescent="0.2">
      <c r="V1159" s="112"/>
      <c r="X1159" s="112"/>
      <c r="Y1159" s="112"/>
    </row>
    <row r="1160" spans="22:25" x14ac:dyDescent="0.2">
      <c r="V1160" s="112"/>
      <c r="X1160" s="112"/>
      <c r="Y1160" s="112"/>
    </row>
    <row r="1161" spans="22:25" x14ac:dyDescent="0.2">
      <c r="V1161" s="112"/>
      <c r="X1161" s="112"/>
      <c r="Y1161" s="112"/>
    </row>
    <row r="1162" spans="22:25" x14ac:dyDescent="0.2">
      <c r="V1162" s="112"/>
      <c r="X1162" s="112"/>
      <c r="Y1162" s="112"/>
    </row>
    <row r="1163" spans="22:25" x14ac:dyDescent="0.2">
      <c r="V1163" s="112"/>
      <c r="X1163" s="112"/>
      <c r="Y1163" s="112"/>
    </row>
    <row r="1164" spans="22:25" x14ac:dyDescent="0.2">
      <c r="V1164" s="112"/>
      <c r="X1164" s="112"/>
      <c r="Y1164" s="112"/>
    </row>
    <row r="1165" spans="22:25" x14ac:dyDescent="0.2">
      <c r="V1165" s="112"/>
      <c r="X1165" s="112"/>
      <c r="Y1165" s="112"/>
    </row>
    <row r="1166" spans="22:25" x14ac:dyDescent="0.2">
      <c r="V1166" s="112"/>
      <c r="X1166" s="112"/>
      <c r="Y1166" s="112"/>
    </row>
    <row r="1167" spans="22:25" x14ac:dyDescent="0.2">
      <c r="V1167" s="112"/>
      <c r="X1167" s="112"/>
      <c r="Y1167" s="112"/>
    </row>
    <row r="1168" spans="22:25" x14ac:dyDescent="0.2">
      <c r="V1168" s="112"/>
      <c r="X1168" s="112"/>
      <c r="Y1168" s="112"/>
    </row>
    <row r="1169" spans="22:25" x14ac:dyDescent="0.2">
      <c r="V1169" s="112"/>
      <c r="X1169" s="112"/>
      <c r="Y1169" s="112"/>
    </row>
    <row r="1170" spans="22:25" x14ac:dyDescent="0.2">
      <c r="V1170" s="112"/>
      <c r="X1170" s="112"/>
      <c r="Y1170" s="112"/>
    </row>
    <row r="1171" spans="22:25" x14ac:dyDescent="0.2">
      <c r="V1171" s="112"/>
      <c r="X1171" s="112"/>
      <c r="Y1171" s="112"/>
    </row>
    <row r="1172" spans="22:25" x14ac:dyDescent="0.2">
      <c r="V1172" s="112"/>
      <c r="X1172" s="112"/>
      <c r="Y1172" s="112"/>
    </row>
    <row r="1173" spans="22:25" x14ac:dyDescent="0.2">
      <c r="V1173" s="112"/>
      <c r="X1173" s="112"/>
      <c r="Y1173" s="112"/>
    </row>
    <row r="1174" spans="22:25" x14ac:dyDescent="0.2">
      <c r="V1174" s="112"/>
      <c r="X1174" s="112"/>
      <c r="Y1174" s="112"/>
    </row>
    <row r="1175" spans="22:25" x14ac:dyDescent="0.2">
      <c r="V1175" s="112"/>
      <c r="X1175" s="112"/>
      <c r="Y1175" s="112"/>
    </row>
    <row r="1176" spans="22:25" x14ac:dyDescent="0.2">
      <c r="V1176" s="112"/>
      <c r="X1176" s="112"/>
      <c r="Y1176" s="112"/>
    </row>
    <row r="1177" spans="22:25" x14ac:dyDescent="0.2">
      <c r="V1177" s="112"/>
      <c r="X1177" s="112"/>
      <c r="Y1177" s="112"/>
    </row>
    <row r="1178" spans="22:25" x14ac:dyDescent="0.2">
      <c r="V1178" s="112"/>
      <c r="X1178" s="112"/>
      <c r="Y1178" s="112"/>
    </row>
    <row r="1179" spans="22:25" x14ac:dyDescent="0.2">
      <c r="V1179" s="112"/>
      <c r="X1179" s="112"/>
      <c r="Y1179" s="112"/>
    </row>
    <row r="1180" spans="22:25" x14ac:dyDescent="0.2">
      <c r="V1180" s="112"/>
      <c r="X1180" s="112"/>
      <c r="Y1180" s="112"/>
    </row>
    <row r="1181" spans="22:25" x14ac:dyDescent="0.2">
      <c r="V1181" s="112"/>
      <c r="X1181" s="112"/>
      <c r="Y1181" s="112"/>
    </row>
    <row r="1182" spans="22:25" x14ac:dyDescent="0.2">
      <c r="V1182" s="112"/>
      <c r="X1182" s="112"/>
      <c r="Y1182" s="112"/>
    </row>
    <row r="1183" spans="22:25" x14ac:dyDescent="0.2">
      <c r="V1183" s="112"/>
      <c r="X1183" s="112"/>
      <c r="Y1183" s="112"/>
    </row>
    <row r="1184" spans="22:25" x14ac:dyDescent="0.2">
      <c r="V1184" s="112"/>
      <c r="X1184" s="112"/>
      <c r="Y1184" s="112"/>
    </row>
    <row r="1185" spans="22:25" x14ac:dyDescent="0.2">
      <c r="V1185" s="112"/>
      <c r="X1185" s="112"/>
      <c r="Y1185" s="112"/>
    </row>
    <row r="1186" spans="22:25" x14ac:dyDescent="0.2">
      <c r="V1186" s="112"/>
      <c r="X1186" s="112"/>
      <c r="Y1186" s="112"/>
    </row>
    <row r="1187" spans="22:25" x14ac:dyDescent="0.2">
      <c r="V1187" s="112"/>
      <c r="X1187" s="112"/>
      <c r="Y1187" s="112"/>
    </row>
    <row r="1188" spans="22:25" x14ac:dyDescent="0.2">
      <c r="V1188" s="112"/>
      <c r="X1188" s="112"/>
      <c r="Y1188" s="112"/>
    </row>
    <row r="1189" spans="22:25" x14ac:dyDescent="0.2">
      <c r="V1189" s="112"/>
      <c r="X1189" s="112"/>
      <c r="Y1189" s="112"/>
    </row>
    <row r="1190" spans="22:25" x14ac:dyDescent="0.2">
      <c r="V1190" s="112"/>
      <c r="X1190" s="112"/>
      <c r="Y1190" s="112"/>
    </row>
    <row r="1191" spans="22:25" x14ac:dyDescent="0.2">
      <c r="V1191" s="112"/>
      <c r="X1191" s="112"/>
      <c r="Y1191" s="112"/>
    </row>
    <row r="1192" spans="22:25" x14ac:dyDescent="0.2">
      <c r="V1192" s="112"/>
      <c r="X1192" s="112"/>
      <c r="Y1192" s="112"/>
    </row>
    <row r="1193" spans="22:25" x14ac:dyDescent="0.2">
      <c r="V1193" s="112"/>
      <c r="X1193" s="112"/>
      <c r="Y1193" s="112"/>
    </row>
    <row r="1194" spans="22:25" x14ac:dyDescent="0.2">
      <c r="V1194" s="112"/>
      <c r="X1194" s="112"/>
      <c r="Y1194" s="112"/>
    </row>
    <row r="1195" spans="22:25" x14ac:dyDescent="0.2">
      <c r="V1195" s="112"/>
      <c r="X1195" s="112"/>
      <c r="Y1195" s="112"/>
    </row>
    <row r="1196" spans="22:25" x14ac:dyDescent="0.2">
      <c r="V1196" s="112"/>
      <c r="X1196" s="112"/>
      <c r="Y1196" s="112"/>
    </row>
    <row r="1197" spans="22:25" x14ac:dyDescent="0.2">
      <c r="V1197" s="112"/>
      <c r="X1197" s="112"/>
      <c r="Y1197" s="112"/>
    </row>
    <row r="1198" spans="22:25" x14ac:dyDescent="0.2">
      <c r="V1198" s="112"/>
      <c r="X1198" s="112"/>
      <c r="Y1198" s="112"/>
    </row>
    <row r="1199" spans="22:25" x14ac:dyDescent="0.2">
      <c r="V1199" s="112"/>
      <c r="X1199" s="112"/>
      <c r="Y1199" s="112"/>
    </row>
    <row r="1200" spans="22:25" x14ac:dyDescent="0.2">
      <c r="V1200" s="112"/>
      <c r="X1200" s="112"/>
      <c r="Y1200" s="112"/>
    </row>
    <row r="1201" spans="22:25" x14ac:dyDescent="0.2">
      <c r="V1201" s="112"/>
      <c r="X1201" s="112"/>
      <c r="Y1201" s="112"/>
    </row>
    <row r="1202" spans="22:25" x14ac:dyDescent="0.2">
      <c r="V1202" s="112"/>
      <c r="X1202" s="112"/>
      <c r="Y1202" s="112"/>
    </row>
    <row r="1203" spans="22:25" x14ac:dyDescent="0.2">
      <c r="V1203" s="112"/>
      <c r="X1203" s="112"/>
      <c r="Y1203" s="112"/>
    </row>
    <row r="1204" spans="22:25" x14ac:dyDescent="0.2">
      <c r="V1204" s="112"/>
      <c r="X1204" s="112"/>
      <c r="Y1204" s="112"/>
    </row>
    <row r="1205" spans="22:25" x14ac:dyDescent="0.2">
      <c r="V1205" s="112"/>
      <c r="X1205" s="112"/>
      <c r="Y1205" s="112"/>
    </row>
    <row r="1206" spans="22:25" x14ac:dyDescent="0.2">
      <c r="V1206" s="112"/>
      <c r="X1206" s="112"/>
      <c r="Y1206" s="112"/>
    </row>
    <row r="1207" spans="22:25" x14ac:dyDescent="0.2">
      <c r="V1207" s="112"/>
      <c r="X1207" s="112"/>
      <c r="Y1207" s="112"/>
    </row>
    <row r="1208" spans="22:25" x14ac:dyDescent="0.2">
      <c r="V1208" s="112"/>
      <c r="X1208" s="112"/>
      <c r="Y1208" s="112"/>
    </row>
    <row r="1209" spans="22:25" x14ac:dyDescent="0.2">
      <c r="V1209" s="112"/>
      <c r="X1209" s="112"/>
      <c r="Y1209" s="112"/>
    </row>
    <row r="1210" spans="22:25" x14ac:dyDescent="0.2">
      <c r="V1210" s="112"/>
      <c r="X1210" s="112"/>
      <c r="Y1210" s="112"/>
    </row>
    <row r="1211" spans="22:25" x14ac:dyDescent="0.2">
      <c r="V1211" s="112"/>
      <c r="X1211" s="112"/>
      <c r="Y1211" s="112"/>
    </row>
    <row r="1212" spans="22:25" x14ac:dyDescent="0.2">
      <c r="V1212" s="112"/>
      <c r="X1212" s="112"/>
      <c r="Y1212" s="112"/>
    </row>
    <row r="1213" spans="22:25" x14ac:dyDescent="0.2">
      <c r="V1213" s="112"/>
      <c r="X1213" s="112"/>
      <c r="Y1213" s="112"/>
    </row>
    <row r="1214" spans="22:25" x14ac:dyDescent="0.2">
      <c r="V1214" s="112"/>
      <c r="X1214" s="112"/>
      <c r="Y1214" s="112"/>
    </row>
    <row r="1215" spans="22:25" x14ac:dyDescent="0.2">
      <c r="V1215" s="112"/>
      <c r="X1215" s="112"/>
      <c r="Y1215" s="112"/>
    </row>
    <row r="1216" spans="22:25" x14ac:dyDescent="0.2">
      <c r="V1216" s="112"/>
      <c r="X1216" s="112"/>
      <c r="Y1216" s="112"/>
    </row>
    <row r="1217" spans="22:25" x14ac:dyDescent="0.2">
      <c r="V1217" s="112"/>
      <c r="X1217" s="112"/>
      <c r="Y1217" s="112"/>
    </row>
    <row r="1218" spans="22:25" x14ac:dyDescent="0.2">
      <c r="V1218" s="112"/>
      <c r="X1218" s="112"/>
      <c r="Y1218" s="112"/>
    </row>
    <row r="1219" spans="22:25" x14ac:dyDescent="0.2">
      <c r="V1219" s="112"/>
      <c r="X1219" s="112"/>
      <c r="Y1219" s="112"/>
    </row>
    <row r="1220" spans="22:25" x14ac:dyDescent="0.2">
      <c r="V1220" s="112"/>
      <c r="X1220" s="112"/>
      <c r="Y1220" s="112"/>
    </row>
    <row r="1221" spans="22:25" x14ac:dyDescent="0.2">
      <c r="V1221" s="112"/>
      <c r="X1221" s="112"/>
      <c r="Y1221" s="112"/>
    </row>
    <row r="1222" spans="22:25" x14ac:dyDescent="0.2">
      <c r="V1222" s="112"/>
      <c r="X1222" s="112"/>
      <c r="Y1222" s="112"/>
    </row>
    <row r="1223" spans="22:25" x14ac:dyDescent="0.2">
      <c r="V1223" s="112"/>
      <c r="X1223" s="112"/>
      <c r="Y1223" s="112"/>
    </row>
    <row r="1224" spans="22:25" x14ac:dyDescent="0.2">
      <c r="V1224" s="112"/>
      <c r="X1224" s="112"/>
      <c r="Y1224" s="112"/>
    </row>
    <row r="1225" spans="22:25" x14ac:dyDescent="0.2">
      <c r="V1225" s="112"/>
      <c r="X1225" s="112"/>
      <c r="Y1225" s="112"/>
    </row>
    <row r="1226" spans="22:25" x14ac:dyDescent="0.2">
      <c r="V1226" s="112"/>
      <c r="X1226" s="112"/>
      <c r="Y1226" s="112"/>
    </row>
    <row r="1227" spans="22:25" x14ac:dyDescent="0.2">
      <c r="V1227" s="112"/>
      <c r="X1227" s="112"/>
      <c r="Y1227" s="112"/>
    </row>
    <row r="1228" spans="22:25" x14ac:dyDescent="0.2">
      <c r="V1228" s="112"/>
      <c r="X1228" s="112"/>
      <c r="Y1228" s="112"/>
    </row>
    <row r="1229" spans="22:25" x14ac:dyDescent="0.2">
      <c r="V1229" s="112"/>
      <c r="X1229" s="112"/>
      <c r="Y1229" s="112"/>
    </row>
    <row r="1230" spans="22:25" x14ac:dyDescent="0.2">
      <c r="V1230" s="112"/>
      <c r="X1230" s="112"/>
      <c r="Y1230" s="112"/>
    </row>
    <row r="1231" spans="22:25" x14ac:dyDescent="0.2">
      <c r="V1231" s="112"/>
      <c r="X1231" s="112"/>
      <c r="Y1231" s="112"/>
    </row>
    <row r="1232" spans="22:25" x14ac:dyDescent="0.2">
      <c r="V1232" s="112"/>
      <c r="X1232" s="112"/>
      <c r="Y1232" s="112"/>
    </row>
    <row r="1233" spans="22:25" x14ac:dyDescent="0.2">
      <c r="V1233" s="112"/>
      <c r="X1233" s="112"/>
      <c r="Y1233" s="112"/>
    </row>
    <row r="1234" spans="22:25" x14ac:dyDescent="0.2">
      <c r="V1234" s="112"/>
      <c r="X1234" s="112"/>
      <c r="Y1234" s="112"/>
    </row>
    <row r="1235" spans="22:25" x14ac:dyDescent="0.2">
      <c r="V1235" s="112"/>
      <c r="X1235" s="112"/>
      <c r="Y1235" s="112"/>
    </row>
    <row r="1236" spans="22:25" x14ac:dyDescent="0.2">
      <c r="V1236" s="112"/>
      <c r="X1236" s="112"/>
      <c r="Y1236" s="112"/>
    </row>
    <row r="1237" spans="22:25" x14ac:dyDescent="0.2">
      <c r="V1237" s="112"/>
      <c r="X1237" s="112"/>
      <c r="Y1237" s="112"/>
    </row>
    <row r="1238" spans="22:25" x14ac:dyDescent="0.2">
      <c r="V1238" s="112"/>
      <c r="X1238" s="112"/>
      <c r="Y1238" s="112"/>
    </row>
    <row r="1239" spans="22:25" x14ac:dyDescent="0.2">
      <c r="V1239" s="112"/>
      <c r="X1239" s="112"/>
      <c r="Y1239" s="112"/>
    </row>
    <row r="1240" spans="22:25" x14ac:dyDescent="0.2">
      <c r="V1240" s="112"/>
      <c r="X1240" s="112"/>
      <c r="Y1240" s="112"/>
    </row>
    <row r="1241" spans="22:25" x14ac:dyDescent="0.2">
      <c r="V1241" s="112"/>
      <c r="X1241" s="112"/>
      <c r="Y1241" s="112"/>
    </row>
    <row r="1242" spans="22:25" x14ac:dyDescent="0.2">
      <c r="V1242" s="112"/>
      <c r="X1242" s="112"/>
      <c r="Y1242" s="112"/>
    </row>
    <row r="1243" spans="22:25" x14ac:dyDescent="0.2">
      <c r="V1243" s="112"/>
      <c r="X1243" s="112"/>
      <c r="Y1243" s="112"/>
    </row>
    <row r="1244" spans="22:25" x14ac:dyDescent="0.2">
      <c r="V1244" s="112"/>
      <c r="X1244" s="112"/>
      <c r="Y1244" s="112"/>
    </row>
    <row r="1245" spans="22:25" x14ac:dyDescent="0.2">
      <c r="V1245" s="112"/>
      <c r="X1245" s="112"/>
      <c r="Y1245" s="112"/>
    </row>
    <row r="1246" spans="22:25" x14ac:dyDescent="0.2">
      <c r="V1246" s="112"/>
      <c r="X1246" s="112"/>
      <c r="Y1246" s="112"/>
    </row>
    <row r="1247" spans="22:25" x14ac:dyDescent="0.2">
      <c r="V1247" s="112"/>
      <c r="X1247" s="112"/>
      <c r="Y1247" s="112"/>
    </row>
    <row r="1248" spans="22:25" x14ac:dyDescent="0.2">
      <c r="V1248" s="112"/>
      <c r="X1248" s="112"/>
      <c r="Y1248" s="112"/>
    </row>
    <row r="1249" spans="22:25" x14ac:dyDescent="0.2">
      <c r="V1249" s="112"/>
      <c r="X1249" s="112"/>
      <c r="Y1249" s="112"/>
    </row>
    <row r="1250" spans="22:25" x14ac:dyDescent="0.2">
      <c r="V1250" s="112"/>
      <c r="X1250" s="112"/>
      <c r="Y1250" s="112"/>
    </row>
    <row r="1251" spans="22:25" x14ac:dyDescent="0.2">
      <c r="V1251" s="112"/>
      <c r="X1251" s="112"/>
      <c r="Y1251" s="112"/>
    </row>
    <row r="1252" spans="22:25" x14ac:dyDescent="0.2">
      <c r="V1252" s="112"/>
      <c r="X1252" s="112"/>
      <c r="Y1252" s="112"/>
    </row>
    <row r="1253" spans="22:25" x14ac:dyDescent="0.2">
      <c r="V1253" s="112"/>
      <c r="X1253" s="112"/>
      <c r="Y1253" s="112"/>
    </row>
    <row r="1254" spans="22:25" x14ac:dyDescent="0.2">
      <c r="V1254" s="112"/>
      <c r="X1254" s="112"/>
      <c r="Y1254" s="112"/>
    </row>
    <row r="1255" spans="22:25" x14ac:dyDescent="0.2">
      <c r="V1255" s="112"/>
      <c r="X1255" s="112"/>
      <c r="Y1255" s="112"/>
    </row>
    <row r="1256" spans="22:25" x14ac:dyDescent="0.2">
      <c r="V1256" s="112"/>
      <c r="X1256" s="112"/>
      <c r="Y1256" s="112"/>
    </row>
    <row r="1257" spans="22:25" x14ac:dyDescent="0.2">
      <c r="V1257" s="112"/>
      <c r="X1257" s="112"/>
      <c r="Y1257" s="112"/>
    </row>
    <row r="1258" spans="22:25" x14ac:dyDescent="0.2">
      <c r="V1258" s="112"/>
      <c r="X1258" s="112"/>
      <c r="Y1258" s="112"/>
    </row>
    <row r="1259" spans="22:25" x14ac:dyDescent="0.2">
      <c r="V1259" s="112"/>
      <c r="X1259" s="112"/>
      <c r="Y1259" s="112"/>
    </row>
    <row r="1260" spans="22:25" x14ac:dyDescent="0.2">
      <c r="V1260" s="112"/>
      <c r="X1260" s="112"/>
      <c r="Y1260" s="112"/>
    </row>
    <row r="1261" spans="22:25" x14ac:dyDescent="0.2">
      <c r="V1261" s="112"/>
      <c r="X1261" s="112"/>
      <c r="Y1261" s="112"/>
    </row>
    <row r="1262" spans="22:25" x14ac:dyDescent="0.2">
      <c r="V1262" s="112"/>
      <c r="X1262" s="112"/>
      <c r="Y1262" s="112"/>
    </row>
    <row r="1263" spans="22:25" x14ac:dyDescent="0.2">
      <c r="V1263" s="112"/>
      <c r="X1263" s="112"/>
      <c r="Y1263" s="112"/>
    </row>
    <row r="1264" spans="22:25" x14ac:dyDescent="0.2">
      <c r="V1264" s="112"/>
      <c r="X1264" s="112"/>
      <c r="Y1264" s="112"/>
    </row>
    <row r="1265" spans="22:25" x14ac:dyDescent="0.2">
      <c r="V1265" s="112"/>
      <c r="X1265" s="112"/>
      <c r="Y1265" s="112"/>
    </row>
    <row r="1266" spans="22:25" x14ac:dyDescent="0.2">
      <c r="V1266" s="112"/>
      <c r="X1266" s="112"/>
      <c r="Y1266" s="112"/>
    </row>
    <row r="1267" spans="22:25" x14ac:dyDescent="0.2">
      <c r="V1267" s="112"/>
      <c r="X1267" s="112"/>
      <c r="Y1267" s="112"/>
    </row>
    <row r="1268" spans="22:25" x14ac:dyDescent="0.2">
      <c r="V1268" s="112"/>
      <c r="X1268" s="112"/>
      <c r="Y1268" s="112"/>
    </row>
    <row r="1269" spans="22:25" x14ac:dyDescent="0.2">
      <c r="V1269" s="112"/>
      <c r="X1269" s="112"/>
      <c r="Y1269" s="112"/>
    </row>
    <row r="1270" spans="22:25" x14ac:dyDescent="0.2">
      <c r="V1270" s="112"/>
      <c r="X1270" s="112"/>
      <c r="Y1270" s="112"/>
    </row>
    <row r="1271" spans="22:25" x14ac:dyDescent="0.2">
      <c r="V1271" s="112"/>
      <c r="X1271" s="112"/>
      <c r="Y1271" s="112"/>
    </row>
    <row r="1272" spans="22:25" x14ac:dyDescent="0.2">
      <c r="V1272" s="112"/>
      <c r="X1272" s="112"/>
      <c r="Y1272" s="112"/>
    </row>
    <row r="1273" spans="22:25" x14ac:dyDescent="0.2">
      <c r="V1273" s="112"/>
      <c r="X1273" s="112"/>
      <c r="Y1273" s="112"/>
    </row>
    <row r="1274" spans="22:25" x14ac:dyDescent="0.2">
      <c r="V1274" s="112"/>
      <c r="X1274" s="112"/>
      <c r="Y1274" s="112"/>
    </row>
    <row r="1275" spans="22:25" x14ac:dyDescent="0.2">
      <c r="V1275" s="112"/>
      <c r="X1275" s="112"/>
      <c r="Y1275" s="112"/>
    </row>
    <row r="1276" spans="22:25" x14ac:dyDescent="0.2">
      <c r="V1276" s="112"/>
      <c r="X1276" s="112"/>
      <c r="Y1276" s="112"/>
    </row>
    <row r="1277" spans="22:25" x14ac:dyDescent="0.2">
      <c r="V1277" s="112"/>
      <c r="X1277" s="112"/>
      <c r="Y1277" s="112"/>
    </row>
    <row r="1278" spans="22:25" x14ac:dyDescent="0.2">
      <c r="V1278" s="112"/>
      <c r="X1278" s="112"/>
      <c r="Y1278" s="112"/>
    </row>
    <row r="1279" spans="22:25" x14ac:dyDescent="0.2">
      <c r="V1279" s="112"/>
      <c r="X1279" s="112"/>
      <c r="Y1279" s="112"/>
    </row>
    <row r="1280" spans="22:25" x14ac:dyDescent="0.2">
      <c r="V1280" s="112"/>
      <c r="X1280" s="112"/>
      <c r="Y1280" s="112"/>
    </row>
    <row r="1281" spans="22:25" x14ac:dyDescent="0.2">
      <c r="V1281" s="112"/>
      <c r="X1281" s="112"/>
      <c r="Y1281" s="112"/>
    </row>
    <row r="1282" spans="22:25" x14ac:dyDescent="0.2">
      <c r="V1282" s="112"/>
      <c r="X1282" s="112"/>
      <c r="Y1282" s="112"/>
    </row>
    <row r="1283" spans="22:25" x14ac:dyDescent="0.2">
      <c r="V1283" s="112"/>
      <c r="X1283" s="112"/>
      <c r="Y1283" s="112"/>
    </row>
    <row r="1284" spans="22:25" x14ac:dyDescent="0.2">
      <c r="V1284" s="112"/>
      <c r="X1284" s="112"/>
      <c r="Y1284" s="112"/>
    </row>
    <row r="1285" spans="22:25" x14ac:dyDescent="0.2">
      <c r="V1285" s="112"/>
      <c r="X1285" s="112"/>
      <c r="Y1285" s="112"/>
    </row>
    <row r="1286" spans="22:25" x14ac:dyDescent="0.2">
      <c r="V1286" s="112"/>
      <c r="X1286" s="112"/>
      <c r="Y1286" s="112"/>
    </row>
    <row r="1287" spans="22:25" x14ac:dyDescent="0.2">
      <c r="V1287" s="112"/>
      <c r="X1287" s="112"/>
      <c r="Y1287" s="112"/>
    </row>
    <row r="1288" spans="22:25" x14ac:dyDescent="0.2">
      <c r="V1288" s="112"/>
      <c r="X1288" s="112"/>
      <c r="Y1288" s="112"/>
    </row>
    <row r="1289" spans="22:25" x14ac:dyDescent="0.2">
      <c r="V1289" s="112"/>
      <c r="X1289" s="112"/>
      <c r="Y1289" s="112"/>
    </row>
    <row r="1290" spans="22:25" x14ac:dyDescent="0.2">
      <c r="V1290" s="112"/>
      <c r="X1290" s="112"/>
      <c r="Y1290" s="112"/>
    </row>
    <row r="1291" spans="22:25" x14ac:dyDescent="0.2">
      <c r="V1291" s="112"/>
      <c r="X1291" s="112"/>
      <c r="Y1291" s="112"/>
    </row>
    <row r="1292" spans="22:25" x14ac:dyDescent="0.2">
      <c r="V1292" s="112"/>
      <c r="X1292" s="112"/>
      <c r="Y1292" s="112"/>
    </row>
    <row r="1293" spans="22:25" x14ac:dyDescent="0.2">
      <c r="V1293" s="112"/>
      <c r="X1293" s="112"/>
      <c r="Y1293" s="112"/>
    </row>
    <row r="1294" spans="22:25" x14ac:dyDescent="0.2">
      <c r="V1294" s="112"/>
      <c r="X1294" s="112"/>
      <c r="Y1294" s="112"/>
    </row>
    <row r="1295" spans="22:25" x14ac:dyDescent="0.2">
      <c r="V1295" s="112"/>
      <c r="X1295" s="112"/>
      <c r="Y1295" s="112"/>
    </row>
    <row r="1296" spans="22:25" x14ac:dyDescent="0.2">
      <c r="V1296" s="112"/>
      <c r="X1296" s="112"/>
      <c r="Y1296" s="112"/>
    </row>
    <row r="1297" spans="22:25" x14ac:dyDescent="0.2">
      <c r="V1297" s="112"/>
      <c r="X1297" s="112"/>
      <c r="Y1297" s="112"/>
    </row>
    <row r="1298" spans="22:25" x14ac:dyDescent="0.2">
      <c r="V1298" s="112"/>
      <c r="X1298" s="112"/>
      <c r="Y1298" s="112"/>
    </row>
    <row r="1299" spans="22:25" x14ac:dyDescent="0.2">
      <c r="V1299" s="112"/>
      <c r="X1299" s="112"/>
      <c r="Y1299" s="112"/>
    </row>
    <row r="1300" spans="22:25" x14ac:dyDescent="0.2">
      <c r="V1300" s="112"/>
      <c r="X1300" s="112"/>
      <c r="Y1300" s="112"/>
    </row>
    <row r="1301" spans="22:25" x14ac:dyDescent="0.2">
      <c r="V1301" s="112"/>
      <c r="X1301" s="112"/>
      <c r="Y1301" s="112"/>
    </row>
    <row r="1302" spans="22:25" x14ac:dyDescent="0.2">
      <c r="V1302" s="112"/>
      <c r="X1302" s="112"/>
      <c r="Y1302" s="112"/>
    </row>
    <row r="1303" spans="22:25" x14ac:dyDescent="0.2">
      <c r="V1303" s="112"/>
      <c r="X1303" s="112"/>
      <c r="Y1303" s="112"/>
    </row>
    <row r="1304" spans="22:25" x14ac:dyDescent="0.2">
      <c r="V1304" s="112"/>
      <c r="X1304" s="112"/>
      <c r="Y1304" s="112"/>
    </row>
    <row r="1305" spans="22:25" x14ac:dyDescent="0.2">
      <c r="V1305" s="112"/>
      <c r="X1305" s="112"/>
      <c r="Y1305" s="112"/>
    </row>
    <row r="1306" spans="22:25" x14ac:dyDescent="0.2">
      <c r="V1306" s="112"/>
      <c r="X1306" s="112"/>
      <c r="Y1306" s="112"/>
    </row>
    <row r="1307" spans="22:25" x14ac:dyDescent="0.2">
      <c r="V1307" s="112"/>
      <c r="X1307" s="112"/>
      <c r="Y1307" s="112"/>
    </row>
    <row r="1308" spans="22:25" x14ac:dyDescent="0.2">
      <c r="V1308" s="112"/>
      <c r="X1308" s="112"/>
      <c r="Y1308" s="112"/>
    </row>
    <row r="1309" spans="22:25" x14ac:dyDescent="0.2">
      <c r="V1309" s="112"/>
      <c r="X1309" s="112"/>
      <c r="Y1309" s="112"/>
    </row>
    <row r="1310" spans="22:25" x14ac:dyDescent="0.2">
      <c r="V1310" s="112"/>
      <c r="X1310" s="112"/>
      <c r="Y1310" s="112"/>
    </row>
    <row r="1311" spans="22:25" x14ac:dyDescent="0.2">
      <c r="V1311" s="112"/>
      <c r="X1311" s="112"/>
      <c r="Y1311" s="112"/>
    </row>
    <row r="1312" spans="22:25" x14ac:dyDescent="0.2">
      <c r="V1312" s="112"/>
      <c r="X1312" s="112"/>
      <c r="Y1312" s="112"/>
    </row>
    <row r="1313" spans="22:25" x14ac:dyDescent="0.2">
      <c r="V1313" s="112"/>
      <c r="X1313" s="112"/>
      <c r="Y1313" s="112"/>
    </row>
    <row r="1314" spans="22:25" x14ac:dyDescent="0.2">
      <c r="V1314" s="112"/>
      <c r="X1314" s="112"/>
      <c r="Y1314" s="112"/>
    </row>
    <row r="1315" spans="22:25" x14ac:dyDescent="0.2">
      <c r="V1315" s="112"/>
      <c r="X1315" s="112"/>
      <c r="Y1315" s="112"/>
    </row>
    <row r="1316" spans="22:25" x14ac:dyDescent="0.2">
      <c r="V1316" s="112"/>
      <c r="X1316" s="112"/>
      <c r="Y1316" s="112"/>
    </row>
    <row r="1317" spans="22:25" x14ac:dyDescent="0.2">
      <c r="V1317" s="112"/>
      <c r="X1317" s="112"/>
      <c r="Y1317" s="112"/>
    </row>
    <row r="1318" spans="22:25" x14ac:dyDescent="0.2">
      <c r="V1318" s="112"/>
      <c r="X1318" s="112"/>
      <c r="Y1318" s="112"/>
    </row>
    <row r="1319" spans="22:25" x14ac:dyDescent="0.2">
      <c r="V1319" s="112"/>
      <c r="X1319" s="112"/>
      <c r="Y1319" s="112"/>
    </row>
    <row r="1320" spans="22:25" x14ac:dyDescent="0.2">
      <c r="V1320" s="112"/>
      <c r="X1320" s="112"/>
      <c r="Y1320" s="112"/>
    </row>
    <row r="1321" spans="22:25" x14ac:dyDescent="0.2">
      <c r="V1321" s="112"/>
      <c r="X1321" s="112"/>
      <c r="Y1321" s="112"/>
    </row>
    <row r="1322" spans="22:25" x14ac:dyDescent="0.2">
      <c r="V1322" s="112"/>
      <c r="X1322" s="112"/>
      <c r="Y1322" s="112"/>
    </row>
    <row r="1323" spans="22:25" x14ac:dyDescent="0.2">
      <c r="V1323" s="112"/>
      <c r="X1323" s="112"/>
      <c r="Y1323" s="112"/>
    </row>
    <row r="1324" spans="22:25" x14ac:dyDescent="0.2">
      <c r="V1324" s="112"/>
      <c r="X1324" s="112"/>
      <c r="Y1324" s="112"/>
    </row>
    <row r="1325" spans="22:25" x14ac:dyDescent="0.2">
      <c r="V1325" s="112"/>
      <c r="X1325" s="112"/>
      <c r="Y1325" s="112"/>
    </row>
    <row r="1326" spans="22:25" x14ac:dyDescent="0.2">
      <c r="V1326" s="112"/>
      <c r="X1326" s="112"/>
      <c r="Y1326" s="112"/>
    </row>
    <row r="1327" spans="22:25" x14ac:dyDescent="0.2">
      <c r="V1327" s="112"/>
      <c r="X1327" s="112"/>
      <c r="Y1327" s="112"/>
    </row>
    <row r="1328" spans="22:25" x14ac:dyDescent="0.2">
      <c r="V1328" s="112"/>
      <c r="X1328" s="112"/>
      <c r="Y1328" s="112"/>
    </row>
    <row r="1329" spans="22:25" x14ac:dyDescent="0.2">
      <c r="V1329" s="112"/>
      <c r="X1329" s="112"/>
      <c r="Y1329" s="112"/>
    </row>
    <row r="1330" spans="22:25" x14ac:dyDescent="0.2">
      <c r="V1330" s="112"/>
      <c r="X1330" s="112"/>
      <c r="Y1330" s="112"/>
    </row>
    <row r="1331" spans="22:25" x14ac:dyDescent="0.2">
      <c r="V1331" s="112"/>
      <c r="X1331" s="112"/>
      <c r="Y1331" s="112"/>
    </row>
    <row r="1332" spans="22:25" x14ac:dyDescent="0.2">
      <c r="V1332" s="112"/>
      <c r="X1332" s="112"/>
      <c r="Y1332" s="112"/>
    </row>
    <row r="1333" spans="22:25" x14ac:dyDescent="0.2">
      <c r="V1333" s="112"/>
      <c r="X1333" s="112"/>
      <c r="Y1333" s="112"/>
    </row>
    <row r="1334" spans="22:25" x14ac:dyDescent="0.2">
      <c r="V1334" s="112"/>
      <c r="X1334" s="112"/>
      <c r="Y1334" s="112"/>
    </row>
    <row r="1335" spans="22:25" x14ac:dyDescent="0.2">
      <c r="V1335" s="112"/>
      <c r="X1335" s="112"/>
      <c r="Y1335" s="112"/>
    </row>
    <row r="1336" spans="22:25" x14ac:dyDescent="0.2">
      <c r="V1336" s="112"/>
      <c r="X1336" s="112"/>
      <c r="Y1336" s="112"/>
    </row>
    <row r="1337" spans="22:25" x14ac:dyDescent="0.2">
      <c r="V1337" s="112"/>
      <c r="X1337" s="112"/>
      <c r="Y1337" s="112"/>
    </row>
    <row r="1338" spans="22:25" x14ac:dyDescent="0.2">
      <c r="V1338" s="112"/>
      <c r="X1338" s="112"/>
      <c r="Y1338" s="112"/>
    </row>
    <row r="1339" spans="22:25" x14ac:dyDescent="0.2">
      <c r="V1339" s="112"/>
      <c r="X1339" s="112"/>
      <c r="Y1339" s="112"/>
    </row>
    <row r="1340" spans="22:25" x14ac:dyDescent="0.2">
      <c r="V1340" s="112"/>
      <c r="X1340" s="112"/>
      <c r="Y1340" s="112"/>
    </row>
    <row r="1341" spans="22:25" x14ac:dyDescent="0.2">
      <c r="V1341" s="112"/>
      <c r="X1341" s="112"/>
      <c r="Y1341" s="112"/>
    </row>
    <row r="1342" spans="22:25" x14ac:dyDescent="0.2">
      <c r="V1342" s="112"/>
      <c r="X1342" s="112"/>
      <c r="Y1342" s="112"/>
    </row>
    <row r="1343" spans="22:25" x14ac:dyDescent="0.2">
      <c r="V1343" s="112"/>
      <c r="X1343" s="112"/>
      <c r="Y1343" s="112"/>
    </row>
    <row r="1344" spans="22:25" x14ac:dyDescent="0.2">
      <c r="V1344" s="112"/>
      <c r="X1344" s="112"/>
      <c r="Y1344" s="112"/>
    </row>
    <row r="1345" spans="22:25" x14ac:dyDescent="0.2">
      <c r="V1345" s="112"/>
      <c r="X1345" s="112"/>
      <c r="Y1345" s="112"/>
    </row>
    <row r="1346" spans="22:25" x14ac:dyDescent="0.2">
      <c r="V1346" s="112"/>
      <c r="X1346" s="112"/>
      <c r="Y1346" s="112"/>
    </row>
    <row r="1347" spans="22:25" x14ac:dyDescent="0.2">
      <c r="V1347" s="112"/>
      <c r="X1347" s="112"/>
      <c r="Y1347" s="112"/>
    </row>
    <row r="1348" spans="22:25" x14ac:dyDescent="0.2">
      <c r="V1348" s="112"/>
      <c r="X1348" s="112"/>
      <c r="Y1348" s="112"/>
    </row>
    <row r="1349" spans="22:25" x14ac:dyDescent="0.2">
      <c r="V1349" s="112"/>
      <c r="X1349" s="112"/>
      <c r="Y1349" s="112"/>
    </row>
    <row r="1350" spans="22:25" x14ac:dyDescent="0.2">
      <c r="V1350" s="112"/>
      <c r="X1350" s="112"/>
      <c r="Y1350" s="112"/>
    </row>
    <row r="1351" spans="22:25" x14ac:dyDescent="0.2">
      <c r="V1351" s="112"/>
      <c r="X1351" s="112"/>
      <c r="Y1351" s="112"/>
    </row>
    <row r="1352" spans="22:25" x14ac:dyDescent="0.2">
      <c r="V1352" s="112"/>
      <c r="X1352" s="112"/>
      <c r="Y1352" s="112"/>
    </row>
    <row r="1353" spans="22:25" x14ac:dyDescent="0.2">
      <c r="V1353" s="112"/>
      <c r="X1353" s="112"/>
      <c r="Y1353" s="112"/>
    </row>
    <row r="1354" spans="22:25" x14ac:dyDescent="0.2">
      <c r="V1354" s="112"/>
      <c r="X1354" s="112"/>
      <c r="Y1354" s="112"/>
    </row>
    <row r="1355" spans="22:25" x14ac:dyDescent="0.2">
      <c r="V1355" s="112"/>
      <c r="X1355" s="112"/>
      <c r="Y1355" s="112"/>
    </row>
    <row r="1356" spans="22:25" x14ac:dyDescent="0.2">
      <c r="V1356" s="112"/>
      <c r="X1356" s="112"/>
      <c r="Y1356" s="112"/>
    </row>
    <row r="1357" spans="22:25" x14ac:dyDescent="0.2">
      <c r="V1357" s="112"/>
      <c r="X1357" s="112"/>
      <c r="Y1357" s="112"/>
    </row>
    <row r="1358" spans="22:25" x14ac:dyDescent="0.2">
      <c r="V1358" s="112"/>
      <c r="X1358" s="112"/>
      <c r="Y1358" s="112"/>
    </row>
    <row r="1359" spans="22:25" x14ac:dyDescent="0.2">
      <c r="V1359" s="112"/>
      <c r="X1359" s="112"/>
      <c r="Y1359" s="112"/>
    </row>
    <row r="1360" spans="22:25" x14ac:dyDescent="0.2">
      <c r="V1360" s="112"/>
      <c r="X1360" s="112"/>
      <c r="Y1360" s="112"/>
    </row>
    <row r="1361" spans="22:25" x14ac:dyDescent="0.2">
      <c r="V1361" s="112"/>
      <c r="X1361" s="112"/>
      <c r="Y1361" s="112"/>
    </row>
    <row r="1362" spans="22:25" x14ac:dyDescent="0.2">
      <c r="V1362" s="112"/>
      <c r="X1362" s="112"/>
      <c r="Y1362" s="112"/>
    </row>
    <row r="1363" spans="22:25" x14ac:dyDescent="0.2">
      <c r="V1363" s="112"/>
      <c r="X1363" s="112"/>
      <c r="Y1363" s="112"/>
    </row>
    <row r="1364" spans="22:25" x14ac:dyDescent="0.2">
      <c r="V1364" s="112"/>
      <c r="X1364" s="112"/>
      <c r="Y1364" s="112"/>
    </row>
    <row r="1365" spans="22:25" x14ac:dyDescent="0.2">
      <c r="V1365" s="112"/>
      <c r="X1365" s="112"/>
      <c r="Y1365" s="112"/>
    </row>
    <row r="1366" spans="22:25" x14ac:dyDescent="0.2">
      <c r="V1366" s="112"/>
      <c r="X1366" s="112"/>
      <c r="Y1366" s="112"/>
    </row>
    <row r="1367" spans="22:25" x14ac:dyDescent="0.2">
      <c r="V1367" s="112"/>
      <c r="X1367" s="112"/>
      <c r="Y1367" s="112"/>
    </row>
    <row r="1368" spans="22:25" x14ac:dyDescent="0.2">
      <c r="V1368" s="112"/>
      <c r="X1368" s="112"/>
      <c r="Y1368" s="112"/>
    </row>
    <row r="1369" spans="22:25" x14ac:dyDescent="0.2">
      <c r="V1369" s="112"/>
      <c r="X1369" s="112"/>
      <c r="Y1369" s="112"/>
    </row>
    <row r="1370" spans="22:25" x14ac:dyDescent="0.2">
      <c r="V1370" s="112"/>
      <c r="X1370" s="112"/>
      <c r="Y1370" s="112"/>
    </row>
    <row r="1371" spans="22:25" x14ac:dyDescent="0.2">
      <c r="V1371" s="112"/>
      <c r="X1371" s="112"/>
      <c r="Y1371" s="112"/>
    </row>
    <row r="1372" spans="22:25" x14ac:dyDescent="0.2">
      <c r="V1372" s="112"/>
      <c r="X1372" s="112"/>
      <c r="Y1372" s="112"/>
    </row>
    <row r="1373" spans="22:25" x14ac:dyDescent="0.2">
      <c r="V1373" s="112"/>
      <c r="X1373" s="112"/>
      <c r="Y1373" s="112"/>
    </row>
    <row r="1374" spans="22:25" x14ac:dyDescent="0.2">
      <c r="V1374" s="112"/>
      <c r="X1374" s="112"/>
      <c r="Y1374" s="112"/>
    </row>
    <row r="1375" spans="22:25" x14ac:dyDescent="0.2">
      <c r="V1375" s="112"/>
      <c r="X1375" s="112"/>
      <c r="Y1375" s="112"/>
    </row>
    <row r="1376" spans="22:25" x14ac:dyDescent="0.2">
      <c r="V1376" s="112"/>
      <c r="X1376" s="112"/>
      <c r="Y1376" s="112"/>
    </row>
    <row r="1377" spans="22:25" x14ac:dyDescent="0.2">
      <c r="V1377" s="112"/>
      <c r="X1377" s="112"/>
      <c r="Y1377" s="112"/>
    </row>
    <row r="1378" spans="22:25" x14ac:dyDescent="0.2">
      <c r="V1378" s="112"/>
      <c r="X1378" s="112"/>
      <c r="Y1378" s="112"/>
    </row>
    <row r="1379" spans="22:25" x14ac:dyDescent="0.2">
      <c r="V1379" s="112"/>
      <c r="X1379" s="112"/>
      <c r="Y1379" s="112"/>
    </row>
    <row r="1380" spans="22:25" x14ac:dyDescent="0.2">
      <c r="V1380" s="112"/>
      <c r="X1380" s="112"/>
      <c r="Y1380" s="112"/>
    </row>
    <row r="1381" spans="22:25" x14ac:dyDescent="0.2">
      <c r="V1381" s="112"/>
      <c r="X1381" s="112"/>
      <c r="Y1381" s="112"/>
    </row>
    <row r="1382" spans="22:25" x14ac:dyDescent="0.2">
      <c r="V1382" s="112"/>
      <c r="X1382" s="112"/>
      <c r="Y1382" s="112"/>
    </row>
    <row r="1383" spans="22:25" x14ac:dyDescent="0.2">
      <c r="V1383" s="112"/>
      <c r="X1383" s="112"/>
      <c r="Y1383" s="112"/>
    </row>
    <row r="1384" spans="22:25" x14ac:dyDescent="0.2">
      <c r="V1384" s="112"/>
      <c r="X1384" s="112"/>
      <c r="Y1384" s="112"/>
    </row>
    <row r="1385" spans="22:25" x14ac:dyDescent="0.2">
      <c r="V1385" s="112"/>
      <c r="X1385" s="112"/>
      <c r="Y1385" s="112"/>
    </row>
    <row r="1386" spans="22:25" x14ac:dyDescent="0.2">
      <c r="V1386" s="112"/>
      <c r="X1386" s="112"/>
      <c r="Y1386" s="112"/>
    </row>
    <row r="1387" spans="22:25" x14ac:dyDescent="0.2">
      <c r="V1387" s="112"/>
      <c r="X1387" s="112"/>
      <c r="Y1387" s="112"/>
    </row>
    <row r="1388" spans="22:25" x14ac:dyDescent="0.2">
      <c r="V1388" s="112"/>
      <c r="X1388" s="112"/>
      <c r="Y1388" s="112"/>
    </row>
    <row r="1389" spans="22:25" x14ac:dyDescent="0.2">
      <c r="V1389" s="112"/>
      <c r="X1389" s="112"/>
      <c r="Y1389" s="112"/>
    </row>
    <row r="1390" spans="22:25" x14ac:dyDescent="0.2">
      <c r="V1390" s="112"/>
      <c r="X1390" s="112"/>
      <c r="Y1390" s="112"/>
    </row>
    <row r="1391" spans="22:25" x14ac:dyDescent="0.2">
      <c r="V1391" s="112"/>
      <c r="X1391" s="112"/>
      <c r="Y1391" s="112"/>
    </row>
    <row r="1392" spans="22:25" x14ac:dyDescent="0.2">
      <c r="V1392" s="112"/>
      <c r="X1392" s="112"/>
      <c r="Y1392" s="112"/>
    </row>
    <row r="1393" spans="22:25" x14ac:dyDescent="0.2">
      <c r="V1393" s="112"/>
      <c r="X1393" s="112"/>
      <c r="Y1393" s="112"/>
    </row>
    <row r="1394" spans="22:25" x14ac:dyDescent="0.2">
      <c r="V1394" s="112"/>
      <c r="X1394" s="112"/>
      <c r="Y1394" s="112"/>
    </row>
    <row r="1395" spans="22:25" x14ac:dyDescent="0.2">
      <c r="V1395" s="112"/>
      <c r="X1395" s="112"/>
      <c r="Y1395" s="112"/>
    </row>
    <row r="1396" spans="22:25" x14ac:dyDescent="0.2">
      <c r="V1396" s="112"/>
      <c r="X1396" s="112"/>
      <c r="Y1396" s="112"/>
    </row>
    <row r="1397" spans="22:25" x14ac:dyDescent="0.2">
      <c r="V1397" s="112"/>
      <c r="X1397" s="112"/>
      <c r="Y1397" s="112"/>
    </row>
    <row r="1398" spans="22:25" x14ac:dyDescent="0.2">
      <c r="V1398" s="112"/>
      <c r="X1398" s="112"/>
      <c r="Y1398" s="112"/>
    </row>
    <row r="1399" spans="22:25" x14ac:dyDescent="0.2">
      <c r="V1399" s="112"/>
      <c r="X1399" s="112"/>
      <c r="Y1399" s="112"/>
    </row>
    <row r="1400" spans="22:25" x14ac:dyDescent="0.2">
      <c r="V1400" s="112"/>
      <c r="X1400" s="112"/>
      <c r="Y1400" s="112"/>
    </row>
    <row r="1401" spans="22:25" x14ac:dyDescent="0.2">
      <c r="V1401" s="112"/>
      <c r="X1401" s="112"/>
      <c r="Y1401" s="112"/>
    </row>
    <row r="1402" spans="22:25" x14ac:dyDescent="0.2">
      <c r="V1402" s="112"/>
      <c r="X1402" s="112"/>
      <c r="Y1402" s="112"/>
    </row>
    <row r="1403" spans="22:25" x14ac:dyDescent="0.2">
      <c r="V1403" s="112"/>
      <c r="X1403" s="112"/>
      <c r="Y1403" s="112"/>
    </row>
    <row r="1404" spans="22:25" x14ac:dyDescent="0.2">
      <c r="V1404" s="112"/>
      <c r="X1404" s="112"/>
      <c r="Y1404" s="112"/>
    </row>
    <row r="1405" spans="22:25" x14ac:dyDescent="0.2">
      <c r="V1405" s="112"/>
      <c r="X1405" s="112"/>
      <c r="Y1405" s="112"/>
    </row>
    <row r="1406" spans="22:25" x14ac:dyDescent="0.2">
      <c r="V1406" s="112"/>
      <c r="X1406" s="112"/>
      <c r="Y1406" s="112"/>
    </row>
    <row r="1407" spans="22:25" x14ac:dyDescent="0.2">
      <c r="V1407" s="112"/>
      <c r="X1407" s="112"/>
      <c r="Y1407" s="112"/>
    </row>
    <row r="1408" spans="22:25" x14ac:dyDescent="0.2">
      <c r="V1408" s="112"/>
      <c r="X1408" s="112"/>
      <c r="Y1408" s="112"/>
    </row>
    <row r="1409" spans="22:25" x14ac:dyDescent="0.2">
      <c r="V1409" s="112"/>
      <c r="X1409" s="112"/>
      <c r="Y1409" s="112"/>
    </row>
    <row r="1410" spans="22:25" x14ac:dyDescent="0.2">
      <c r="V1410" s="112"/>
      <c r="X1410" s="112"/>
      <c r="Y1410" s="112"/>
    </row>
    <row r="1411" spans="22:25" x14ac:dyDescent="0.2">
      <c r="V1411" s="112"/>
      <c r="X1411" s="112"/>
      <c r="Y1411" s="112"/>
    </row>
    <row r="1412" spans="22:25" x14ac:dyDescent="0.2">
      <c r="V1412" s="112"/>
      <c r="X1412" s="112"/>
      <c r="Y1412" s="112"/>
    </row>
    <row r="1413" spans="22:25" x14ac:dyDescent="0.2">
      <c r="V1413" s="112"/>
      <c r="X1413" s="112"/>
      <c r="Y1413" s="112"/>
    </row>
    <row r="1414" spans="22:25" x14ac:dyDescent="0.2">
      <c r="V1414" s="112"/>
      <c r="X1414" s="112"/>
      <c r="Y1414" s="112"/>
    </row>
    <row r="1415" spans="22:25" x14ac:dyDescent="0.2">
      <c r="V1415" s="112"/>
      <c r="X1415" s="112"/>
      <c r="Y1415" s="112"/>
    </row>
    <row r="1416" spans="22:25" x14ac:dyDescent="0.2">
      <c r="V1416" s="112"/>
      <c r="X1416" s="112"/>
      <c r="Y1416" s="112"/>
    </row>
    <row r="1417" spans="22:25" x14ac:dyDescent="0.2">
      <c r="V1417" s="112"/>
      <c r="X1417" s="112"/>
      <c r="Y1417" s="112"/>
    </row>
    <row r="1418" spans="22:25" x14ac:dyDescent="0.2">
      <c r="V1418" s="112"/>
      <c r="X1418" s="112"/>
      <c r="Y1418" s="112"/>
    </row>
    <row r="1419" spans="22:25" x14ac:dyDescent="0.2">
      <c r="V1419" s="112"/>
      <c r="X1419" s="112"/>
      <c r="Y1419" s="112"/>
    </row>
    <row r="1420" spans="22:25" x14ac:dyDescent="0.2">
      <c r="V1420" s="112"/>
      <c r="X1420" s="112"/>
      <c r="Y1420" s="112"/>
    </row>
    <row r="1421" spans="22:25" x14ac:dyDescent="0.2">
      <c r="V1421" s="112"/>
      <c r="X1421" s="112"/>
      <c r="Y1421" s="112"/>
    </row>
    <row r="1422" spans="22:25" x14ac:dyDescent="0.2">
      <c r="V1422" s="112"/>
      <c r="X1422" s="112"/>
      <c r="Y1422" s="112"/>
    </row>
    <row r="1423" spans="22:25" x14ac:dyDescent="0.2">
      <c r="V1423" s="112"/>
      <c r="X1423" s="112"/>
      <c r="Y1423" s="112"/>
    </row>
    <row r="1424" spans="22:25" x14ac:dyDescent="0.2">
      <c r="V1424" s="112"/>
      <c r="X1424" s="112"/>
      <c r="Y1424" s="112"/>
    </row>
    <row r="1425" spans="22:25" x14ac:dyDescent="0.2">
      <c r="V1425" s="112"/>
      <c r="X1425" s="112"/>
      <c r="Y1425" s="112"/>
    </row>
    <row r="1426" spans="22:25" x14ac:dyDescent="0.2">
      <c r="V1426" s="112"/>
      <c r="X1426" s="112"/>
      <c r="Y1426" s="112"/>
    </row>
    <row r="1427" spans="22:25" x14ac:dyDescent="0.2">
      <c r="V1427" s="112"/>
      <c r="X1427" s="112"/>
      <c r="Y1427" s="112"/>
    </row>
    <row r="1428" spans="22:25" x14ac:dyDescent="0.2">
      <c r="V1428" s="112"/>
      <c r="X1428" s="112"/>
      <c r="Y1428" s="112"/>
    </row>
    <row r="1429" spans="22:25" x14ac:dyDescent="0.2">
      <c r="V1429" s="112"/>
      <c r="X1429" s="112"/>
      <c r="Y1429" s="112"/>
    </row>
    <row r="1430" spans="22:25" x14ac:dyDescent="0.2">
      <c r="V1430" s="112"/>
      <c r="X1430" s="112"/>
      <c r="Y1430" s="112"/>
    </row>
    <row r="1431" spans="22:25" x14ac:dyDescent="0.2">
      <c r="V1431" s="112"/>
      <c r="X1431" s="112"/>
      <c r="Y1431" s="112"/>
    </row>
    <row r="1432" spans="22:25" x14ac:dyDescent="0.2">
      <c r="V1432" s="112"/>
      <c r="X1432" s="112"/>
      <c r="Y1432" s="112"/>
    </row>
    <row r="1433" spans="22:25" x14ac:dyDescent="0.2">
      <c r="V1433" s="112"/>
      <c r="X1433" s="112"/>
      <c r="Y1433" s="112"/>
    </row>
    <row r="1434" spans="22:25" x14ac:dyDescent="0.2">
      <c r="V1434" s="112"/>
      <c r="X1434" s="112"/>
      <c r="Y1434" s="112"/>
    </row>
    <row r="1435" spans="22:25" x14ac:dyDescent="0.2">
      <c r="V1435" s="112"/>
      <c r="X1435" s="112"/>
      <c r="Y1435" s="112"/>
    </row>
    <row r="1436" spans="22:25" x14ac:dyDescent="0.2">
      <c r="V1436" s="112"/>
      <c r="X1436" s="112"/>
      <c r="Y1436" s="112"/>
    </row>
    <row r="1437" spans="22:25" x14ac:dyDescent="0.2">
      <c r="V1437" s="112"/>
      <c r="X1437" s="112"/>
      <c r="Y1437" s="112"/>
    </row>
    <row r="1438" spans="22:25" x14ac:dyDescent="0.2">
      <c r="V1438" s="112"/>
      <c r="X1438" s="112"/>
      <c r="Y1438" s="112"/>
    </row>
    <row r="1439" spans="22:25" x14ac:dyDescent="0.2">
      <c r="V1439" s="112"/>
      <c r="X1439" s="112"/>
      <c r="Y1439" s="112"/>
    </row>
    <row r="1440" spans="22:25" x14ac:dyDescent="0.2">
      <c r="V1440" s="112"/>
      <c r="X1440" s="112"/>
      <c r="Y1440" s="112"/>
    </row>
    <row r="1441" spans="22:25" x14ac:dyDescent="0.2">
      <c r="V1441" s="112"/>
      <c r="X1441" s="112"/>
      <c r="Y1441" s="112"/>
    </row>
    <row r="1442" spans="22:25" x14ac:dyDescent="0.2">
      <c r="V1442" s="112"/>
      <c r="X1442" s="112"/>
      <c r="Y1442" s="112"/>
    </row>
    <row r="1443" spans="22:25" x14ac:dyDescent="0.2">
      <c r="V1443" s="112"/>
      <c r="X1443" s="112"/>
      <c r="Y1443" s="112"/>
    </row>
    <row r="1444" spans="22:25" x14ac:dyDescent="0.2">
      <c r="V1444" s="112"/>
      <c r="X1444" s="112"/>
      <c r="Y1444" s="112"/>
    </row>
    <row r="1445" spans="22:25" x14ac:dyDescent="0.2">
      <c r="V1445" s="112"/>
      <c r="X1445" s="112"/>
      <c r="Y1445" s="112"/>
    </row>
    <row r="1446" spans="22:25" x14ac:dyDescent="0.2">
      <c r="V1446" s="112"/>
      <c r="X1446" s="112"/>
      <c r="Y1446" s="112"/>
    </row>
    <row r="1447" spans="22:25" x14ac:dyDescent="0.2">
      <c r="V1447" s="112"/>
      <c r="X1447" s="112"/>
      <c r="Y1447" s="112"/>
    </row>
    <row r="1448" spans="22:25" x14ac:dyDescent="0.2">
      <c r="V1448" s="112"/>
      <c r="X1448" s="112"/>
      <c r="Y1448" s="112"/>
    </row>
    <row r="1449" spans="22:25" x14ac:dyDescent="0.2">
      <c r="V1449" s="112"/>
      <c r="X1449" s="112"/>
      <c r="Y1449" s="112"/>
    </row>
    <row r="1450" spans="22:25" x14ac:dyDescent="0.2">
      <c r="V1450" s="112"/>
      <c r="X1450" s="112"/>
      <c r="Y1450" s="112"/>
    </row>
    <row r="1451" spans="22:25" x14ac:dyDescent="0.2">
      <c r="V1451" s="112"/>
      <c r="X1451" s="112"/>
      <c r="Y1451" s="112"/>
    </row>
    <row r="1452" spans="22:25" x14ac:dyDescent="0.2">
      <c r="V1452" s="112"/>
      <c r="X1452" s="112"/>
      <c r="Y1452" s="112"/>
    </row>
    <row r="1453" spans="22:25" x14ac:dyDescent="0.2">
      <c r="V1453" s="112"/>
      <c r="X1453" s="112"/>
      <c r="Y1453" s="112"/>
    </row>
    <row r="1454" spans="22:25" x14ac:dyDescent="0.2">
      <c r="V1454" s="112"/>
      <c r="X1454" s="112"/>
      <c r="Y1454" s="112"/>
    </row>
    <row r="1455" spans="22:25" x14ac:dyDescent="0.2">
      <c r="V1455" s="112"/>
      <c r="X1455" s="112"/>
      <c r="Y1455" s="112"/>
    </row>
    <row r="1456" spans="22:25" x14ac:dyDescent="0.2">
      <c r="V1456" s="112"/>
      <c r="X1456" s="112"/>
      <c r="Y1456" s="112"/>
    </row>
    <row r="1457" spans="22:25" x14ac:dyDescent="0.2">
      <c r="V1457" s="112"/>
      <c r="X1457" s="112"/>
      <c r="Y1457" s="112"/>
    </row>
    <row r="1458" spans="22:25" x14ac:dyDescent="0.2">
      <c r="V1458" s="112"/>
      <c r="X1458" s="112"/>
      <c r="Y1458" s="112"/>
    </row>
    <row r="1459" spans="22:25" x14ac:dyDescent="0.2">
      <c r="V1459" s="112"/>
      <c r="X1459" s="112"/>
      <c r="Y1459" s="112"/>
    </row>
    <row r="1460" spans="22:25" x14ac:dyDescent="0.2">
      <c r="V1460" s="112"/>
      <c r="X1460" s="112"/>
      <c r="Y1460" s="112"/>
    </row>
    <row r="1461" spans="22:25" x14ac:dyDescent="0.2">
      <c r="V1461" s="112"/>
      <c r="X1461" s="112"/>
      <c r="Y1461" s="112"/>
    </row>
    <row r="1462" spans="22:25" x14ac:dyDescent="0.2">
      <c r="V1462" s="112"/>
      <c r="X1462" s="112"/>
      <c r="Y1462" s="112"/>
    </row>
    <row r="1463" spans="22:25" x14ac:dyDescent="0.2">
      <c r="V1463" s="112"/>
      <c r="X1463" s="112"/>
      <c r="Y1463" s="112"/>
    </row>
    <row r="1464" spans="22:25" x14ac:dyDescent="0.2">
      <c r="V1464" s="112"/>
      <c r="X1464" s="112"/>
      <c r="Y1464" s="112"/>
    </row>
    <row r="1465" spans="22:25" x14ac:dyDescent="0.2">
      <c r="V1465" s="112"/>
      <c r="X1465" s="112"/>
      <c r="Y1465" s="112"/>
    </row>
    <row r="1466" spans="22:25" x14ac:dyDescent="0.2">
      <c r="V1466" s="112"/>
      <c r="X1466" s="112"/>
      <c r="Y1466" s="112"/>
    </row>
    <row r="1467" spans="22:25" x14ac:dyDescent="0.2">
      <c r="V1467" s="112"/>
      <c r="X1467" s="112"/>
      <c r="Y1467" s="112"/>
    </row>
    <row r="1468" spans="22:25" x14ac:dyDescent="0.2">
      <c r="V1468" s="112"/>
      <c r="X1468" s="112"/>
      <c r="Y1468" s="112"/>
    </row>
    <row r="1469" spans="22:25" x14ac:dyDescent="0.2">
      <c r="V1469" s="112"/>
      <c r="X1469" s="112"/>
      <c r="Y1469" s="112"/>
    </row>
    <row r="1470" spans="22:25" x14ac:dyDescent="0.2">
      <c r="V1470" s="112"/>
      <c r="X1470" s="112"/>
      <c r="Y1470" s="112"/>
    </row>
    <row r="1471" spans="22:25" x14ac:dyDescent="0.2">
      <c r="V1471" s="112"/>
      <c r="X1471" s="112"/>
      <c r="Y1471" s="112"/>
    </row>
    <row r="1472" spans="22:25" x14ac:dyDescent="0.2">
      <c r="V1472" s="112"/>
      <c r="X1472" s="112"/>
      <c r="Y1472" s="112"/>
    </row>
    <row r="1473" spans="22:25" x14ac:dyDescent="0.2">
      <c r="V1473" s="112"/>
      <c r="X1473" s="112"/>
      <c r="Y1473" s="112"/>
    </row>
    <row r="1474" spans="22:25" x14ac:dyDescent="0.2">
      <c r="V1474" s="112"/>
      <c r="X1474" s="112"/>
      <c r="Y1474" s="112"/>
    </row>
    <row r="1475" spans="22:25" x14ac:dyDescent="0.2">
      <c r="V1475" s="112"/>
      <c r="X1475" s="112"/>
      <c r="Y1475" s="112"/>
    </row>
    <row r="1476" spans="22:25" x14ac:dyDescent="0.2">
      <c r="V1476" s="112"/>
      <c r="X1476" s="112"/>
      <c r="Y1476" s="112"/>
    </row>
    <row r="1477" spans="22:25" x14ac:dyDescent="0.2">
      <c r="V1477" s="112"/>
      <c r="X1477" s="112"/>
      <c r="Y1477" s="112"/>
    </row>
    <row r="1478" spans="22:25" x14ac:dyDescent="0.2">
      <c r="V1478" s="112"/>
      <c r="X1478" s="112"/>
      <c r="Y1478" s="112"/>
    </row>
    <row r="1479" spans="22:25" x14ac:dyDescent="0.2">
      <c r="V1479" s="112"/>
      <c r="X1479" s="112"/>
      <c r="Y1479" s="112"/>
    </row>
    <row r="1480" spans="22:25" x14ac:dyDescent="0.2">
      <c r="V1480" s="112"/>
      <c r="X1480" s="112"/>
      <c r="Y1480" s="112"/>
    </row>
    <row r="1481" spans="22:25" x14ac:dyDescent="0.2">
      <c r="V1481" s="112"/>
      <c r="X1481" s="112"/>
      <c r="Y1481" s="112"/>
    </row>
    <row r="1482" spans="22:25" x14ac:dyDescent="0.2">
      <c r="V1482" s="112"/>
      <c r="X1482" s="112"/>
      <c r="Y1482" s="112"/>
    </row>
    <row r="1483" spans="22:25" x14ac:dyDescent="0.2">
      <c r="V1483" s="112"/>
      <c r="X1483" s="112"/>
      <c r="Y1483" s="112"/>
    </row>
    <row r="1484" spans="22:25" x14ac:dyDescent="0.2">
      <c r="V1484" s="112"/>
      <c r="X1484" s="112"/>
      <c r="Y1484" s="112"/>
    </row>
    <row r="1485" spans="22:25" x14ac:dyDescent="0.2">
      <c r="V1485" s="112"/>
      <c r="X1485" s="112"/>
      <c r="Y1485" s="112"/>
    </row>
    <row r="1486" spans="22:25" x14ac:dyDescent="0.2">
      <c r="V1486" s="112"/>
      <c r="X1486" s="112"/>
      <c r="Y1486" s="112"/>
    </row>
    <row r="1487" spans="22:25" x14ac:dyDescent="0.2">
      <c r="V1487" s="112"/>
      <c r="X1487" s="112"/>
      <c r="Y1487" s="112"/>
    </row>
    <row r="1488" spans="22:25" x14ac:dyDescent="0.2">
      <c r="V1488" s="112"/>
      <c r="X1488" s="112"/>
      <c r="Y1488" s="112"/>
    </row>
    <row r="1489" spans="22:25" x14ac:dyDescent="0.2">
      <c r="V1489" s="112"/>
      <c r="X1489" s="112"/>
      <c r="Y1489" s="112"/>
    </row>
    <row r="1490" spans="22:25" x14ac:dyDescent="0.2">
      <c r="V1490" s="112"/>
      <c r="X1490" s="112"/>
      <c r="Y1490" s="112"/>
    </row>
    <row r="1491" spans="22:25" x14ac:dyDescent="0.2">
      <c r="V1491" s="112"/>
      <c r="X1491" s="112"/>
      <c r="Y1491" s="112"/>
    </row>
    <row r="1492" spans="22:25" x14ac:dyDescent="0.2">
      <c r="V1492" s="112"/>
      <c r="X1492" s="112"/>
      <c r="Y1492" s="112"/>
    </row>
    <row r="1493" spans="22:25" x14ac:dyDescent="0.2">
      <c r="V1493" s="112"/>
      <c r="X1493" s="112"/>
      <c r="Y1493" s="112"/>
    </row>
    <row r="1494" spans="22:25" x14ac:dyDescent="0.2">
      <c r="V1494" s="112"/>
      <c r="X1494" s="112"/>
      <c r="Y1494" s="112"/>
    </row>
    <row r="1495" spans="22:25" x14ac:dyDescent="0.2">
      <c r="V1495" s="112"/>
      <c r="X1495" s="112"/>
      <c r="Y1495" s="112"/>
    </row>
    <row r="1496" spans="22:25" x14ac:dyDescent="0.2">
      <c r="V1496" s="112"/>
      <c r="X1496" s="112"/>
      <c r="Y1496" s="112"/>
    </row>
    <row r="1497" spans="22:25" x14ac:dyDescent="0.2">
      <c r="V1497" s="112"/>
      <c r="X1497" s="112"/>
      <c r="Y1497" s="112"/>
    </row>
    <row r="1498" spans="22:25" x14ac:dyDescent="0.2">
      <c r="V1498" s="112"/>
      <c r="X1498" s="112"/>
      <c r="Y1498" s="112"/>
    </row>
    <row r="1499" spans="22:25" x14ac:dyDescent="0.2">
      <c r="V1499" s="112"/>
      <c r="X1499" s="112"/>
      <c r="Y1499" s="112"/>
    </row>
    <row r="1500" spans="22:25" x14ac:dyDescent="0.2">
      <c r="V1500" s="112"/>
      <c r="X1500" s="112"/>
      <c r="Y1500" s="112"/>
    </row>
    <row r="1501" spans="22:25" x14ac:dyDescent="0.2">
      <c r="V1501" s="112"/>
      <c r="X1501" s="112"/>
      <c r="Y1501" s="112"/>
    </row>
    <row r="1502" spans="22:25" x14ac:dyDescent="0.2">
      <c r="V1502" s="112"/>
      <c r="X1502" s="112"/>
      <c r="Y1502" s="112"/>
    </row>
    <row r="1503" spans="22:25" x14ac:dyDescent="0.2">
      <c r="V1503" s="112"/>
      <c r="X1503" s="112"/>
      <c r="Y1503" s="112"/>
    </row>
    <row r="1504" spans="22:25" x14ac:dyDescent="0.2">
      <c r="V1504" s="112"/>
      <c r="X1504" s="112"/>
      <c r="Y1504" s="112"/>
    </row>
    <row r="1505" spans="22:25" x14ac:dyDescent="0.2">
      <c r="V1505" s="112"/>
      <c r="X1505" s="112"/>
      <c r="Y1505" s="112"/>
    </row>
    <row r="1506" spans="22:25" x14ac:dyDescent="0.2">
      <c r="V1506" s="112"/>
      <c r="X1506" s="112"/>
      <c r="Y1506" s="112"/>
    </row>
    <row r="1507" spans="22:25" x14ac:dyDescent="0.2">
      <c r="V1507" s="112"/>
      <c r="X1507" s="112"/>
      <c r="Y1507" s="112"/>
    </row>
    <row r="1508" spans="22:25" x14ac:dyDescent="0.2">
      <c r="V1508" s="112"/>
      <c r="X1508" s="112"/>
      <c r="Y1508" s="112"/>
    </row>
    <row r="1509" spans="22:25" x14ac:dyDescent="0.2">
      <c r="V1509" s="112"/>
      <c r="X1509" s="112"/>
      <c r="Y1509" s="112"/>
    </row>
    <row r="1510" spans="22:25" x14ac:dyDescent="0.2">
      <c r="V1510" s="112"/>
      <c r="X1510" s="112"/>
      <c r="Y1510" s="112"/>
    </row>
    <row r="1511" spans="22:25" x14ac:dyDescent="0.2">
      <c r="V1511" s="112"/>
      <c r="X1511" s="112"/>
      <c r="Y1511" s="112"/>
    </row>
    <row r="1512" spans="22:25" x14ac:dyDescent="0.2">
      <c r="V1512" s="112"/>
      <c r="X1512" s="112"/>
      <c r="Y1512" s="112"/>
    </row>
    <row r="1513" spans="22:25" x14ac:dyDescent="0.2">
      <c r="V1513" s="112"/>
      <c r="X1513" s="112"/>
      <c r="Y1513" s="112"/>
    </row>
    <row r="1514" spans="22:25" x14ac:dyDescent="0.2">
      <c r="V1514" s="112"/>
      <c r="X1514" s="112"/>
      <c r="Y1514" s="112"/>
    </row>
    <row r="1515" spans="22:25" x14ac:dyDescent="0.2">
      <c r="V1515" s="112"/>
      <c r="X1515" s="112"/>
      <c r="Y1515" s="112"/>
    </row>
    <row r="1516" spans="22:25" x14ac:dyDescent="0.2">
      <c r="V1516" s="112"/>
      <c r="X1516" s="112"/>
      <c r="Y1516" s="112"/>
    </row>
    <row r="1517" spans="22:25" x14ac:dyDescent="0.2">
      <c r="V1517" s="112"/>
      <c r="X1517" s="112"/>
      <c r="Y1517" s="112"/>
    </row>
    <row r="1518" spans="22:25" x14ac:dyDescent="0.2">
      <c r="V1518" s="112"/>
      <c r="X1518" s="112"/>
      <c r="Y1518" s="112"/>
    </row>
    <row r="1519" spans="22:25" x14ac:dyDescent="0.2">
      <c r="V1519" s="112"/>
      <c r="X1519" s="112"/>
      <c r="Y1519" s="112"/>
    </row>
    <row r="1520" spans="22:25" x14ac:dyDescent="0.2">
      <c r="V1520" s="112"/>
      <c r="X1520" s="112"/>
      <c r="Y1520" s="112"/>
    </row>
    <row r="1521" spans="22:25" x14ac:dyDescent="0.2">
      <c r="V1521" s="112"/>
      <c r="X1521" s="112"/>
      <c r="Y1521" s="112"/>
    </row>
    <row r="1522" spans="22:25" x14ac:dyDescent="0.2">
      <c r="V1522" s="112"/>
      <c r="X1522" s="112"/>
      <c r="Y1522" s="112"/>
    </row>
    <row r="1523" spans="22:25" x14ac:dyDescent="0.2">
      <c r="V1523" s="112"/>
      <c r="X1523" s="112"/>
      <c r="Y1523" s="112"/>
    </row>
    <row r="1524" spans="22:25" x14ac:dyDescent="0.2">
      <c r="V1524" s="112"/>
      <c r="X1524" s="112"/>
      <c r="Y1524" s="112"/>
    </row>
    <row r="1525" spans="22:25" x14ac:dyDescent="0.2">
      <c r="V1525" s="112"/>
      <c r="X1525" s="112"/>
      <c r="Y1525" s="112"/>
    </row>
    <row r="1526" spans="22:25" x14ac:dyDescent="0.2">
      <c r="V1526" s="112"/>
      <c r="X1526" s="112"/>
      <c r="Y1526" s="112"/>
    </row>
    <row r="1527" spans="22:25" x14ac:dyDescent="0.2">
      <c r="V1527" s="112"/>
      <c r="X1527" s="112"/>
      <c r="Y1527" s="112"/>
    </row>
    <row r="1528" spans="22:25" x14ac:dyDescent="0.2">
      <c r="V1528" s="112"/>
      <c r="X1528" s="112"/>
      <c r="Y1528" s="112"/>
    </row>
    <row r="1529" spans="22:25" x14ac:dyDescent="0.2">
      <c r="V1529" s="112"/>
      <c r="X1529" s="112"/>
      <c r="Y1529" s="112"/>
    </row>
    <row r="1530" spans="22:25" x14ac:dyDescent="0.2">
      <c r="V1530" s="112"/>
      <c r="X1530" s="112"/>
      <c r="Y1530" s="112"/>
    </row>
    <row r="1531" spans="22:25" x14ac:dyDescent="0.2">
      <c r="V1531" s="112"/>
      <c r="X1531" s="112"/>
      <c r="Y1531" s="112"/>
    </row>
    <row r="1532" spans="22:25" x14ac:dyDescent="0.2">
      <c r="V1532" s="112"/>
      <c r="X1532" s="112"/>
      <c r="Y1532" s="112"/>
    </row>
    <row r="1533" spans="22:25" x14ac:dyDescent="0.2">
      <c r="V1533" s="112"/>
      <c r="X1533" s="112"/>
      <c r="Y1533" s="112"/>
    </row>
    <row r="1534" spans="22:25" x14ac:dyDescent="0.2">
      <c r="V1534" s="112"/>
      <c r="X1534" s="112"/>
      <c r="Y1534" s="112"/>
    </row>
    <row r="1535" spans="22:25" x14ac:dyDescent="0.2">
      <c r="V1535" s="112"/>
      <c r="X1535" s="112"/>
      <c r="Y1535" s="112"/>
    </row>
    <row r="1536" spans="22:25" x14ac:dyDescent="0.2">
      <c r="V1536" s="112"/>
      <c r="X1536" s="112"/>
      <c r="Y1536" s="112"/>
    </row>
    <row r="1537" spans="22:25" x14ac:dyDescent="0.2">
      <c r="V1537" s="112"/>
      <c r="X1537" s="112"/>
      <c r="Y1537" s="112"/>
    </row>
    <row r="1538" spans="22:25" x14ac:dyDescent="0.2">
      <c r="V1538" s="112"/>
      <c r="X1538" s="112"/>
      <c r="Y1538" s="112"/>
    </row>
    <row r="1539" spans="22:25" x14ac:dyDescent="0.2">
      <c r="V1539" s="112"/>
      <c r="X1539" s="112"/>
      <c r="Y1539" s="112"/>
    </row>
    <row r="1540" spans="22:25" x14ac:dyDescent="0.2">
      <c r="V1540" s="112"/>
      <c r="X1540" s="112"/>
      <c r="Y1540" s="112"/>
    </row>
    <row r="1541" spans="22:25" x14ac:dyDescent="0.2">
      <c r="V1541" s="112"/>
      <c r="X1541" s="112"/>
      <c r="Y1541" s="112"/>
    </row>
    <row r="1542" spans="22:25" x14ac:dyDescent="0.2">
      <c r="V1542" s="112"/>
      <c r="X1542" s="112"/>
      <c r="Y1542" s="112"/>
    </row>
    <row r="1543" spans="22:25" x14ac:dyDescent="0.2">
      <c r="V1543" s="112"/>
      <c r="X1543" s="112"/>
      <c r="Y1543" s="112"/>
    </row>
    <row r="1544" spans="22:25" x14ac:dyDescent="0.2">
      <c r="V1544" s="112"/>
      <c r="X1544" s="112"/>
      <c r="Y1544" s="112"/>
    </row>
    <row r="1545" spans="22:25" x14ac:dyDescent="0.2">
      <c r="V1545" s="112"/>
      <c r="X1545" s="112"/>
      <c r="Y1545" s="112"/>
    </row>
    <row r="1546" spans="22:25" x14ac:dyDescent="0.2">
      <c r="V1546" s="112"/>
      <c r="X1546" s="112"/>
      <c r="Y1546" s="112"/>
    </row>
    <row r="1547" spans="22:25" x14ac:dyDescent="0.2">
      <c r="V1547" s="112"/>
      <c r="X1547" s="112"/>
      <c r="Y1547" s="112"/>
    </row>
    <row r="1548" spans="22:25" x14ac:dyDescent="0.2">
      <c r="V1548" s="112"/>
      <c r="X1548" s="112"/>
      <c r="Y1548" s="112"/>
    </row>
    <row r="1549" spans="22:25" x14ac:dyDescent="0.2">
      <c r="V1549" s="112"/>
      <c r="X1549" s="112"/>
      <c r="Y1549" s="112"/>
    </row>
    <row r="1550" spans="22:25" x14ac:dyDescent="0.2">
      <c r="V1550" s="112"/>
      <c r="X1550" s="112"/>
      <c r="Y1550" s="112"/>
    </row>
    <row r="1551" spans="22:25" x14ac:dyDescent="0.2">
      <c r="V1551" s="112"/>
      <c r="X1551" s="112"/>
      <c r="Y1551" s="112"/>
    </row>
    <row r="1552" spans="22:25" x14ac:dyDescent="0.2">
      <c r="V1552" s="112"/>
      <c r="X1552" s="112"/>
      <c r="Y1552" s="112"/>
    </row>
    <row r="1553" spans="22:25" x14ac:dyDescent="0.2">
      <c r="V1553" s="112"/>
      <c r="X1553" s="112"/>
      <c r="Y1553" s="112"/>
    </row>
    <row r="1554" spans="22:25" x14ac:dyDescent="0.2">
      <c r="V1554" s="112"/>
      <c r="X1554" s="112"/>
      <c r="Y1554" s="112"/>
    </row>
    <row r="1555" spans="22:25" x14ac:dyDescent="0.2">
      <c r="V1555" s="112"/>
      <c r="X1555" s="112"/>
      <c r="Y1555" s="112"/>
    </row>
    <row r="1556" spans="22:25" x14ac:dyDescent="0.2">
      <c r="V1556" s="112"/>
      <c r="X1556" s="112"/>
      <c r="Y1556" s="112"/>
    </row>
    <row r="1557" spans="22:25" x14ac:dyDescent="0.2">
      <c r="V1557" s="112"/>
      <c r="X1557" s="112"/>
      <c r="Y1557" s="112"/>
    </row>
    <row r="1558" spans="22:25" x14ac:dyDescent="0.2">
      <c r="V1558" s="112"/>
      <c r="X1558" s="112"/>
      <c r="Y1558" s="112"/>
    </row>
    <row r="1559" spans="22:25" x14ac:dyDescent="0.2">
      <c r="V1559" s="112"/>
      <c r="X1559" s="112"/>
      <c r="Y1559" s="112"/>
    </row>
    <row r="1560" spans="22:25" x14ac:dyDescent="0.2">
      <c r="V1560" s="112"/>
      <c r="X1560" s="112"/>
      <c r="Y1560" s="112"/>
    </row>
    <row r="1561" spans="22:25" x14ac:dyDescent="0.2">
      <c r="V1561" s="112"/>
      <c r="X1561" s="112"/>
      <c r="Y1561" s="112"/>
    </row>
    <row r="1562" spans="22:25" x14ac:dyDescent="0.2">
      <c r="V1562" s="112"/>
      <c r="X1562" s="112"/>
      <c r="Y1562" s="112"/>
    </row>
    <row r="1563" spans="22:25" x14ac:dyDescent="0.2">
      <c r="V1563" s="112"/>
      <c r="X1563" s="112"/>
      <c r="Y1563" s="112"/>
    </row>
    <row r="1564" spans="22:25" x14ac:dyDescent="0.2">
      <c r="V1564" s="112"/>
      <c r="X1564" s="112"/>
      <c r="Y1564" s="112"/>
    </row>
    <row r="1565" spans="22:25" x14ac:dyDescent="0.2">
      <c r="V1565" s="112"/>
      <c r="X1565" s="112"/>
      <c r="Y1565" s="112"/>
    </row>
    <row r="1566" spans="22:25" x14ac:dyDescent="0.2">
      <c r="V1566" s="112"/>
      <c r="X1566" s="112"/>
      <c r="Y1566" s="112"/>
    </row>
    <row r="1567" spans="22:25" x14ac:dyDescent="0.2">
      <c r="V1567" s="112"/>
      <c r="X1567" s="112"/>
      <c r="Y1567" s="112"/>
    </row>
    <row r="1568" spans="22:25" x14ac:dyDescent="0.2">
      <c r="V1568" s="112"/>
      <c r="X1568" s="112"/>
      <c r="Y1568" s="112"/>
    </row>
    <row r="1569" spans="22:25" x14ac:dyDescent="0.2">
      <c r="V1569" s="112"/>
      <c r="X1569" s="112"/>
      <c r="Y1569" s="112"/>
    </row>
    <row r="1570" spans="22:25" x14ac:dyDescent="0.2">
      <c r="V1570" s="112"/>
      <c r="X1570" s="112"/>
      <c r="Y1570" s="112"/>
    </row>
    <row r="1571" spans="22:25" x14ac:dyDescent="0.2">
      <c r="V1571" s="112"/>
      <c r="X1571" s="112"/>
      <c r="Y1571" s="112"/>
    </row>
    <row r="1572" spans="22:25" x14ac:dyDescent="0.2">
      <c r="V1572" s="112"/>
      <c r="X1572" s="112"/>
      <c r="Y1572" s="112"/>
    </row>
    <row r="1573" spans="22:25" x14ac:dyDescent="0.2">
      <c r="V1573" s="112"/>
      <c r="X1573" s="112"/>
      <c r="Y1573" s="112"/>
    </row>
    <row r="1574" spans="22:25" x14ac:dyDescent="0.2">
      <c r="V1574" s="112"/>
      <c r="X1574" s="112"/>
      <c r="Y1574" s="112"/>
    </row>
    <row r="1575" spans="22:25" x14ac:dyDescent="0.2">
      <c r="V1575" s="112"/>
      <c r="X1575" s="112"/>
      <c r="Y1575" s="112"/>
    </row>
    <row r="1576" spans="22:25" x14ac:dyDescent="0.2">
      <c r="V1576" s="112"/>
      <c r="X1576" s="112"/>
      <c r="Y1576" s="112"/>
    </row>
    <row r="1577" spans="22:25" x14ac:dyDescent="0.2">
      <c r="V1577" s="112"/>
      <c r="X1577" s="112"/>
      <c r="Y1577" s="112"/>
    </row>
    <row r="1578" spans="22:25" x14ac:dyDescent="0.2">
      <c r="V1578" s="112"/>
      <c r="X1578" s="112"/>
      <c r="Y1578" s="112"/>
    </row>
    <row r="1579" spans="22:25" x14ac:dyDescent="0.2">
      <c r="V1579" s="112"/>
      <c r="X1579" s="112"/>
      <c r="Y1579" s="112"/>
    </row>
    <row r="1580" spans="22:25" x14ac:dyDescent="0.2">
      <c r="V1580" s="112"/>
      <c r="X1580" s="112"/>
      <c r="Y1580" s="112"/>
    </row>
    <row r="1581" spans="22:25" x14ac:dyDescent="0.2">
      <c r="V1581" s="112"/>
      <c r="X1581" s="112"/>
      <c r="Y1581" s="112"/>
    </row>
    <row r="1582" spans="22:25" x14ac:dyDescent="0.2">
      <c r="V1582" s="112"/>
      <c r="X1582" s="112"/>
      <c r="Y1582" s="112"/>
    </row>
    <row r="1583" spans="22:25" x14ac:dyDescent="0.2">
      <c r="V1583" s="112"/>
      <c r="X1583" s="112"/>
      <c r="Y1583" s="112"/>
    </row>
    <row r="1584" spans="22:25" x14ac:dyDescent="0.2">
      <c r="V1584" s="112"/>
      <c r="X1584" s="112"/>
      <c r="Y1584" s="112"/>
    </row>
    <row r="1585" spans="22:25" x14ac:dyDescent="0.2">
      <c r="V1585" s="112"/>
      <c r="X1585" s="112"/>
      <c r="Y1585" s="112"/>
    </row>
    <row r="1586" spans="22:25" x14ac:dyDescent="0.2">
      <c r="V1586" s="112"/>
      <c r="X1586" s="112"/>
      <c r="Y1586" s="112"/>
    </row>
    <row r="1587" spans="22:25" x14ac:dyDescent="0.2">
      <c r="V1587" s="112"/>
      <c r="X1587" s="112"/>
      <c r="Y1587" s="112"/>
    </row>
    <row r="1588" spans="22:25" x14ac:dyDescent="0.2">
      <c r="V1588" s="112"/>
      <c r="X1588" s="112"/>
      <c r="Y1588" s="112"/>
    </row>
    <row r="1589" spans="22:25" x14ac:dyDescent="0.2">
      <c r="V1589" s="112"/>
      <c r="X1589" s="112"/>
      <c r="Y1589" s="112"/>
    </row>
    <row r="1590" spans="22:25" x14ac:dyDescent="0.2">
      <c r="V1590" s="112"/>
      <c r="X1590" s="112"/>
      <c r="Y1590" s="112"/>
    </row>
    <row r="1591" spans="22:25" x14ac:dyDescent="0.2">
      <c r="V1591" s="112"/>
      <c r="X1591" s="112"/>
      <c r="Y1591" s="112"/>
    </row>
    <row r="1592" spans="22:25" x14ac:dyDescent="0.2">
      <c r="V1592" s="112"/>
      <c r="X1592" s="112"/>
      <c r="Y1592" s="112"/>
    </row>
    <row r="1593" spans="22:25" x14ac:dyDescent="0.2">
      <c r="V1593" s="112"/>
      <c r="X1593" s="112"/>
      <c r="Y1593" s="112"/>
    </row>
    <row r="1594" spans="22:25" x14ac:dyDescent="0.2">
      <c r="V1594" s="112"/>
      <c r="X1594" s="112"/>
      <c r="Y1594" s="112"/>
    </row>
    <row r="1595" spans="22:25" x14ac:dyDescent="0.2">
      <c r="V1595" s="112"/>
      <c r="X1595" s="112"/>
      <c r="Y1595" s="112"/>
    </row>
    <row r="1596" spans="22:25" x14ac:dyDescent="0.2">
      <c r="V1596" s="112"/>
      <c r="X1596" s="112"/>
      <c r="Y1596" s="112"/>
    </row>
    <row r="1597" spans="22:25" x14ac:dyDescent="0.2">
      <c r="V1597" s="112"/>
      <c r="X1597" s="112"/>
      <c r="Y1597" s="112"/>
    </row>
    <row r="1598" spans="22:25" x14ac:dyDescent="0.2">
      <c r="V1598" s="112"/>
      <c r="X1598" s="112"/>
      <c r="Y1598" s="112"/>
    </row>
    <row r="1599" spans="22:25" x14ac:dyDescent="0.2">
      <c r="V1599" s="112"/>
      <c r="X1599" s="112"/>
      <c r="Y1599" s="112"/>
    </row>
    <row r="1600" spans="22:25" x14ac:dyDescent="0.2">
      <c r="V1600" s="112"/>
      <c r="X1600" s="112"/>
      <c r="Y1600" s="112"/>
    </row>
    <row r="1601" spans="22:25" x14ac:dyDescent="0.2">
      <c r="V1601" s="112"/>
      <c r="X1601" s="112"/>
      <c r="Y1601" s="112"/>
    </row>
    <row r="1602" spans="22:25" x14ac:dyDescent="0.2">
      <c r="V1602" s="112"/>
      <c r="X1602" s="112"/>
      <c r="Y1602" s="112"/>
    </row>
    <row r="1603" spans="22:25" x14ac:dyDescent="0.2">
      <c r="V1603" s="112"/>
      <c r="X1603" s="112"/>
      <c r="Y1603" s="112"/>
    </row>
    <row r="1604" spans="22:25" x14ac:dyDescent="0.2">
      <c r="V1604" s="112"/>
      <c r="X1604" s="112"/>
      <c r="Y1604" s="112"/>
    </row>
    <row r="1605" spans="22:25" x14ac:dyDescent="0.2">
      <c r="V1605" s="112"/>
      <c r="X1605" s="112"/>
      <c r="Y1605" s="112"/>
    </row>
    <row r="1606" spans="22:25" x14ac:dyDescent="0.2">
      <c r="V1606" s="112"/>
      <c r="X1606" s="112"/>
      <c r="Y1606" s="112"/>
    </row>
    <row r="1607" spans="22:25" x14ac:dyDescent="0.2">
      <c r="V1607" s="112"/>
      <c r="X1607" s="112"/>
      <c r="Y1607" s="112"/>
    </row>
    <row r="1608" spans="22:25" x14ac:dyDescent="0.2">
      <c r="V1608" s="112"/>
      <c r="X1608" s="112"/>
      <c r="Y1608" s="112"/>
    </row>
    <row r="1609" spans="22:25" x14ac:dyDescent="0.2">
      <c r="V1609" s="112"/>
      <c r="X1609" s="112"/>
      <c r="Y1609" s="112"/>
    </row>
    <row r="1610" spans="22:25" x14ac:dyDescent="0.2">
      <c r="V1610" s="112"/>
      <c r="X1610" s="112"/>
      <c r="Y1610" s="112"/>
    </row>
    <row r="1611" spans="22:25" x14ac:dyDescent="0.2">
      <c r="V1611" s="112"/>
      <c r="X1611" s="112"/>
      <c r="Y1611" s="112"/>
    </row>
    <row r="1612" spans="22:25" x14ac:dyDescent="0.2">
      <c r="V1612" s="112"/>
      <c r="X1612" s="112"/>
      <c r="Y1612" s="112"/>
    </row>
    <row r="1613" spans="22:25" x14ac:dyDescent="0.2">
      <c r="V1613" s="112"/>
      <c r="X1613" s="112"/>
      <c r="Y1613" s="112"/>
    </row>
    <row r="1614" spans="22:25" x14ac:dyDescent="0.2">
      <c r="V1614" s="112"/>
      <c r="X1614" s="112"/>
      <c r="Y1614" s="112"/>
    </row>
    <row r="1615" spans="22:25" x14ac:dyDescent="0.2">
      <c r="V1615" s="112"/>
      <c r="X1615" s="112"/>
      <c r="Y1615" s="112"/>
    </row>
    <row r="1616" spans="22:25" x14ac:dyDescent="0.2">
      <c r="V1616" s="112"/>
      <c r="X1616" s="112"/>
      <c r="Y1616" s="112"/>
    </row>
    <row r="1617" spans="22:25" x14ac:dyDescent="0.2">
      <c r="V1617" s="112"/>
      <c r="X1617" s="112"/>
      <c r="Y1617" s="112"/>
    </row>
    <row r="1618" spans="22:25" x14ac:dyDescent="0.2">
      <c r="V1618" s="112"/>
      <c r="X1618" s="112"/>
      <c r="Y1618" s="112"/>
    </row>
    <row r="1619" spans="22:25" x14ac:dyDescent="0.2">
      <c r="V1619" s="112"/>
      <c r="X1619" s="112"/>
      <c r="Y1619" s="112"/>
    </row>
    <row r="1620" spans="22:25" x14ac:dyDescent="0.2">
      <c r="V1620" s="112"/>
      <c r="X1620" s="112"/>
      <c r="Y1620" s="112"/>
    </row>
    <row r="1621" spans="22:25" x14ac:dyDescent="0.2">
      <c r="V1621" s="112"/>
      <c r="X1621" s="112"/>
      <c r="Y1621" s="112"/>
    </row>
    <row r="1622" spans="22:25" x14ac:dyDescent="0.2">
      <c r="V1622" s="112"/>
      <c r="X1622" s="112"/>
      <c r="Y1622" s="112"/>
    </row>
    <row r="1623" spans="22:25" x14ac:dyDescent="0.2">
      <c r="V1623" s="112"/>
      <c r="X1623" s="112"/>
      <c r="Y1623" s="112"/>
    </row>
    <row r="1624" spans="22:25" x14ac:dyDescent="0.2">
      <c r="V1624" s="112"/>
      <c r="X1624" s="112"/>
      <c r="Y1624" s="112"/>
    </row>
    <row r="1625" spans="22:25" x14ac:dyDescent="0.2">
      <c r="V1625" s="112"/>
      <c r="X1625" s="112"/>
      <c r="Y1625" s="112"/>
    </row>
    <row r="1626" spans="22:25" x14ac:dyDescent="0.2">
      <c r="V1626" s="112"/>
      <c r="X1626" s="112"/>
      <c r="Y1626" s="112"/>
    </row>
    <row r="1627" spans="22:25" x14ac:dyDescent="0.2">
      <c r="V1627" s="112"/>
      <c r="X1627" s="112"/>
      <c r="Y1627" s="112"/>
    </row>
    <row r="1628" spans="22:25" x14ac:dyDescent="0.2">
      <c r="V1628" s="112"/>
      <c r="X1628" s="112"/>
      <c r="Y1628" s="112"/>
    </row>
    <row r="1629" spans="22:25" x14ac:dyDescent="0.2">
      <c r="V1629" s="112"/>
      <c r="X1629" s="112"/>
      <c r="Y1629" s="112"/>
    </row>
    <row r="1630" spans="22:25" x14ac:dyDescent="0.2">
      <c r="V1630" s="112"/>
      <c r="X1630" s="112"/>
      <c r="Y1630" s="112"/>
    </row>
    <row r="1631" spans="22:25" x14ac:dyDescent="0.2">
      <c r="V1631" s="112"/>
      <c r="X1631" s="112"/>
      <c r="Y1631" s="112"/>
    </row>
    <row r="1632" spans="22:25" x14ac:dyDescent="0.2">
      <c r="V1632" s="112"/>
      <c r="X1632" s="112"/>
      <c r="Y1632" s="112"/>
    </row>
    <row r="1633" spans="22:25" x14ac:dyDescent="0.2">
      <c r="V1633" s="112"/>
      <c r="X1633" s="112"/>
      <c r="Y1633" s="112"/>
    </row>
    <row r="1634" spans="22:25" x14ac:dyDescent="0.2">
      <c r="V1634" s="112"/>
      <c r="X1634" s="112"/>
      <c r="Y1634" s="112"/>
    </row>
    <row r="1635" spans="22:25" x14ac:dyDescent="0.2">
      <c r="V1635" s="112"/>
      <c r="X1635" s="112"/>
      <c r="Y1635" s="112"/>
    </row>
    <row r="1636" spans="22:25" x14ac:dyDescent="0.2">
      <c r="V1636" s="112"/>
      <c r="X1636" s="112"/>
      <c r="Y1636" s="112"/>
    </row>
    <row r="1637" spans="22:25" x14ac:dyDescent="0.2">
      <c r="V1637" s="112"/>
      <c r="X1637" s="112"/>
      <c r="Y1637" s="112"/>
    </row>
    <row r="1638" spans="22:25" x14ac:dyDescent="0.2">
      <c r="V1638" s="112"/>
      <c r="X1638" s="112"/>
      <c r="Y1638" s="112"/>
    </row>
    <row r="1639" spans="22:25" x14ac:dyDescent="0.2">
      <c r="V1639" s="112"/>
      <c r="X1639" s="112"/>
      <c r="Y1639" s="112"/>
    </row>
    <row r="1640" spans="22:25" x14ac:dyDescent="0.2">
      <c r="V1640" s="112"/>
      <c r="X1640" s="112"/>
      <c r="Y1640" s="112"/>
    </row>
    <row r="1641" spans="22:25" x14ac:dyDescent="0.2">
      <c r="V1641" s="112"/>
      <c r="X1641" s="112"/>
      <c r="Y1641" s="112"/>
    </row>
    <row r="1642" spans="22:25" x14ac:dyDescent="0.2">
      <c r="V1642" s="112"/>
      <c r="X1642" s="112"/>
      <c r="Y1642" s="112"/>
    </row>
    <row r="1643" spans="22:25" x14ac:dyDescent="0.2">
      <c r="V1643" s="112"/>
      <c r="X1643" s="112"/>
      <c r="Y1643" s="112"/>
    </row>
    <row r="1644" spans="22:25" x14ac:dyDescent="0.2">
      <c r="V1644" s="112"/>
      <c r="X1644" s="112"/>
      <c r="Y1644" s="112"/>
    </row>
    <row r="1645" spans="22:25" x14ac:dyDescent="0.2">
      <c r="V1645" s="112"/>
      <c r="X1645" s="112"/>
      <c r="Y1645" s="112"/>
    </row>
    <row r="1646" spans="22:25" x14ac:dyDescent="0.2">
      <c r="V1646" s="112"/>
      <c r="X1646" s="112"/>
      <c r="Y1646" s="112"/>
    </row>
    <row r="1647" spans="22:25" x14ac:dyDescent="0.2">
      <c r="V1647" s="112"/>
      <c r="X1647" s="112"/>
      <c r="Y1647" s="112"/>
    </row>
    <row r="1648" spans="22:25" x14ac:dyDescent="0.2">
      <c r="V1648" s="112"/>
      <c r="X1648" s="112"/>
      <c r="Y1648" s="112"/>
    </row>
    <row r="1649" spans="22:25" x14ac:dyDescent="0.2">
      <c r="V1649" s="112"/>
      <c r="X1649" s="112"/>
      <c r="Y1649" s="112"/>
    </row>
    <row r="1650" spans="22:25" x14ac:dyDescent="0.2">
      <c r="V1650" s="112"/>
      <c r="X1650" s="112"/>
      <c r="Y1650" s="112"/>
    </row>
    <row r="1651" spans="22:25" x14ac:dyDescent="0.2">
      <c r="V1651" s="112"/>
      <c r="X1651" s="112"/>
      <c r="Y1651" s="112"/>
    </row>
    <row r="1652" spans="22:25" x14ac:dyDescent="0.2">
      <c r="V1652" s="112"/>
      <c r="X1652" s="112"/>
      <c r="Y1652" s="112"/>
    </row>
    <row r="1653" spans="22:25" x14ac:dyDescent="0.2">
      <c r="V1653" s="112"/>
      <c r="X1653" s="112"/>
      <c r="Y1653" s="112"/>
    </row>
    <row r="1654" spans="22:25" x14ac:dyDescent="0.2">
      <c r="V1654" s="112"/>
      <c r="X1654" s="112"/>
      <c r="Y1654" s="112"/>
    </row>
    <row r="1655" spans="22:25" x14ac:dyDescent="0.2">
      <c r="V1655" s="112"/>
      <c r="X1655" s="112"/>
      <c r="Y1655" s="112"/>
    </row>
    <row r="1656" spans="22:25" x14ac:dyDescent="0.2">
      <c r="V1656" s="112"/>
      <c r="X1656" s="112"/>
      <c r="Y1656" s="112"/>
    </row>
    <row r="1657" spans="22:25" x14ac:dyDescent="0.2">
      <c r="V1657" s="112"/>
      <c r="X1657" s="112"/>
      <c r="Y1657" s="112"/>
    </row>
    <row r="1658" spans="22:25" x14ac:dyDescent="0.2">
      <c r="V1658" s="112"/>
      <c r="X1658" s="112"/>
      <c r="Y1658" s="112"/>
    </row>
    <row r="1659" spans="22:25" x14ac:dyDescent="0.2">
      <c r="V1659" s="112"/>
      <c r="X1659" s="112"/>
      <c r="Y1659" s="112"/>
    </row>
    <row r="1660" spans="22:25" x14ac:dyDescent="0.2">
      <c r="V1660" s="112"/>
      <c r="X1660" s="112"/>
      <c r="Y1660" s="112"/>
    </row>
    <row r="1661" spans="22:25" x14ac:dyDescent="0.2">
      <c r="V1661" s="112"/>
      <c r="X1661" s="112"/>
      <c r="Y1661" s="112"/>
    </row>
    <row r="1662" spans="22:25" x14ac:dyDescent="0.2">
      <c r="V1662" s="112"/>
      <c r="X1662" s="112"/>
      <c r="Y1662" s="112"/>
    </row>
    <row r="1663" spans="22:25" x14ac:dyDescent="0.2">
      <c r="V1663" s="112"/>
      <c r="X1663" s="112"/>
      <c r="Y1663" s="112"/>
    </row>
    <row r="1664" spans="22:25" x14ac:dyDescent="0.2">
      <c r="V1664" s="112"/>
      <c r="X1664" s="112"/>
      <c r="Y1664" s="112"/>
    </row>
    <row r="1665" spans="22:25" x14ac:dyDescent="0.2">
      <c r="V1665" s="112"/>
      <c r="X1665" s="112"/>
      <c r="Y1665" s="112"/>
    </row>
    <row r="1666" spans="22:25" x14ac:dyDescent="0.2">
      <c r="V1666" s="112"/>
      <c r="X1666" s="112"/>
      <c r="Y1666" s="112"/>
    </row>
    <row r="1667" spans="22:25" x14ac:dyDescent="0.2">
      <c r="V1667" s="112"/>
      <c r="X1667" s="112"/>
      <c r="Y1667" s="112"/>
    </row>
    <row r="1668" spans="22:25" x14ac:dyDescent="0.2">
      <c r="V1668" s="112"/>
      <c r="X1668" s="112"/>
      <c r="Y1668" s="112"/>
    </row>
    <row r="1669" spans="22:25" x14ac:dyDescent="0.2">
      <c r="V1669" s="112"/>
      <c r="X1669" s="112"/>
      <c r="Y1669" s="112"/>
    </row>
    <row r="1670" spans="22:25" x14ac:dyDescent="0.2">
      <c r="V1670" s="112"/>
      <c r="X1670" s="112"/>
      <c r="Y1670" s="112"/>
    </row>
    <row r="1671" spans="22:25" x14ac:dyDescent="0.2">
      <c r="V1671" s="112"/>
      <c r="X1671" s="112"/>
      <c r="Y1671" s="112"/>
    </row>
    <row r="1672" spans="22:25" x14ac:dyDescent="0.2">
      <c r="V1672" s="112"/>
      <c r="X1672" s="112"/>
      <c r="Y1672" s="112"/>
    </row>
    <row r="1673" spans="22:25" x14ac:dyDescent="0.2">
      <c r="V1673" s="112"/>
      <c r="X1673" s="112"/>
      <c r="Y1673" s="112"/>
    </row>
    <row r="1674" spans="22:25" x14ac:dyDescent="0.2">
      <c r="V1674" s="112"/>
      <c r="X1674" s="112"/>
      <c r="Y1674" s="112"/>
    </row>
    <row r="1675" spans="22:25" x14ac:dyDescent="0.2">
      <c r="V1675" s="112"/>
      <c r="X1675" s="112"/>
      <c r="Y1675" s="112"/>
    </row>
    <row r="1676" spans="22:25" x14ac:dyDescent="0.2">
      <c r="V1676" s="112"/>
      <c r="X1676" s="112"/>
      <c r="Y1676" s="112"/>
    </row>
    <row r="1677" spans="22:25" x14ac:dyDescent="0.2">
      <c r="V1677" s="112"/>
      <c r="X1677" s="112"/>
      <c r="Y1677" s="112"/>
    </row>
    <row r="1678" spans="22:25" x14ac:dyDescent="0.2">
      <c r="V1678" s="112"/>
      <c r="X1678" s="112"/>
      <c r="Y1678" s="112"/>
    </row>
    <row r="1679" spans="22:25" x14ac:dyDescent="0.2">
      <c r="V1679" s="112"/>
      <c r="X1679" s="112"/>
      <c r="Y1679" s="112"/>
    </row>
    <row r="1680" spans="22:25" x14ac:dyDescent="0.2">
      <c r="V1680" s="112"/>
      <c r="X1680" s="112"/>
      <c r="Y1680" s="112"/>
    </row>
    <row r="1681" spans="22:25" x14ac:dyDescent="0.2">
      <c r="V1681" s="112"/>
      <c r="X1681" s="112"/>
      <c r="Y1681" s="112"/>
    </row>
    <row r="1682" spans="22:25" x14ac:dyDescent="0.2">
      <c r="V1682" s="112"/>
      <c r="X1682" s="112"/>
      <c r="Y1682" s="112"/>
    </row>
    <row r="1683" spans="22:25" x14ac:dyDescent="0.2">
      <c r="V1683" s="112"/>
      <c r="X1683" s="112"/>
      <c r="Y1683" s="112"/>
    </row>
    <row r="1684" spans="22:25" x14ac:dyDescent="0.2">
      <c r="V1684" s="112"/>
      <c r="X1684" s="112"/>
      <c r="Y1684" s="112"/>
    </row>
    <row r="1685" spans="22:25" x14ac:dyDescent="0.2">
      <c r="V1685" s="112"/>
      <c r="X1685" s="112"/>
      <c r="Y1685" s="112"/>
    </row>
    <row r="1686" spans="22:25" x14ac:dyDescent="0.2">
      <c r="V1686" s="112"/>
      <c r="X1686" s="112"/>
      <c r="Y1686" s="112"/>
    </row>
    <row r="1687" spans="22:25" x14ac:dyDescent="0.2">
      <c r="V1687" s="112"/>
      <c r="X1687" s="112"/>
      <c r="Y1687" s="112"/>
    </row>
    <row r="1688" spans="22:25" x14ac:dyDescent="0.2">
      <c r="V1688" s="112"/>
      <c r="X1688" s="112"/>
      <c r="Y1688" s="112"/>
    </row>
    <row r="1689" spans="22:25" x14ac:dyDescent="0.2">
      <c r="V1689" s="112"/>
      <c r="X1689" s="112"/>
      <c r="Y1689" s="112"/>
    </row>
    <row r="1690" spans="22:25" x14ac:dyDescent="0.2">
      <c r="V1690" s="112"/>
      <c r="X1690" s="112"/>
      <c r="Y1690" s="112"/>
    </row>
    <row r="1691" spans="22:25" x14ac:dyDescent="0.2">
      <c r="V1691" s="112"/>
      <c r="X1691" s="112"/>
      <c r="Y1691" s="112"/>
    </row>
    <row r="1692" spans="22:25" x14ac:dyDescent="0.2">
      <c r="V1692" s="112"/>
      <c r="X1692" s="112"/>
      <c r="Y1692" s="112"/>
    </row>
    <row r="1693" spans="22:25" x14ac:dyDescent="0.2">
      <c r="V1693" s="112"/>
      <c r="X1693" s="112"/>
      <c r="Y1693" s="112"/>
    </row>
    <row r="1694" spans="22:25" x14ac:dyDescent="0.2">
      <c r="V1694" s="112"/>
      <c r="X1694" s="112"/>
      <c r="Y1694" s="112"/>
    </row>
    <row r="1695" spans="22:25" x14ac:dyDescent="0.2">
      <c r="V1695" s="112"/>
      <c r="X1695" s="112"/>
      <c r="Y1695" s="112"/>
    </row>
    <row r="1696" spans="22:25" x14ac:dyDescent="0.2">
      <c r="V1696" s="112"/>
      <c r="X1696" s="112"/>
      <c r="Y1696" s="112"/>
    </row>
    <row r="1697" spans="22:25" x14ac:dyDescent="0.2">
      <c r="V1697" s="112"/>
      <c r="X1697" s="112"/>
      <c r="Y1697" s="112"/>
    </row>
    <row r="1698" spans="22:25" x14ac:dyDescent="0.2">
      <c r="V1698" s="112"/>
      <c r="X1698" s="112"/>
      <c r="Y1698" s="112"/>
    </row>
    <row r="1699" spans="22:25" x14ac:dyDescent="0.2">
      <c r="V1699" s="112"/>
      <c r="X1699" s="112"/>
      <c r="Y1699" s="112"/>
    </row>
    <row r="1700" spans="22:25" x14ac:dyDescent="0.2">
      <c r="V1700" s="112"/>
      <c r="X1700" s="112"/>
      <c r="Y1700" s="112"/>
    </row>
    <row r="1701" spans="22:25" x14ac:dyDescent="0.2">
      <c r="V1701" s="112"/>
      <c r="X1701" s="112"/>
      <c r="Y1701" s="112"/>
    </row>
    <row r="1702" spans="22:25" x14ac:dyDescent="0.2">
      <c r="V1702" s="112"/>
      <c r="X1702" s="112"/>
      <c r="Y1702" s="112"/>
    </row>
    <row r="1703" spans="22:25" x14ac:dyDescent="0.2">
      <c r="V1703" s="112"/>
      <c r="X1703" s="112"/>
      <c r="Y1703" s="112"/>
    </row>
    <row r="1704" spans="22:25" x14ac:dyDescent="0.2">
      <c r="V1704" s="112"/>
      <c r="X1704" s="112"/>
      <c r="Y1704" s="112"/>
    </row>
    <row r="1705" spans="22:25" x14ac:dyDescent="0.2">
      <c r="V1705" s="112"/>
      <c r="X1705" s="112"/>
      <c r="Y1705" s="112"/>
    </row>
    <row r="1706" spans="22:25" x14ac:dyDescent="0.2">
      <c r="V1706" s="112"/>
      <c r="X1706" s="112"/>
      <c r="Y1706" s="112"/>
    </row>
    <row r="1707" spans="22:25" x14ac:dyDescent="0.2">
      <c r="V1707" s="112"/>
      <c r="X1707" s="112"/>
      <c r="Y1707" s="112"/>
    </row>
    <row r="1708" spans="22:25" x14ac:dyDescent="0.2">
      <c r="V1708" s="112"/>
      <c r="X1708" s="112"/>
      <c r="Y1708" s="112"/>
    </row>
    <row r="1709" spans="22:25" x14ac:dyDescent="0.2">
      <c r="V1709" s="112"/>
      <c r="X1709" s="112"/>
      <c r="Y1709" s="112"/>
    </row>
    <row r="1710" spans="22:25" x14ac:dyDescent="0.2">
      <c r="V1710" s="112"/>
      <c r="X1710" s="112"/>
      <c r="Y1710" s="112"/>
    </row>
    <row r="1711" spans="22:25" x14ac:dyDescent="0.2">
      <c r="V1711" s="112"/>
      <c r="X1711" s="112"/>
      <c r="Y1711" s="112"/>
    </row>
    <row r="1712" spans="22:25" x14ac:dyDescent="0.2">
      <c r="V1712" s="112"/>
      <c r="X1712" s="112"/>
      <c r="Y1712" s="112"/>
    </row>
    <row r="1713" spans="22:25" x14ac:dyDescent="0.2">
      <c r="V1713" s="112"/>
      <c r="X1713" s="112"/>
      <c r="Y1713" s="112"/>
    </row>
    <row r="1714" spans="22:25" x14ac:dyDescent="0.2">
      <c r="V1714" s="112"/>
      <c r="X1714" s="112"/>
      <c r="Y1714" s="112"/>
    </row>
    <row r="1715" spans="22:25" x14ac:dyDescent="0.2">
      <c r="V1715" s="112"/>
      <c r="X1715" s="112"/>
      <c r="Y1715" s="112"/>
    </row>
    <row r="1716" spans="22:25" x14ac:dyDescent="0.2">
      <c r="V1716" s="112"/>
      <c r="X1716" s="112"/>
      <c r="Y1716" s="112"/>
    </row>
    <row r="1717" spans="22:25" x14ac:dyDescent="0.2">
      <c r="V1717" s="112"/>
      <c r="X1717" s="112"/>
      <c r="Y1717" s="112"/>
    </row>
    <row r="1718" spans="22:25" x14ac:dyDescent="0.2">
      <c r="V1718" s="112"/>
      <c r="X1718" s="112"/>
      <c r="Y1718" s="112"/>
    </row>
    <row r="1719" spans="22:25" x14ac:dyDescent="0.2">
      <c r="V1719" s="112"/>
      <c r="X1719" s="112"/>
      <c r="Y1719" s="112"/>
    </row>
    <row r="1720" spans="22:25" x14ac:dyDescent="0.2">
      <c r="V1720" s="112"/>
      <c r="X1720" s="112"/>
      <c r="Y1720" s="112"/>
    </row>
    <row r="1721" spans="22:25" x14ac:dyDescent="0.2">
      <c r="V1721" s="112"/>
      <c r="X1721" s="112"/>
      <c r="Y1721" s="112"/>
    </row>
    <row r="1722" spans="22:25" x14ac:dyDescent="0.2">
      <c r="V1722" s="112"/>
      <c r="X1722" s="112"/>
      <c r="Y1722" s="112"/>
    </row>
    <row r="1723" spans="22:25" x14ac:dyDescent="0.2">
      <c r="V1723" s="112"/>
      <c r="X1723" s="112"/>
      <c r="Y1723" s="112"/>
    </row>
    <row r="1724" spans="22:25" x14ac:dyDescent="0.2">
      <c r="V1724" s="112"/>
      <c r="X1724" s="112"/>
      <c r="Y1724" s="112"/>
    </row>
    <row r="1725" spans="22:25" x14ac:dyDescent="0.2">
      <c r="V1725" s="112"/>
      <c r="X1725" s="112"/>
      <c r="Y1725" s="112"/>
    </row>
    <row r="1726" spans="22:25" x14ac:dyDescent="0.2">
      <c r="V1726" s="112"/>
      <c r="X1726" s="112"/>
      <c r="Y1726" s="112"/>
    </row>
    <row r="1727" spans="22:25" x14ac:dyDescent="0.2">
      <c r="V1727" s="112"/>
      <c r="X1727" s="112"/>
      <c r="Y1727" s="112"/>
    </row>
    <row r="1728" spans="22:25" x14ac:dyDescent="0.2">
      <c r="V1728" s="112"/>
      <c r="X1728" s="112"/>
      <c r="Y1728" s="112"/>
    </row>
    <row r="1729" spans="22:25" x14ac:dyDescent="0.2">
      <c r="V1729" s="112"/>
      <c r="X1729" s="112"/>
      <c r="Y1729" s="112"/>
    </row>
    <row r="1730" spans="22:25" x14ac:dyDescent="0.2">
      <c r="V1730" s="112"/>
      <c r="X1730" s="112"/>
      <c r="Y1730" s="112"/>
    </row>
    <row r="1731" spans="22:25" x14ac:dyDescent="0.2">
      <c r="V1731" s="112"/>
      <c r="X1731" s="112"/>
      <c r="Y1731" s="112"/>
    </row>
    <row r="1732" spans="22:25" x14ac:dyDescent="0.2">
      <c r="V1732" s="112"/>
      <c r="X1732" s="112"/>
      <c r="Y1732" s="112"/>
    </row>
    <row r="1733" spans="22:25" x14ac:dyDescent="0.2">
      <c r="V1733" s="112"/>
      <c r="X1733" s="112"/>
      <c r="Y1733" s="112"/>
    </row>
    <row r="1734" spans="22:25" x14ac:dyDescent="0.2">
      <c r="V1734" s="112"/>
      <c r="X1734" s="112"/>
      <c r="Y1734" s="112"/>
    </row>
    <row r="1735" spans="22:25" x14ac:dyDescent="0.2">
      <c r="V1735" s="112"/>
      <c r="X1735" s="112"/>
      <c r="Y1735" s="112"/>
    </row>
    <row r="1736" spans="22:25" x14ac:dyDescent="0.2">
      <c r="V1736" s="112"/>
      <c r="X1736" s="112"/>
      <c r="Y1736" s="112"/>
    </row>
    <row r="1737" spans="22:25" x14ac:dyDescent="0.2">
      <c r="V1737" s="112"/>
      <c r="X1737" s="112"/>
      <c r="Y1737" s="112"/>
    </row>
    <row r="1738" spans="22:25" x14ac:dyDescent="0.2">
      <c r="V1738" s="112"/>
      <c r="X1738" s="112"/>
      <c r="Y1738" s="112"/>
    </row>
    <row r="1739" spans="22:25" x14ac:dyDescent="0.2">
      <c r="V1739" s="112"/>
      <c r="X1739" s="112"/>
      <c r="Y1739" s="112"/>
    </row>
    <row r="1740" spans="22:25" x14ac:dyDescent="0.2">
      <c r="V1740" s="112"/>
      <c r="X1740" s="112"/>
      <c r="Y1740" s="112"/>
    </row>
    <row r="1741" spans="22:25" x14ac:dyDescent="0.2">
      <c r="V1741" s="112"/>
      <c r="X1741" s="112"/>
      <c r="Y1741" s="112"/>
    </row>
    <row r="1742" spans="22:25" x14ac:dyDescent="0.2">
      <c r="V1742" s="112"/>
      <c r="X1742" s="112"/>
      <c r="Y1742" s="112"/>
    </row>
    <row r="1743" spans="22:25" x14ac:dyDescent="0.2">
      <c r="V1743" s="112"/>
      <c r="X1743" s="112"/>
      <c r="Y1743" s="112"/>
    </row>
    <row r="1744" spans="22:25" x14ac:dyDescent="0.2">
      <c r="V1744" s="112"/>
      <c r="X1744" s="112"/>
      <c r="Y1744" s="112"/>
    </row>
    <row r="1745" spans="22:25" x14ac:dyDescent="0.2">
      <c r="V1745" s="112"/>
      <c r="X1745" s="112"/>
      <c r="Y1745" s="112"/>
    </row>
    <row r="1746" spans="22:25" x14ac:dyDescent="0.2">
      <c r="V1746" s="112"/>
      <c r="X1746" s="112"/>
      <c r="Y1746" s="112"/>
    </row>
    <row r="1747" spans="22:25" x14ac:dyDescent="0.2">
      <c r="V1747" s="112"/>
      <c r="X1747" s="112"/>
      <c r="Y1747" s="112"/>
    </row>
    <row r="1748" spans="22:25" x14ac:dyDescent="0.2">
      <c r="V1748" s="112"/>
      <c r="X1748" s="112"/>
      <c r="Y1748" s="112"/>
    </row>
    <row r="1749" spans="22:25" x14ac:dyDescent="0.2">
      <c r="V1749" s="112"/>
      <c r="X1749" s="112"/>
      <c r="Y1749" s="112"/>
    </row>
    <row r="1750" spans="22:25" x14ac:dyDescent="0.2">
      <c r="V1750" s="112"/>
      <c r="X1750" s="112"/>
      <c r="Y1750" s="112"/>
    </row>
    <row r="1751" spans="22:25" x14ac:dyDescent="0.2">
      <c r="V1751" s="112"/>
      <c r="X1751" s="112"/>
      <c r="Y1751" s="112"/>
    </row>
    <row r="1752" spans="22:25" x14ac:dyDescent="0.2">
      <c r="V1752" s="112"/>
      <c r="X1752" s="112"/>
      <c r="Y1752" s="112"/>
    </row>
    <row r="1753" spans="22:25" x14ac:dyDescent="0.2">
      <c r="V1753" s="112"/>
      <c r="X1753" s="112"/>
      <c r="Y1753" s="112"/>
    </row>
    <row r="1754" spans="22:25" x14ac:dyDescent="0.2">
      <c r="V1754" s="112"/>
      <c r="X1754" s="112"/>
      <c r="Y1754" s="112"/>
    </row>
    <row r="1755" spans="22:25" x14ac:dyDescent="0.2">
      <c r="V1755" s="112"/>
      <c r="X1755" s="112"/>
      <c r="Y1755" s="112"/>
    </row>
    <row r="1756" spans="22:25" x14ac:dyDescent="0.2">
      <c r="V1756" s="112"/>
      <c r="X1756" s="112"/>
      <c r="Y1756" s="112"/>
    </row>
    <row r="1757" spans="22:25" x14ac:dyDescent="0.2">
      <c r="V1757" s="112"/>
      <c r="X1757" s="112"/>
      <c r="Y1757" s="112"/>
    </row>
    <row r="1758" spans="22:25" x14ac:dyDescent="0.2">
      <c r="V1758" s="112"/>
      <c r="X1758" s="112"/>
      <c r="Y1758" s="112"/>
    </row>
    <row r="1759" spans="22:25" x14ac:dyDescent="0.2">
      <c r="V1759" s="112"/>
      <c r="X1759" s="112"/>
      <c r="Y1759" s="112"/>
    </row>
    <row r="1760" spans="22:25" x14ac:dyDescent="0.2">
      <c r="V1760" s="112"/>
      <c r="X1760" s="112"/>
      <c r="Y1760" s="112"/>
    </row>
    <row r="1761" spans="22:25" x14ac:dyDescent="0.2">
      <c r="V1761" s="112"/>
      <c r="X1761" s="112"/>
      <c r="Y1761" s="112"/>
    </row>
    <row r="1762" spans="22:25" x14ac:dyDescent="0.2">
      <c r="V1762" s="112"/>
      <c r="X1762" s="112"/>
      <c r="Y1762" s="112"/>
    </row>
    <row r="1763" spans="22:25" x14ac:dyDescent="0.2">
      <c r="V1763" s="112"/>
      <c r="X1763" s="112"/>
      <c r="Y1763" s="112"/>
    </row>
    <row r="1764" spans="22:25" x14ac:dyDescent="0.2">
      <c r="V1764" s="112"/>
      <c r="X1764" s="112"/>
      <c r="Y1764" s="112"/>
    </row>
    <row r="1765" spans="22:25" x14ac:dyDescent="0.2">
      <c r="V1765" s="112"/>
      <c r="X1765" s="112"/>
      <c r="Y1765" s="112"/>
    </row>
    <row r="1766" spans="22:25" x14ac:dyDescent="0.2">
      <c r="V1766" s="112"/>
      <c r="X1766" s="112"/>
      <c r="Y1766" s="112"/>
    </row>
    <row r="1767" spans="22:25" x14ac:dyDescent="0.2">
      <c r="V1767" s="112"/>
      <c r="X1767" s="112"/>
      <c r="Y1767" s="112"/>
    </row>
    <row r="1768" spans="22:25" x14ac:dyDescent="0.2">
      <c r="V1768" s="112"/>
      <c r="X1768" s="112"/>
      <c r="Y1768" s="112"/>
    </row>
    <row r="1769" spans="22:25" x14ac:dyDescent="0.2">
      <c r="V1769" s="112"/>
      <c r="X1769" s="112"/>
      <c r="Y1769" s="112"/>
    </row>
    <row r="1770" spans="22:25" x14ac:dyDescent="0.2">
      <c r="V1770" s="112"/>
      <c r="X1770" s="112"/>
      <c r="Y1770" s="112"/>
    </row>
    <row r="1771" spans="22:25" x14ac:dyDescent="0.2">
      <c r="V1771" s="112"/>
      <c r="X1771" s="112"/>
      <c r="Y1771" s="112"/>
    </row>
    <row r="1772" spans="22:25" x14ac:dyDescent="0.2">
      <c r="V1772" s="112"/>
      <c r="X1772" s="112"/>
      <c r="Y1772" s="112"/>
    </row>
    <row r="1773" spans="22:25" x14ac:dyDescent="0.2">
      <c r="V1773" s="112"/>
      <c r="X1773" s="112"/>
      <c r="Y1773" s="112"/>
    </row>
    <row r="1774" spans="22:25" x14ac:dyDescent="0.2">
      <c r="V1774" s="112"/>
      <c r="X1774" s="112"/>
      <c r="Y1774" s="112"/>
    </row>
    <row r="1775" spans="22:25" x14ac:dyDescent="0.2">
      <c r="V1775" s="112"/>
      <c r="X1775" s="112"/>
      <c r="Y1775" s="112"/>
    </row>
    <row r="1776" spans="22:25" x14ac:dyDescent="0.2">
      <c r="V1776" s="112"/>
      <c r="X1776" s="112"/>
      <c r="Y1776" s="112"/>
    </row>
    <row r="1777" spans="22:25" x14ac:dyDescent="0.2">
      <c r="V1777" s="112"/>
      <c r="X1777" s="112"/>
      <c r="Y1777" s="112"/>
    </row>
    <row r="1778" spans="22:25" x14ac:dyDescent="0.2">
      <c r="V1778" s="112"/>
      <c r="X1778" s="112"/>
      <c r="Y1778" s="112"/>
    </row>
    <row r="1779" spans="22:25" x14ac:dyDescent="0.2">
      <c r="V1779" s="112"/>
      <c r="X1779" s="112"/>
      <c r="Y1779" s="112"/>
    </row>
    <row r="1780" spans="22:25" x14ac:dyDescent="0.2">
      <c r="V1780" s="112"/>
      <c r="X1780" s="112"/>
      <c r="Y1780" s="112"/>
    </row>
    <row r="1781" spans="22:25" x14ac:dyDescent="0.2">
      <c r="V1781" s="112"/>
      <c r="X1781" s="112"/>
      <c r="Y1781" s="112"/>
    </row>
    <row r="1782" spans="22:25" x14ac:dyDescent="0.2">
      <c r="V1782" s="112"/>
      <c r="X1782" s="112"/>
      <c r="Y1782" s="112"/>
    </row>
    <row r="1783" spans="22:25" x14ac:dyDescent="0.2">
      <c r="V1783" s="112"/>
      <c r="X1783" s="112"/>
      <c r="Y1783" s="112"/>
    </row>
    <row r="1784" spans="22:25" x14ac:dyDescent="0.2">
      <c r="V1784" s="112"/>
      <c r="X1784" s="112"/>
      <c r="Y1784" s="112"/>
    </row>
    <row r="1785" spans="22:25" x14ac:dyDescent="0.2">
      <c r="V1785" s="112"/>
      <c r="X1785" s="112"/>
      <c r="Y1785" s="112"/>
    </row>
    <row r="1786" spans="22:25" x14ac:dyDescent="0.2">
      <c r="V1786" s="112"/>
      <c r="X1786" s="112"/>
      <c r="Y1786" s="112"/>
    </row>
    <row r="1787" spans="22:25" x14ac:dyDescent="0.2">
      <c r="V1787" s="112"/>
      <c r="X1787" s="112"/>
      <c r="Y1787" s="112"/>
    </row>
    <row r="1788" spans="22:25" x14ac:dyDescent="0.2">
      <c r="V1788" s="112"/>
      <c r="X1788" s="112"/>
      <c r="Y1788" s="112"/>
    </row>
    <row r="1789" spans="22:25" x14ac:dyDescent="0.2">
      <c r="V1789" s="112"/>
      <c r="X1789" s="112"/>
      <c r="Y1789" s="112"/>
    </row>
    <row r="1790" spans="22:25" x14ac:dyDescent="0.2">
      <c r="V1790" s="112"/>
      <c r="X1790" s="112"/>
      <c r="Y1790" s="112"/>
    </row>
    <row r="1791" spans="22:25" x14ac:dyDescent="0.2">
      <c r="V1791" s="112"/>
      <c r="X1791" s="112"/>
      <c r="Y1791" s="112"/>
    </row>
    <row r="1792" spans="22:25" x14ac:dyDescent="0.2">
      <c r="V1792" s="112"/>
      <c r="X1792" s="112"/>
      <c r="Y1792" s="112"/>
    </row>
    <row r="1793" spans="22:25" x14ac:dyDescent="0.2">
      <c r="V1793" s="112"/>
      <c r="X1793" s="112"/>
      <c r="Y1793" s="112"/>
    </row>
    <row r="1794" spans="22:25" x14ac:dyDescent="0.2">
      <c r="V1794" s="112"/>
      <c r="X1794" s="112"/>
      <c r="Y1794" s="112"/>
    </row>
    <row r="1795" spans="22:25" x14ac:dyDescent="0.2">
      <c r="V1795" s="112"/>
      <c r="X1795" s="112"/>
      <c r="Y1795" s="112"/>
    </row>
    <row r="1796" spans="22:25" x14ac:dyDescent="0.2">
      <c r="V1796" s="112"/>
      <c r="X1796" s="112"/>
      <c r="Y1796" s="112"/>
    </row>
    <row r="1797" spans="22:25" x14ac:dyDescent="0.2">
      <c r="V1797" s="112"/>
      <c r="X1797" s="112"/>
      <c r="Y1797" s="112"/>
    </row>
    <row r="1798" spans="22:25" x14ac:dyDescent="0.2">
      <c r="V1798" s="112"/>
      <c r="X1798" s="112"/>
      <c r="Y1798" s="112"/>
    </row>
    <row r="1799" spans="22:25" x14ac:dyDescent="0.2">
      <c r="V1799" s="112"/>
      <c r="X1799" s="112"/>
      <c r="Y1799" s="112"/>
    </row>
    <row r="1800" spans="22:25" x14ac:dyDescent="0.2">
      <c r="V1800" s="112"/>
      <c r="X1800" s="112"/>
      <c r="Y1800" s="112"/>
    </row>
    <row r="1801" spans="22:25" x14ac:dyDescent="0.2">
      <c r="V1801" s="112"/>
      <c r="X1801" s="112"/>
      <c r="Y1801" s="112"/>
    </row>
    <row r="1802" spans="22:25" x14ac:dyDescent="0.2">
      <c r="V1802" s="112"/>
      <c r="X1802" s="112"/>
      <c r="Y1802" s="112"/>
    </row>
    <row r="1803" spans="22:25" x14ac:dyDescent="0.2">
      <c r="V1803" s="112"/>
      <c r="X1803" s="112"/>
      <c r="Y1803" s="112"/>
    </row>
    <row r="1804" spans="22:25" x14ac:dyDescent="0.2">
      <c r="V1804" s="112"/>
      <c r="X1804" s="112"/>
      <c r="Y1804" s="112"/>
    </row>
    <row r="1805" spans="22:25" x14ac:dyDescent="0.2">
      <c r="V1805" s="112"/>
      <c r="X1805" s="112"/>
      <c r="Y1805" s="112"/>
    </row>
    <row r="1806" spans="22:25" x14ac:dyDescent="0.2">
      <c r="V1806" s="112"/>
      <c r="X1806" s="112"/>
      <c r="Y1806" s="112"/>
    </row>
    <row r="1807" spans="22:25" x14ac:dyDescent="0.2">
      <c r="V1807" s="112"/>
      <c r="X1807" s="112"/>
      <c r="Y1807" s="112"/>
    </row>
    <row r="1808" spans="22:25" x14ac:dyDescent="0.2">
      <c r="V1808" s="112"/>
      <c r="X1808" s="112"/>
      <c r="Y1808" s="112"/>
    </row>
    <row r="1809" spans="22:25" x14ac:dyDescent="0.2">
      <c r="V1809" s="112"/>
      <c r="X1809" s="112"/>
      <c r="Y1809" s="112"/>
    </row>
    <row r="1810" spans="22:25" x14ac:dyDescent="0.2">
      <c r="V1810" s="112"/>
      <c r="X1810" s="112"/>
      <c r="Y1810" s="112"/>
    </row>
    <row r="1811" spans="22:25" x14ac:dyDescent="0.2">
      <c r="V1811" s="112"/>
      <c r="X1811" s="112"/>
      <c r="Y1811" s="112"/>
    </row>
    <row r="1812" spans="22:25" x14ac:dyDescent="0.2">
      <c r="V1812" s="112"/>
      <c r="X1812" s="112"/>
      <c r="Y1812" s="112"/>
    </row>
    <row r="1813" spans="22:25" x14ac:dyDescent="0.2">
      <c r="V1813" s="112"/>
      <c r="X1813" s="112"/>
      <c r="Y1813" s="112"/>
    </row>
    <row r="1814" spans="22:25" x14ac:dyDescent="0.2">
      <c r="V1814" s="112"/>
      <c r="X1814" s="112"/>
      <c r="Y1814" s="112"/>
    </row>
    <row r="1815" spans="22:25" x14ac:dyDescent="0.2">
      <c r="V1815" s="112"/>
      <c r="X1815" s="112"/>
      <c r="Y1815" s="112"/>
    </row>
    <row r="1816" spans="22:25" x14ac:dyDescent="0.2">
      <c r="V1816" s="112"/>
      <c r="X1816" s="112"/>
      <c r="Y1816" s="112"/>
    </row>
    <row r="1817" spans="22:25" x14ac:dyDescent="0.2">
      <c r="V1817" s="112"/>
      <c r="X1817" s="112"/>
      <c r="Y1817" s="112"/>
    </row>
    <row r="1818" spans="22:25" x14ac:dyDescent="0.2">
      <c r="V1818" s="112"/>
      <c r="X1818" s="112"/>
      <c r="Y1818" s="112"/>
    </row>
    <row r="1819" spans="22:25" x14ac:dyDescent="0.2">
      <c r="V1819" s="112"/>
      <c r="X1819" s="112"/>
      <c r="Y1819" s="112"/>
    </row>
    <row r="1820" spans="22:25" x14ac:dyDescent="0.2">
      <c r="V1820" s="112"/>
      <c r="X1820" s="112"/>
      <c r="Y1820" s="112"/>
    </row>
    <row r="1821" spans="22:25" x14ac:dyDescent="0.2">
      <c r="V1821" s="112"/>
      <c r="X1821" s="112"/>
      <c r="Y1821" s="112"/>
    </row>
    <row r="1822" spans="22:25" x14ac:dyDescent="0.2">
      <c r="V1822" s="112"/>
      <c r="X1822" s="112"/>
      <c r="Y1822" s="112"/>
    </row>
    <row r="1823" spans="22:25" x14ac:dyDescent="0.2">
      <c r="V1823" s="112"/>
      <c r="X1823" s="112"/>
      <c r="Y1823" s="112"/>
    </row>
    <row r="1824" spans="22:25" x14ac:dyDescent="0.2">
      <c r="V1824" s="112"/>
      <c r="X1824" s="112"/>
      <c r="Y1824" s="112"/>
    </row>
    <row r="1825" spans="22:25" x14ac:dyDescent="0.2">
      <c r="V1825" s="112"/>
      <c r="X1825" s="112"/>
      <c r="Y1825" s="112"/>
    </row>
    <row r="1826" spans="22:25" x14ac:dyDescent="0.2">
      <c r="V1826" s="112"/>
      <c r="X1826" s="112"/>
      <c r="Y1826" s="112"/>
    </row>
    <row r="1827" spans="22:25" x14ac:dyDescent="0.2">
      <c r="V1827" s="112"/>
      <c r="X1827" s="112"/>
      <c r="Y1827" s="112"/>
    </row>
    <row r="1828" spans="22:25" x14ac:dyDescent="0.2">
      <c r="V1828" s="112"/>
      <c r="X1828" s="112"/>
      <c r="Y1828" s="112"/>
    </row>
    <row r="1829" spans="22:25" x14ac:dyDescent="0.2">
      <c r="V1829" s="112"/>
      <c r="X1829" s="112"/>
      <c r="Y1829" s="112"/>
    </row>
    <row r="1830" spans="22:25" x14ac:dyDescent="0.2">
      <c r="V1830" s="112"/>
      <c r="X1830" s="112"/>
      <c r="Y1830" s="112"/>
    </row>
    <row r="1831" spans="22:25" x14ac:dyDescent="0.2">
      <c r="V1831" s="112"/>
      <c r="X1831" s="112"/>
      <c r="Y1831" s="112"/>
    </row>
    <row r="1832" spans="22:25" x14ac:dyDescent="0.2">
      <c r="V1832" s="112"/>
      <c r="X1832" s="112"/>
      <c r="Y1832" s="112"/>
    </row>
    <row r="1833" spans="22:25" x14ac:dyDescent="0.2">
      <c r="V1833" s="112"/>
      <c r="X1833" s="112"/>
      <c r="Y1833" s="112"/>
    </row>
    <row r="1834" spans="22:25" x14ac:dyDescent="0.2">
      <c r="V1834" s="112"/>
      <c r="X1834" s="112"/>
      <c r="Y1834" s="112"/>
    </row>
    <row r="1835" spans="22:25" x14ac:dyDescent="0.2">
      <c r="V1835" s="112"/>
      <c r="X1835" s="112"/>
      <c r="Y1835" s="112"/>
    </row>
    <row r="1836" spans="22:25" x14ac:dyDescent="0.2">
      <c r="V1836" s="112"/>
      <c r="X1836" s="112"/>
      <c r="Y1836" s="112"/>
    </row>
    <row r="1837" spans="22:25" x14ac:dyDescent="0.2">
      <c r="V1837" s="112"/>
      <c r="X1837" s="112"/>
      <c r="Y1837" s="112"/>
    </row>
    <row r="1838" spans="22:25" x14ac:dyDescent="0.2">
      <c r="V1838" s="112"/>
      <c r="X1838" s="112"/>
      <c r="Y1838" s="112"/>
    </row>
    <row r="1839" spans="22:25" x14ac:dyDescent="0.2">
      <c r="V1839" s="112"/>
      <c r="X1839" s="112"/>
      <c r="Y1839" s="112"/>
    </row>
    <row r="1840" spans="22:25" x14ac:dyDescent="0.2">
      <c r="V1840" s="112"/>
      <c r="X1840" s="112"/>
      <c r="Y1840" s="112"/>
    </row>
    <row r="1841" spans="22:25" x14ac:dyDescent="0.2">
      <c r="V1841" s="112"/>
      <c r="X1841" s="112"/>
      <c r="Y1841" s="112"/>
    </row>
    <row r="1842" spans="22:25" x14ac:dyDescent="0.2">
      <c r="V1842" s="112"/>
      <c r="X1842" s="112"/>
      <c r="Y1842" s="112"/>
    </row>
    <row r="1843" spans="22:25" x14ac:dyDescent="0.2">
      <c r="V1843" s="112"/>
      <c r="X1843" s="112"/>
      <c r="Y1843" s="112"/>
    </row>
    <row r="1844" spans="22:25" x14ac:dyDescent="0.2">
      <c r="V1844" s="112"/>
      <c r="X1844" s="112"/>
      <c r="Y1844" s="112"/>
    </row>
    <row r="1845" spans="22:25" x14ac:dyDescent="0.2">
      <c r="V1845" s="112"/>
      <c r="X1845" s="112"/>
      <c r="Y1845" s="112"/>
    </row>
    <row r="1846" spans="22:25" x14ac:dyDescent="0.2">
      <c r="V1846" s="112"/>
      <c r="X1846" s="112"/>
      <c r="Y1846" s="112"/>
    </row>
    <row r="1847" spans="22:25" x14ac:dyDescent="0.2">
      <c r="V1847" s="112"/>
      <c r="X1847" s="112"/>
      <c r="Y1847" s="112"/>
    </row>
    <row r="1848" spans="22:25" x14ac:dyDescent="0.2">
      <c r="V1848" s="112"/>
      <c r="X1848" s="112"/>
      <c r="Y1848" s="112"/>
    </row>
    <row r="1849" spans="22:25" x14ac:dyDescent="0.2">
      <c r="V1849" s="112"/>
      <c r="X1849" s="112"/>
      <c r="Y1849" s="112"/>
    </row>
    <row r="1850" spans="22:25" x14ac:dyDescent="0.2">
      <c r="V1850" s="112"/>
      <c r="X1850" s="112"/>
      <c r="Y1850" s="112"/>
    </row>
    <row r="1851" spans="22:25" x14ac:dyDescent="0.2">
      <c r="V1851" s="112"/>
      <c r="X1851" s="112"/>
      <c r="Y1851" s="112"/>
    </row>
    <row r="1852" spans="22:25" x14ac:dyDescent="0.2">
      <c r="V1852" s="112"/>
      <c r="X1852" s="112"/>
      <c r="Y1852" s="112"/>
    </row>
    <row r="1853" spans="22:25" x14ac:dyDescent="0.2">
      <c r="V1853" s="112"/>
      <c r="X1853" s="112"/>
      <c r="Y1853" s="112"/>
    </row>
    <row r="1854" spans="22:25" x14ac:dyDescent="0.2">
      <c r="V1854" s="112"/>
      <c r="X1854" s="112"/>
      <c r="Y1854" s="112"/>
    </row>
    <row r="1855" spans="22:25" x14ac:dyDescent="0.2">
      <c r="V1855" s="112"/>
      <c r="X1855" s="112"/>
      <c r="Y1855" s="112"/>
    </row>
    <row r="1856" spans="22:25" x14ac:dyDescent="0.2">
      <c r="V1856" s="112"/>
      <c r="X1856" s="112"/>
      <c r="Y1856" s="112"/>
    </row>
    <row r="1857" spans="22:25" x14ac:dyDescent="0.2">
      <c r="V1857" s="112"/>
      <c r="X1857" s="112"/>
      <c r="Y1857" s="112"/>
    </row>
    <row r="1858" spans="22:25" x14ac:dyDescent="0.2">
      <c r="V1858" s="112"/>
      <c r="X1858" s="112"/>
      <c r="Y1858" s="112"/>
    </row>
    <row r="1859" spans="22:25" x14ac:dyDescent="0.2">
      <c r="V1859" s="112"/>
      <c r="X1859" s="112"/>
      <c r="Y1859" s="112"/>
    </row>
    <row r="1860" spans="22:25" x14ac:dyDescent="0.2">
      <c r="V1860" s="112"/>
      <c r="X1860" s="112"/>
      <c r="Y1860" s="112"/>
    </row>
    <row r="1861" spans="22:25" x14ac:dyDescent="0.2">
      <c r="V1861" s="112"/>
      <c r="X1861" s="112"/>
      <c r="Y1861" s="112"/>
    </row>
    <row r="1862" spans="22:25" x14ac:dyDescent="0.2">
      <c r="V1862" s="112"/>
      <c r="X1862" s="112"/>
      <c r="Y1862" s="112"/>
    </row>
    <row r="1863" spans="22:25" x14ac:dyDescent="0.2">
      <c r="V1863" s="112"/>
      <c r="X1863" s="112"/>
      <c r="Y1863" s="112"/>
    </row>
    <row r="1864" spans="22:25" x14ac:dyDescent="0.2">
      <c r="V1864" s="112"/>
      <c r="X1864" s="112"/>
      <c r="Y1864" s="112"/>
    </row>
    <row r="1865" spans="22:25" x14ac:dyDescent="0.2">
      <c r="V1865" s="112"/>
      <c r="X1865" s="112"/>
      <c r="Y1865" s="112"/>
    </row>
    <row r="1866" spans="22:25" x14ac:dyDescent="0.2">
      <c r="V1866" s="112"/>
      <c r="X1866" s="112"/>
      <c r="Y1866" s="112"/>
    </row>
    <row r="1867" spans="22:25" x14ac:dyDescent="0.2">
      <c r="V1867" s="112"/>
      <c r="X1867" s="112"/>
      <c r="Y1867" s="112"/>
    </row>
    <row r="1868" spans="22:25" x14ac:dyDescent="0.2">
      <c r="V1868" s="112"/>
      <c r="X1868" s="112"/>
      <c r="Y1868" s="112"/>
    </row>
    <row r="1869" spans="22:25" x14ac:dyDescent="0.2">
      <c r="V1869" s="112"/>
      <c r="X1869" s="112"/>
      <c r="Y1869" s="112"/>
    </row>
    <row r="1870" spans="22:25" x14ac:dyDescent="0.2">
      <c r="V1870" s="112"/>
      <c r="X1870" s="112"/>
      <c r="Y1870" s="112"/>
    </row>
    <row r="1871" spans="22:25" x14ac:dyDescent="0.2">
      <c r="V1871" s="112"/>
      <c r="X1871" s="112"/>
      <c r="Y1871" s="112"/>
    </row>
    <row r="1872" spans="22:25" x14ac:dyDescent="0.2">
      <c r="V1872" s="112"/>
      <c r="X1872" s="112"/>
      <c r="Y1872" s="112"/>
    </row>
    <row r="1873" spans="22:25" x14ac:dyDescent="0.2">
      <c r="V1873" s="112"/>
      <c r="X1873" s="112"/>
      <c r="Y1873" s="112"/>
    </row>
    <row r="1874" spans="22:25" x14ac:dyDescent="0.2">
      <c r="V1874" s="112"/>
      <c r="X1874" s="112"/>
      <c r="Y1874" s="112"/>
    </row>
    <row r="1875" spans="22:25" x14ac:dyDescent="0.2">
      <c r="V1875" s="112"/>
      <c r="X1875" s="112"/>
      <c r="Y1875" s="112"/>
    </row>
    <row r="1876" spans="22:25" x14ac:dyDescent="0.2">
      <c r="V1876" s="112"/>
      <c r="X1876" s="112"/>
      <c r="Y1876" s="112"/>
    </row>
    <row r="1877" spans="22:25" x14ac:dyDescent="0.2">
      <c r="V1877" s="112"/>
      <c r="X1877" s="112"/>
      <c r="Y1877" s="112"/>
    </row>
    <row r="1878" spans="22:25" x14ac:dyDescent="0.2">
      <c r="V1878" s="112"/>
      <c r="X1878" s="112"/>
      <c r="Y1878" s="112"/>
    </row>
    <row r="1879" spans="22:25" x14ac:dyDescent="0.2">
      <c r="V1879" s="112"/>
      <c r="X1879" s="112"/>
      <c r="Y1879" s="112"/>
    </row>
    <row r="1880" spans="22:25" x14ac:dyDescent="0.2">
      <c r="V1880" s="112"/>
      <c r="X1880" s="112"/>
      <c r="Y1880" s="112"/>
    </row>
    <row r="1881" spans="22:25" x14ac:dyDescent="0.2">
      <c r="V1881" s="112"/>
      <c r="X1881" s="112"/>
      <c r="Y1881" s="112"/>
    </row>
    <row r="1882" spans="22:25" x14ac:dyDescent="0.2">
      <c r="V1882" s="112"/>
      <c r="X1882" s="112"/>
      <c r="Y1882" s="112"/>
    </row>
    <row r="1883" spans="22:25" x14ac:dyDescent="0.2">
      <c r="V1883" s="112"/>
      <c r="X1883" s="112"/>
      <c r="Y1883" s="112"/>
    </row>
    <row r="1884" spans="22:25" x14ac:dyDescent="0.2">
      <c r="V1884" s="112"/>
      <c r="X1884" s="112"/>
      <c r="Y1884" s="112"/>
    </row>
    <row r="1885" spans="22:25" x14ac:dyDescent="0.2">
      <c r="V1885" s="112"/>
      <c r="X1885" s="112"/>
      <c r="Y1885" s="112"/>
    </row>
    <row r="1886" spans="22:25" x14ac:dyDescent="0.2">
      <c r="V1886" s="112"/>
      <c r="X1886" s="112"/>
      <c r="Y1886" s="112"/>
    </row>
    <row r="1887" spans="22:25" x14ac:dyDescent="0.2">
      <c r="V1887" s="112"/>
      <c r="X1887" s="112"/>
      <c r="Y1887" s="112"/>
    </row>
    <row r="1888" spans="22:25" x14ac:dyDescent="0.2">
      <c r="V1888" s="112"/>
      <c r="X1888" s="112"/>
      <c r="Y1888" s="112"/>
    </row>
    <row r="1889" spans="22:25" x14ac:dyDescent="0.2">
      <c r="V1889" s="112"/>
      <c r="X1889" s="112"/>
      <c r="Y1889" s="112"/>
    </row>
    <row r="1890" spans="22:25" x14ac:dyDescent="0.2">
      <c r="V1890" s="112"/>
      <c r="X1890" s="112"/>
      <c r="Y1890" s="112"/>
    </row>
    <row r="1891" spans="22:25" x14ac:dyDescent="0.2">
      <c r="V1891" s="112"/>
      <c r="X1891" s="112"/>
      <c r="Y1891" s="112"/>
    </row>
    <row r="1892" spans="22:25" x14ac:dyDescent="0.2">
      <c r="V1892" s="112"/>
      <c r="X1892" s="112"/>
      <c r="Y1892" s="112"/>
    </row>
    <row r="1893" spans="22:25" x14ac:dyDescent="0.2">
      <c r="V1893" s="112"/>
      <c r="X1893" s="112"/>
      <c r="Y1893" s="112"/>
    </row>
    <row r="1894" spans="22:25" x14ac:dyDescent="0.2">
      <c r="V1894" s="112"/>
      <c r="X1894" s="112"/>
      <c r="Y1894" s="112"/>
    </row>
    <row r="1895" spans="22:25" x14ac:dyDescent="0.2">
      <c r="V1895" s="112"/>
      <c r="X1895" s="112"/>
      <c r="Y1895" s="112"/>
    </row>
    <row r="1896" spans="22:25" x14ac:dyDescent="0.2">
      <c r="V1896" s="112"/>
      <c r="X1896" s="112"/>
      <c r="Y1896" s="112"/>
    </row>
    <row r="1897" spans="22:25" x14ac:dyDescent="0.2">
      <c r="V1897" s="112"/>
      <c r="X1897" s="112"/>
      <c r="Y1897" s="112"/>
    </row>
    <row r="1898" spans="22:25" x14ac:dyDescent="0.2">
      <c r="V1898" s="112"/>
      <c r="X1898" s="112"/>
      <c r="Y1898" s="112"/>
    </row>
    <row r="1899" spans="22:25" x14ac:dyDescent="0.2">
      <c r="V1899" s="112"/>
      <c r="X1899" s="112"/>
      <c r="Y1899" s="112"/>
    </row>
    <row r="1900" spans="22:25" x14ac:dyDescent="0.2">
      <c r="V1900" s="112"/>
      <c r="X1900" s="112"/>
      <c r="Y1900" s="112"/>
    </row>
    <row r="1901" spans="22:25" x14ac:dyDescent="0.2">
      <c r="V1901" s="112"/>
      <c r="X1901" s="112"/>
      <c r="Y1901" s="112"/>
    </row>
    <row r="1902" spans="22:25" x14ac:dyDescent="0.2">
      <c r="V1902" s="112"/>
      <c r="X1902" s="112"/>
      <c r="Y1902" s="112"/>
    </row>
    <row r="1903" spans="22:25" x14ac:dyDescent="0.2">
      <c r="V1903" s="112"/>
      <c r="X1903" s="112"/>
      <c r="Y1903" s="112"/>
    </row>
    <row r="1904" spans="22:25" x14ac:dyDescent="0.2">
      <c r="V1904" s="112"/>
      <c r="X1904" s="112"/>
      <c r="Y1904" s="112"/>
    </row>
    <row r="1905" spans="22:25" x14ac:dyDescent="0.2">
      <c r="V1905" s="112"/>
      <c r="X1905" s="112"/>
      <c r="Y1905" s="112"/>
    </row>
    <row r="1906" spans="22:25" x14ac:dyDescent="0.2">
      <c r="V1906" s="112"/>
      <c r="X1906" s="112"/>
      <c r="Y1906" s="112"/>
    </row>
    <row r="1907" spans="22:25" x14ac:dyDescent="0.2">
      <c r="V1907" s="112"/>
      <c r="X1907" s="112"/>
      <c r="Y1907" s="112"/>
    </row>
    <row r="1908" spans="22:25" x14ac:dyDescent="0.2">
      <c r="V1908" s="112"/>
      <c r="X1908" s="112"/>
      <c r="Y1908" s="112"/>
    </row>
    <row r="1909" spans="22:25" x14ac:dyDescent="0.2">
      <c r="V1909" s="112"/>
      <c r="X1909" s="112"/>
      <c r="Y1909" s="112"/>
    </row>
    <row r="1910" spans="22:25" x14ac:dyDescent="0.2">
      <c r="V1910" s="112"/>
      <c r="X1910" s="112"/>
      <c r="Y1910" s="112"/>
    </row>
    <row r="1911" spans="22:25" x14ac:dyDescent="0.2">
      <c r="V1911" s="112"/>
      <c r="X1911" s="112"/>
      <c r="Y1911" s="112"/>
    </row>
    <row r="1912" spans="22:25" x14ac:dyDescent="0.2">
      <c r="V1912" s="112"/>
      <c r="X1912" s="112"/>
      <c r="Y1912" s="112"/>
    </row>
    <row r="1913" spans="22:25" x14ac:dyDescent="0.2">
      <c r="V1913" s="112"/>
      <c r="X1913" s="112"/>
      <c r="Y1913" s="112"/>
    </row>
    <row r="1914" spans="22:25" x14ac:dyDescent="0.2">
      <c r="V1914" s="112"/>
      <c r="X1914" s="112"/>
      <c r="Y1914" s="112"/>
    </row>
    <row r="1915" spans="22:25" x14ac:dyDescent="0.2">
      <c r="V1915" s="112"/>
      <c r="X1915" s="112"/>
      <c r="Y1915" s="112"/>
    </row>
    <row r="1916" spans="22:25" x14ac:dyDescent="0.2">
      <c r="V1916" s="112"/>
      <c r="X1916" s="112"/>
      <c r="Y1916" s="112"/>
    </row>
    <row r="1917" spans="22:25" x14ac:dyDescent="0.2">
      <c r="V1917" s="112"/>
      <c r="X1917" s="112"/>
      <c r="Y1917" s="112"/>
    </row>
    <row r="1918" spans="22:25" x14ac:dyDescent="0.2">
      <c r="V1918" s="112"/>
      <c r="X1918" s="112"/>
      <c r="Y1918" s="112"/>
    </row>
    <row r="1919" spans="22:25" x14ac:dyDescent="0.2">
      <c r="V1919" s="112"/>
      <c r="X1919" s="112"/>
      <c r="Y1919" s="112"/>
    </row>
    <row r="1920" spans="22:25" x14ac:dyDescent="0.2">
      <c r="V1920" s="112"/>
      <c r="X1920" s="112"/>
      <c r="Y1920" s="112"/>
    </row>
    <row r="1921" spans="22:25" x14ac:dyDescent="0.2">
      <c r="V1921" s="112"/>
      <c r="X1921" s="112"/>
      <c r="Y1921" s="112"/>
    </row>
    <row r="1922" spans="22:25" x14ac:dyDescent="0.2">
      <c r="V1922" s="112"/>
      <c r="X1922" s="112"/>
      <c r="Y1922" s="112"/>
    </row>
    <row r="1923" spans="22:25" x14ac:dyDescent="0.2">
      <c r="V1923" s="112"/>
      <c r="X1923" s="112"/>
      <c r="Y1923" s="112"/>
    </row>
    <row r="1924" spans="22:25" x14ac:dyDescent="0.2">
      <c r="V1924" s="112"/>
      <c r="X1924" s="112"/>
      <c r="Y1924" s="112"/>
    </row>
    <row r="1925" spans="22:25" x14ac:dyDescent="0.2">
      <c r="V1925" s="112"/>
      <c r="X1925" s="112"/>
      <c r="Y1925" s="112"/>
    </row>
    <row r="1926" spans="22:25" x14ac:dyDescent="0.2">
      <c r="V1926" s="112"/>
      <c r="X1926" s="112"/>
      <c r="Y1926" s="112"/>
    </row>
    <row r="1927" spans="22:25" x14ac:dyDescent="0.2">
      <c r="V1927" s="112"/>
      <c r="X1927" s="112"/>
      <c r="Y1927" s="112"/>
    </row>
    <row r="1928" spans="22:25" x14ac:dyDescent="0.2">
      <c r="V1928" s="112"/>
      <c r="X1928" s="112"/>
      <c r="Y1928" s="112"/>
    </row>
    <row r="1929" spans="22:25" x14ac:dyDescent="0.2">
      <c r="V1929" s="112"/>
      <c r="X1929" s="112"/>
      <c r="Y1929" s="112"/>
    </row>
    <row r="1930" spans="22:25" x14ac:dyDescent="0.2">
      <c r="V1930" s="112"/>
      <c r="X1930" s="112"/>
      <c r="Y1930" s="112"/>
    </row>
    <row r="1931" spans="22:25" x14ac:dyDescent="0.2">
      <c r="V1931" s="112"/>
      <c r="X1931" s="112"/>
      <c r="Y1931" s="112"/>
    </row>
    <row r="1932" spans="22:25" x14ac:dyDescent="0.2">
      <c r="V1932" s="112"/>
      <c r="X1932" s="112"/>
      <c r="Y1932" s="112"/>
    </row>
    <row r="1933" spans="22:25" x14ac:dyDescent="0.2">
      <c r="V1933" s="112"/>
      <c r="X1933" s="112"/>
      <c r="Y1933" s="112"/>
    </row>
    <row r="1934" spans="22:25" x14ac:dyDescent="0.2">
      <c r="V1934" s="112"/>
      <c r="X1934" s="112"/>
      <c r="Y1934" s="112"/>
    </row>
    <row r="1935" spans="22:25" x14ac:dyDescent="0.2">
      <c r="V1935" s="112"/>
      <c r="X1935" s="112"/>
      <c r="Y1935" s="112"/>
    </row>
    <row r="1936" spans="22:25" x14ac:dyDescent="0.2">
      <c r="V1936" s="112"/>
      <c r="X1936" s="112"/>
      <c r="Y1936" s="112"/>
    </row>
    <row r="1937" spans="22:25" x14ac:dyDescent="0.2">
      <c r="V1937" s="112"/>
      <c r="X1937" s="112"/>
      <c r="Y1937" s="112"/>
    </row>
    <row r="1938" spans="22:25" x14ac:dyDescent="0.2">
      <c r="V1938" s="112"/>
      <c r="X1938" s="112"/>
      <c r="Y1938" s="112"/>
    </row>
    <row r="1939" spans="22:25" x14ac:dyDescent="0.2">
      <c r="V1939" s="112"/>
      <c r="X1939" s="112"/>
      <c r="Y1939" s="112"/>
    </row>
    <row r="1940" spans="22:25" x14ac:dyDescent="0.2">
      <c r="V1940" s="112"/>
      <c r="X1940" s="112"/>
      <c r="Y1940" s="112"/>
    </row>
    <row r="1941" spans="22:25" x14ac:dyDescent="0.2">
      <c r="V1941" s="112"/>
      <c r="X1941" s="112"/>
      <c r="Y1941" s="112"/>
    </row>
    <row r="1942" spans="22:25" x14ac:dyDescent="0.2">
      <c r="V1942" s="112"/>
      <c r="X1942" s="112"/>
      <c r="Y1942" s="112"/>
    </row>
    <row r="1943" spans="22:25" x14ac:dyDescent="0.2">
      <c r="V1943" s="112"/>
      <c r="X1943" s="112"/>
      <c r="Y1943" s="112"/>
    </row>
    <row r="1944" spans="22:25" x14ac:dyDescent="0.2">
      <c r="V1944" s="112"/>
      <c r="X1944" s="112"/>
      <c r="Y1944" s="112"/>
    </row>
    <row r="1945" spans="22:25" x14ac:dyDescent="0.2">
      <c r="V1945" s="112"/>
      <c r="X1945" s="112"/>
      <c r="Y1945" s="112"/>
    </row>
    <row r="1946" spans="22:25" x14ac:dyDescent="0.2">
      <c r="V1946" s="112"/>
      <c r="X1946" s="112"/>
      <c r="Y1946" s="112"/>
    </row>
    <row r="1947" spans="22:25" x14ac:dyDescent="0.2">
      <c r="V1947" s="112"/>
      <c r="X1947" s="112"/>
      <c r="Y1947" s="112"/>
    </row>
    <row r="1948" spans="22:25" x14ac:dyDescent="0.2">
      <c r="V1948" s="112"/>
      <c r="X1948" s="112"/>
      <c r="Y1948" s="112"/>
    </row>
    <row r="1949" spans="22:25" x14ac:dyDescent="0.2">
      <c r="V1949" s="112"/>
      <c r="X1949" s="112"/>
      <c r="Y1949" s="112"/>
    </row>
    <row r="1950" spans="22:25" x14ac:dyDescent="0.2">
      <c r="V1950" s="112"/>
      <c r="X1950" s="112"/>
      <c r="Y1950" s="112"/>
    </row>
    <row r="1951" spans="22:25" x14ac:dyDescent="0.2">
      <c r="V1951" s="112"/>
      <c r="X1951" s="112"/>
      <c r="Y1951" s="112"/>
    </row>
    <row r="1952" spans="22:25" x14ac:dyDescent="0.2">
      <c r="V1952" s="112"/>
      <c r="X1952" s="112"/>
      <c r="Y1952" s="112"/>
    </row>
    <row r="1953" spans="22:25" x14ac:dyDescent="0.2">
      <c r="V1953" s="112"/>
      <c r="X1953" s="112"/>
      <c r="Y1953" s="112"/>
    </row>
    <row r="1954" spans="22:25" x14ac:dyDescent="0.2">
      <c r="V1954" s="112"/>
      <c r="X1954" s="112"/>
      <c r="Y1954" s="112"/>
    </row>
    <row r="1955" spans="22:25" x14ac:dyDescent="0.2">
      <c r="V1955" s="112"/>
      <c r="X1955" s="112"/>
      <c r="Y1955" s="112"/>
    </row>
    <row r="1956" spans="22:25" x14ac:dyDescent="0.2">
      <c r="V1956" s="112"/>
      <c r="X1956" s="112"/>
      <c r="Y1956" s="112"/>
    </row>
    <row r="1957" spans="22:25" x14ac:dyDescent="0.2">
      <c r="V1957" s="112"/>
      <c r="X1957" s="112"/>
      <c r="Y1957" s="112"/>
    </row>
    <row r="1958" spans="22:25" x14ac:dyDescent="0.2">
      <c r="V1958" s="112"/>
      <c r="X1958" s="112"/>
      <c r="Y1958" s="112"/>
    </row>
    <row r="1959" spans="22:25" x14ac:dyDescent="0.2">
      <c r="V1959" s="112"/>
      <c r="X1959" s="112"/>
      <c r="Y1959" s="112"/>
    </row>
    <row r="1960" spans="22:25" x14ac:dyDescent="0.2">
      <c r="V1960" s="112"/>
      <c r="X1960" s="112"/>
      <c r="Y1960" s="112"/>
    </row>
    <row r="1961" spans="22:25" x14ac:dyDescent="0.2">
      <c r="V1961" s="112"/>
      <c r="X1961" s="112"/>
      <c r="Y1961" s="112"/>
    </row>
    <row r="1962" spans="22:25" x14ac:dyDescent="0.2">
      <c r="V1962" s="112"/>
      <c r="X1962" s="112"/>
      <c r="Y1962" s="112"/>
    </row>
    <row r="1963" spans="22:25" x14ac:dyDescent="0.2">
      <c r="V1963" s="112"/>
      <c r="X1963" s="112"/>
      <c r="Y1963" s="112"/>
    </row>
    <row r="1964" spans="22:25" x14ac:dyDescent="0.2">
      <c r="V1964" s="112"/>
      <c r="X1964" s="112"/>
      <c r="Y1964" s="112"/>
    </row>
    <row r="1965" spans="22:25" x14ac:dyDescent="0.2">
      <c r="V1965" s="112"/>
      <c r="X1965" s="112"/>
      <c r="Y1965" s="112"/>
    </row>
    <row r="1966" spans="22:25" x14ac:dyDescent="0.2">
      <c r="V1966" s="112"/>
      <c r="X1966" s="112"/>
      <c r="Y1966" s="112"/>
    </row>
    <row r="1967" spans="22:25" x14ac:dyDescent="0.2">
      <c r="V1967" s="112"/>
      <c r="X1967" s="112"/>
      <c r="Y1967" s="112"/>
    </row>
    <row r="1968" spans="22:25" x14ac:dyDescent="0.2">
      <c r="V1968" s="112"/>
      <c r="X1968" s="112"/>
      <c r="Y1968" s="112"/>
    </row>
    <row r="1969" spans="22:25" x14ac:dyDescent="0.2">
      <c r="V1969" s="112"/>
      <c r="X1969" s="112"/>
      <c r="Y1969" s="112"/>
    </row>
    <row r="1970" spans="22:25" x14ac:dyDescent="0.2">
      <c r="V1970" s="112"/>
      <c r="X1970" s="112"/>
      <c r="Y1970" s="112"/>
    </row>
    <row r="1971" spans="22:25" x14ac:dyDescent="0.2">
      <c r="V1971" s="112"/>
      <c r="X1971" s="112"/>
      <c r="Y1971" s="112"/>
    </row>
    <row r="1972" spans="22:25" x14ac:dyDescent="0.2">
      <c r="V1972" s="112"/>
      <c r="X1972" s="112"/>
      <c r="Y1972" s="112"/>
    </row>
    <row r="1973" spans="22:25" x14ac:dyDescent="0.2">
      <c r="V1973" s="112"/>
      <c r="X1973" s="112"/>
      <c r="Y1973" s="112"/>
    </row>
    <row r="1974" spans="22:25" x14ac:dyDescent="0.2">
      <c r="V1974" s="112"/>
      <c r="X1974" s="112"/>
      <c r="Y1974" s="112"/>
    </row>
    <row r="1975" spans="22:25" x14ac:dyDescent="0.2">
      <c r="V1975" s="112"/>
      <c r="X1975" s="112"/>
      <c r="Y1975" s="112"/>
    </row>
    <row r="1976" spans="22:25" x14ac:dyDescent="0.2">
      <c r="V1976" s="112"/>
      <c r="X1976" s="112"/>
      <c r="Y1976" s="112"/>
    </row>
    <row r="1977" spans="22:25" x14ac:dyDescent="0.2">
      <c r="V1977" s="112"/>
      <c r="X1977" s="112"/>
      <c r="Y1977" s="112"/>
    </row>
    <row r="1978" spans="22:25" x14ac:dyDescent="0.2">
      <c r="V1978" s="112"/>
      <c r="X1978" s="112"/>
      <c r="Y1978" s="112"/>
    </row>
    <row r="1979" spans="22:25" x14ac:dyDescent="0.2">
      <c r="V1979" s="112"/>
      <c r="X1979" s="112"/>
      <c r="Y1979" s="112"/>
    </row>
    <row r="1980" spans="22:25" x14ac:dyDescent="0.2">
      <c r="V1980" s="112"/>
      <c r="X1980" s="112"/>
      <c r="Y1980" s="112"/>
    </row>
    <row r="1981" spans="22:25" x14ac:dyDescent="0.2">
      <c r="V1981" s="112"/>
      <c r="X1981" s="112"/>
      <c r="Y1981" s="112"/>
    </row>
    <row r="1982" spans="22:25" x14ac:dyDescent="0.2">
      <c r="V1982" s="112"/>
      <c r="X1982" s="112"/>
      <c r="Y1982" s="112"/>
    </row>
    <row r="1983" spans="22:25" x14ac:dyDescent="0.2">
      <c r="V1983" s="112"/>
      <c r="X1983" s="112"/>
      <c r="Y1983" s="112"/>
    </row>
    <row r="1984" spans="22:25" x14ac:dyDescent="0.2">
      <c r="V1984" s="112"/>
      <c r="X1984" s="112"/>
      <c r="Y1984" s="112"/>
    </row>
    <row r="1985" spans="22:25" x14ac:dyDescent="0.2">
      <c r="V1985" s="112"/>
      <c r="X1985" s="112"/>
      <c r="Y1985" s="112"/>
    </row>
    <row r="1986" spans="22:25" x14ac:dyDescent="0.2">
      <c r="V1986" s="112"/>
      <c r="X1986" s="112"/>
      <c r="Y1986" s="112"/>
    </row>
    <row r="1987" spans="22:25" x14ac:dyDescent="0.2">
      <c r="V1987" s="112"/>
      <c r="X1987" s="112"/>
      <c r="Y1987" s="112"/>
    </row>
    <row r="1988" spans="22:25" x14ac:dyDescent="0.2">
      <c r="V1988" s="112"/>
      <c r="X1988" s="112"/>
      <c r="Y1988" s="112"/>
    </row>
    <row r="1989" spans="22:25" x14ac:dyDescent="0.2">
      <c r="V1989" s="112"/>
      <c r="X1989" s="112"/>
      <c r="Y1989" s="112"/>
    </row>
    <row r="1990" spans="22:25" x14ac:dyDescent="0.2">
      <c r="V1990" s="112"/>
      <c r="X1990" s="112"/>
      <c r="Y1990" s="112"/>
    </row>
    <row r="1991" spans="22:25" x14ac:dyDescent="0.2">
      <c r="V1991" s="112"/>
      <c r="X1991" s="112"/>
      <c r="Y1991" s="112"/>
    </row>
    <row r="1992" spans="22:25" x14ac:dyDescent="0.2">
      <c r="V1992" s="112"/>
      <c r="X1992" s="112"/>
      <c r="Y1992" s="112"/>
    </row>
    <row r="1993" spans="22:25" x14ac:dyDescent="0.2">
      <c r="V1993" s="112"/>
      <c r="X1993" s="112"/>
      <c r="Y1993" s="112"/>
    </row>
    <row r="1994" spans="22:25" x14ac:dyDescent="0.2">
      <c r="V1994" s="112"/>
      <c r="X1994" s="112"/>
      <c r="Y1994" s="112"/>
    </row>
    <row r="1995" spans="22:25" x14ac:dyDescent="0.2">
      <c r="V1995" s="112"/>
      <c r="X1995" s="112"/>
      <c r="Y1995" s="112"/>
    </row>
    <row r="1996" spans="22:25" x14ac:dyDescent="0.2">
      <c r="V1996" s="112"/>
      <c r="X1996" s="112"/>
      <c r="Y1996" s="112"/>
    </row>
    <row r="1997" spans="22:25" x14ac:dyDescent="0.2">
      <c r="V1997" s="112"/>
      <c r="X1997" s="112"/>
      <c r="Y1997" s="112"/>
    </row>
    <row r="1998" spans="22:25" x14ac:dyDescent="0.2">
      <c r="V1998" s="112"/>
      <c r="X1998" s="112"/>
      <c r="Y1998" s="112"/>
    </row>
    <row r="1999" spans="22:25" x14ac:dyDescent="0.2">
      <c r="V1999" s="112"/>
      <c r="X1999" s="112"/>
      <c r="Y1999" s="112"/>
    </row>
    <row r="2000" spans="22:25" x14ac:dyDescent="0.2">
      <c r="V2000" s="112"/>
      <c r="X2000" s="112"/>
      <c r="Y2000" s="112"/>
    </row>
    <row r="2001" spans="22:25" x14ac:dyDescent="0.2">
      <c r="V2001" s="112"/>
      <c r="X2001" s="112"/>
      <c r="Y2001" s="112"/>
    </row>
    <row r="2002" spans="22:25" x14ac:dyDescent="0.2">
      <c r="V2002" s="112"/>
      <c r="X2002" s="112"/>
      <c r="Y2002" s="112"/>
    </row>
    <row r="2003" spans="22:25" x14ac:dyDescent="0.2">
      <c r="V2003" s="112"/>
      <c r="X2003" s="112"/>
      <c r="Y2003" s="112"/>
    </row>
    <row r="2004" spans="22:25" x14ac:dyDescent="0.2">
      <c r="V2004" s="112"/>
      <c r="X2004" s="112"/>
      <c r="Y2004" s="112"/>
    </row>
    <row r="2005" spans="22:25" x14ac:dyDescent="0.2">
      <c r="V2005" s="112"/>
      <c r="X2005" s="112"/>
      <c r="Y2005" s="112"/>
    </row>
    <row r="2006" spans="22:25" x14ac:dyDescent="0.2">
      <c r="V2006" s="112"/>
      <c r="X2006" s="112"/>
      <c r="Y2006" s="112"/>
    </row>
    <row r="2007" spans="22:25" x14ac:dyDescent="0.2">
      <c r="V2007" s="112"/>
      <c r="X2007" s="112"/>
      <c r="Y2007" s="112"/>
    </row>
    <row r="2008" spans="22:25" x14ac:dyDescent="0.2">
      <c r="V2008" s="112"/>
      <c r="X2008" s="112"/>
      <c r="Y2008" s="112"/>
    </row>
    <row r="2009" spans="22:25" x14ac:dyDescent="0.2">
      <c r="V2009" s="112"/>
      <c r="X2009" s="112"/>
      <c r="Y2009" s="112"/>
    </row>
    <row r="2010" spans="22:25" x14ac:dyDescent="0.2">
      <c r="V2010" s="112"/>
      <c r="X2010" s="112"/>
      <c r="Y2010" s="112"/>
    </row>
    <row r="2011" spans="22:25" x14ac:dyDescent="0.2">
      <c r="V2011" s="112"/>
      <c r="X2011" s="112"/>
      <c r="Y2011" s="112"/>
    </row>
    <row r="2012" spans="22:25" x14ac:dyDescent="0.2">
      <c r="V2012" s="112"/>
      <c r="X2012" s="112"/>
      <c r="Y2012" s="112"/>
    </row>
    <row r="2013" spans="22:25" x14ac:dyDescent="0.2">
      <c r="V2013" s="112"/>
      <c r="X2013" s="112"/>
      <c r="Y2013" s="112"/>
    </row>
    <row r="2014" spans="22:25" x14ac:dyDescent="0.2">
      <c r="V2014" s="112"/>
      <c r="X2014" s="112"/>
      <c r="Y2014" s="112"/>
    </row>
    <row r="2015" spans="22:25" x14ac:dyDescent="0.2">
      <c r="V2015" s="112"/>
      <c r="X2015" s="112"/>
      <c r="Y2015" s="112"/>
    </row>
    <row r="2016" spans="22:25" x14ac:dyDescent="0.2">
      <c r="V2016" s="112"/>
      <c r="X2016" s="112"/>
      <c r="Y2016" s="112"/>
    </row>
    <row r="2017" spans="22:25" x14ac:dyDescent="0.2">
      <c r="V2017" s="112"/>
      <c r="X2017" s="112"/>
      <c r="Y2017" s="112"/>
    </row>
    <row r="2018" spans="22:25" x14ac:dyDescent="0.2">
      <c r="V2018" s="112"/>
      <c r="X2018" s="112"/>
      <c r="Y2018" s="112"/>
    </row>
    <row r="2019" spans="22:25" x14ac:dyDescent="0.2">
      <c r="V2019" s="112"/>
      <c r="X2019" s="112"/>
      <c r="Y2019" s="112"/>
    </row>
    <row r="2020" spans="22:25" x14ac:dyDescent="0.2">
      <c r="V2020" s="112"/>
      <c r="X2020" s="112"/>
      <c r="Y2020" s="112"/>
    </row>
    <row r="2021" spans="22:25" x14ac:dyDescent="0.2">
      <c r="V2021" s="112"/>
      <c r="X2021" s="112"/>
      <c r="Y2021" s="112"/>
    </row>
    <row r="2022" spans="22:25" x14ac:dyDescent="0.2">
      <c r="V2022" s="112"/>
      <c r="X2022" s="112"/>
      <c r="Y2022" s="112"/>
    </row>
    <row r="2023" spans="22:25" x14ac:dyDescent="0.2">
      <c r="V2023" s="112"/>
      <c r="X2023" s="112"/>
      <c r="Y2023" s="112"/>
    </row>
    <row r="2024" spans="22:25" x14ac:dyDescent="0.2">
      <c r="V2024" s="112"/>
      <c r="X2024" s="112"/>
      <c r="Y2024" s="112"/>
    </row>
    <row r="2025" spans="22:25" x14ac:dyDescent="0.2">
      <c r="V2025" s="112"/>
      <c r="X2025" s="112"/>
      <c r="Y2025" s="112"/>
    </row>
    <row r="2026" spans="22:25" x14ac:dyDescent="0.2">
      <c r="V2026" s="112"/>
      <c r="X2026" s="112"/>
      <c r="Y2026" s="112"/>
    </row>
    <row r="2027" spans="22:25" x14ac:dyDescent="0.2">
      <c r="V2027" s="112"/>
      <c r="X2027" s="112"/>
      <c r="Y2027" s="112"/>
    </row>
    <row r="2028" spans="22:25" x14ac:dyDescent="0.2">
      <c r="V2028" s="112"/>
      <c r="X2028" s="112"/>
      <c r="Y2028" s="112"/>
    </row>
    <row r="2029" spans="22:25" x14ac:dyDescent="0.2">
      <c r="V2029" s="112"/>
      <c r="X2029" s="112"/>
      <c r="Y2029" s="112"/>
    </row>
    <row r="2030" spans="22:25" x14ac:dyDescent="0.2">
      <c r="V2030" s="112"/>
      <c r="X2030" s="112"/>
      <c r="Y2030" s="112"/>
    </row>
    <row r="2031" spans="22:25" x14ac:dyDescent="0.2">
      <c r="V2031" s="112"/>
      <c r="X2031" s="112"/>
      <c r="Y2031" s="112"/>
    </row>
    <row r="2032" spans="22:25" x14ac:dyDescent="0.2">
      <c r="V2032" s="112"/>
      <c r="X2032" s="112"/>
      <c r="Y2032" s="112"/>
    </row>
    <row r="2033" spans="22:25" x14ac:dyDescent="0.2">
      <c r="V2033" s="112"/>
      <c r="X2033" s="112"/>
      <c r="Y2033" s="112"/>
    </row>
    <row r="2034" spans="22:25" x14ac:dyDescent="0.2">
      <c r="V2034" s="112"/>
      <c r="X2034" s="112"/>
      <c r="Y2034" s="112"/>
    </row>
    <row r="2035" spans="22:25" x14ac:dyDescent="0.2">
      <c r="V2035" s="112"/>
      <c r="X2035" s="112"/>
      <c r="Y2035" s="112"/>
    </row>
    <row r="2036" spans="22:25" x14ac:dyDescent="0.2">
      <c r="V2036" s="112"/>
      <c r="X2036" s="112"/>
      <c r="Y2036" s="112"/>
    </row>
    <row r="2037" spans="22:25" x14ac:dyDescent="0.2">
      <c r="V2037" s="112"/>
      <c r="X2037" s="112"/>
      <c r="Y2037" s="112"/>
    </row>
    <row r="2038" spans="22:25" x14ac:dyDescent="0.2">
      <c r="V2038" s="112"/>
      <c r="X2038" s="112"/>
      <c r="Y2038" s="112"/>
    </row>
    <row r="2039" spans="22:25" x14ac:dyDescent="0.2">
      <c r="V2039" s="112"/>
      <c r="X2039" s="112"/>
      <c r="Y2039" s="112"/>
    </row>
    <row r="2040" spans="22:25" x14ac:dyDescent="0.2">
      <c r="V2040" s="112"/>
      <c r="X2040" s="112"/>
      <c r="Y2040" s="112"/>
    </row>
    <row r="2041" spans="22:25" x14ac:dyDescent="0.2">
      <c r="V2041" s="112"/>
      <c r="X2041" s="112"/>
      <c r="Y2041" s="112"/>
    </row>
    <row r="2042" spans="22:25" x14ac:dyDescent="0.2">
      <c r="V2042" s="112"/>
      <c r="X2042" s="112"/>
      <c r="Y2042" s="112"/>
    </row>
    <row r="2043" spans="22:25" x14ac:dyDescent="0.2">
      <c r="V2043" s="112"/>
      <c r="X2043" s="112"/>
      <c r="Y2043" s="112"/>
    </row>
    <row r="2044" spans="22:25" x14ac:dyDescent="0.2">
      <c r="V2044" s="112"/>
      <c r="X2044" s="112"/>
      <c r="Y2044" s="112"/>
    </row>
    <row r="2045" spans="22:25" x14ac:dyDescent="0.2">
      <c r="V2045" s="112"/>
      <c r="X2045" s="112"/>
      <c r="Y2045" s="112"/>
    </row>
    <row r="2046" spans="22:25" x14ac:dyDescent="0.2">
      <c r="V2046" s="112"/>
      <c r="X2046" s="112"/>
      <c r="Y2046" s="112"/>
    </row>
    <row r="2047" spans="22:25" x14ac:dyDescent="0.2">
      <c r="V2047" s="112"/>
      <c r="X2047" s="112"/>
      <c r="Y2047" s="112"/>
    </row>
    <row r="2048" spans="22:25" x14ac:dyDescent="0.2">
      <c r="V2048" s="112"/>
      <c r="X2048" s="112"/>
      <c r="Y2048" s="112"/>
    </row>
    <row r="2049" spans="22:25" x14ac:dyDescent="0.2">
      <c r="V2049" s="112"/>
      <c r="X2049" s="112"/>
      <c r="Y2049" s="112"/>
    </row>
    <row r="2050" spans="22:25" x14ac:dyDescent="0.2">
      <c r="V2050" s="112"/>
      <c r="X2050" s="112"/>
      <c r="Y2050" s="112"/>
    </row>
    <row r="2051" spans="22:25" x14ac:dyDescent="0.2">
      <c r="V2051" s="112"/>
      <c r="X2051" s="112"/>
      <c r="Y2051" s="112"/>
    </row>
    <row r="2052" spans="22:25" x14ac:dyDescent="0.2">
      <c r="V2052" s="112"/>
      <c r="X2052" s="112"/>
      <c r="Y2052" s="112"/>
    </row>
    <row r="2053" spans="22:25" x14ac:dyDescent="0.2">
      <c r="V2053" s="112"/>
      <c r="X2053" s="112"/>
      <c r="Y2053" s="112"/>
    </row>
    <row r="2054" spans="22:25" x14ac:dyDescent="0.2">
      <c r="V2054" s="112"/>
      <c r="X2054" s="112"/>
      <c r="Y2054" s="112"/>
    </row>
    <row r="2055" spans="22:25" x14ac:dyDescent="0.2">
      <c r="V2055" s="112"/>
      <c r="X2055" s="112"/>
      <c r="Y2055" s="112"/>
    </row>
    <row r="2056" spans="22:25" x14ac:dyDescent="0.2">
      <c r="V2056" s="112"/>
      <c r="X2056" s="112"/>
      <c r="Y2056" s="112"/>
    </row>
    <row r="2057" spans="22:25" x14ac:dyDescent="0.2">
      <c r="V2057" s="112"/>
      <c r="X2057" s="112"/>
      <c r="Y2057" s="112"/>
    </row>
    <row r="2058" spans="22:25" x14ac:dyDescent="0.2">
      <c r="V2058" s="112"/>
      <c r="X2058" s="112"/>
      <c r="Y2058" s="112"/>
    </row>
    <row r="2059" spans="22:25" x14ac:dyDescent="0.2">
      <c r="V2059" s="112"/>
      <c r="X2059" s="112"/>
      <c r="Y2059" s="112"/>
    </row>
    <row r="2060" spans="22:25" x14ac:dyDescent="0.2">
      <c r="V2060" s="112"/>
      <c r="X2060" s="112"/>
      <c r="Y2060" s="112"/>
    </row>
    <row r="2061" spans="22:25" x14ac:dyDescent="0.2">
      <c r="V2061" s="112"/>
      <c r="X2061" s="112"/>
      <c r="Y2061" s="112"/>
    </row>
    <row r="2062" spans="22:25" x14ac:dyDescent="0.2">
      <c r="V2062" s="112"/>
      <c r="X2062" s="112"/>
      <c r="Y2062" s="112"/>
    </row>
    <row r="2063" spans="22:25" x14ac:dyDescent="0.2">
      <c r="V2063" s="112"/>
      <c r="X2063" s="112"/>
      <c r="Y2063" s="112"/>
    </row>
    <row r="2064" spans="22:25" x14ac:dyDescent="0.2">
      <c r="V2064" s="112"/>
      <c r="X2064" s="112"/>
      <c r="Y2064" s="112"/>
    </row>
    <row r="2065" spans="22:25" x14ac:dyDescent="0.2">
      <c r="V2065" s="112"/>
      <c r="X2065" s="112"/>
      <c r="Y2065" s="112"/>
    </row>
    <row r="2066" spans="22:25" x14ac:dyDescent="0.2">
      <c r="V2066" s="112"/>
      <c r="X2066" s="112"/>
      <c r="Y2066" s="112"/>
    </row>
    <row r="2067" spans="22:25" x14ac:dyDescent="0.2">
      <c r="V2067" s="112"/>
      <c r="X2067" s="112"/>
      <c r="Y2067" s="112"/>
    </row>
    <row r="2068" spans="22:25" x14ac:dyDescent="0.2">
      <c r="V2068" s="112"/>
      <c r="X2068" s="112"/>
      <c r="Y2068" s="112"/>
    </row>
    <row r="2069" spans="22:25" x14ac:dyDescent="0.2">
      <c r="V2069" s="112"/>
      <c r="X2069" s="112"/>
      <c r="Y2069" s="112"/>
    </row>
    <row r="2070" spans="22:25" x14ac:dyDescent="0.2">
      <c r="V2070" s="112"/>
      <c r="X2070" s="112"/>
      <c r="Y2070" s="112"/>
    </row>
    <row r="2071" spans="22:25" x14ac:dyDescent="0.2">
      <c r="V2071" s="112"/>
      <c r="X2071" s="112"/>
      <c r="Y2071" s="112"/>
    </row>
    <row r="2072" spans="22:25" x14ac:dyDescent="0.2">
      <c r="V2072" s="112"/>
      <c r="X2072" s="112"/>
      <c r="Y2072" s="112"/>
    </row>
    <row r="2073" spans="22:25" x14ac:dyDescent="0.2">
      <c r="V2073" s="112"/>
      <c r="X2073" s="112"/>
      <c r="Y2073" s="112"/>
    </row>
    <row r="2074" spans="22:25" x14ac:dyDescent="0.2">
      <c r="V2074" s="112"/>
      <c r="X2074" s="112"/>
      <c r="Y2074" s="112"/>
    </row>
    <row r="2075" spans="22:25" x14ac:dyDescent="0.2">
      <c r="V2075" s="112"/>
      <c r="X2075" s="112"/>
      <c r="Y2075" s="112"/>
    </row>
    <row r="2076" spans="22:25" x14ac:dyDescent="0.2">
      <c r="V2076" s="112"/>
      <c r="X2076" s="112"/>
      <c r="Y2076" s="112"/>
    </row>
    <row r="2077" spans="22:25" x14ac:dyDescent="0.2">
      <c r="V2077" s="112"/>
      <c r="X2077" s="112"/>
      <c r="Y2077" s="112"/>
    </row>
    <row r="2078" spans="22:25" x14ac:dyDescent="0.2">
      <c r="V2078" s="112"/>
      <c r="X2078" s="112"/>
      <c r="Y2078" s="112"/>
    </row>
    <row r="2079" spans="22:25" x14ac:dyDescent="0.2">
      <c r="V2079" s="112"/>
      <c r="X2079" s="112"/>
      <c r="Y2079" s="112"/>
    </row>
    <row r="2080" spans="22:25" x14ac:dyDescent="0.2">
      <c r="V2080" s="112"/>
      <c r="X2080" s="112"/>
      <c r="Y2080" s="112"/>
    </row>
    <row r="2081" spans="22:25" x14ac:dyDescent="0.2">
      <c r="V2081" s="112"/>
      <c r="X2081" s="112"/>
      <c r="Y2081" s="112"/>
    </row>
    <row r="2082" spans="22:25" x14ac:dyDescent="0.2">
      <c r="V2082" s="112"/>
      <c r="X2082" s="112"/>
      <c r="Y2082" s="112"/>
    </row>
    <row r="2083" spans="22:25" x14ac:dyDescent="0.2">
      <c r="V2083" s="112"/>
      <c r="X2083" s="112"/>
      <c r="Y2083" s="112"/>
    </row>
    <row r="2084" spans="22:25" x14ac:dyDescent="0.2">
      <c r="V2084" s="112"/>
      <c r="X2084" s="112"/>
      <c r="Y2084" s="112"/>
    </row>
    <row r="2085" spans="22:25" x14ac:dyDescent="0.2">
      <c r="V2085" s="112"/>
      <c r="X2085" s="112"/>
      <c r="Y2085" s="112"/>
    </row>
    <row r="2086" spans="22:25" x14ac:dyDescent="0.2">
      <c r="V2086" s="112"/>
      <c r="X2086" s="112"/>
      <c r="Y2086" s="112"/>
    </row>
    <row r="2087" spans="22:25" x14ac:dyDescent="0.2">
      <c r="V2087" s="112"/>
      <c r="X2087" s="112"/>
      <c r="Y2087" s="112"/>
    </row>
    <row r="2088" spans="22:25" x14ac:dyDescent="0.2">
      <c r="V2088" s="112"/>
      <c r="X2088" s="112"/>
      <c r="Y2088" s="112"/>
    </row>
    <row r="2089" spans="22:25" x14ac:dyDescent="0.2">
      <c r="V2089" s="112"/>
      <c r="X2089" s="112"/>
      <c r="Y2089" s="112"/>
    </row>
    <row r="2090" spans="22:25" x14ac:dyDescent="0.2">
      <c r="V2090" s="112"/>
      <c r="X2090" s="112"/>
      <c r="Y2090" s="112"/>
    </row>
    <row r="2091" spans="22:25" x14ac:dyDescent="0.2">
      <c r="V2091" s="112"/>
      <c r="X2091" s="112"/>
      <c r="Y2091" s="112"/>
    </row>
    <row r="2092" spans="22:25" x14ac:dyDescent="0.2">
      <c r="V2092" s="112"/>
      <c r="X2092" s="112"/>
      <c r="Y2092" s="112"/>
    </row>
    <row r="2093" spans="22:25" x14ac:dyDescent="0.2">
      <c r="V2093" s="112"/>
      <c r="X2093" s="112"/>
      <c r="Y2093" s="112"/>
    </row>
    <row r="2094" spans="22:25" x14ac:dyDescent="0.2">
      <c r="V2094" s="112"/>
      <c r="X2094" s="112"/>
      <c r="Y2094" s="112"/>
    </row>
    <row r="2095" spans="22:25" x14ac:dyDescent="0.2">
      <c r="V2095" s="112"/>
      <c r="X2095" s="112"/>
      <c r="Y2095" s="112"/>
    </row>
    <row r="2096" spans="22:25" x14ac:dyDescent="0.2">
      <c r="V2096" s="112"/>
      <c r="X2096" s="112"/>
      <c r="Y2096" s="112"/>
    </row>
    <row r="2097" spans="22:25" x14ac:dyDescent="0.2">
      <c r="V2097" s="112"/>
      <c r="X2097" s="112"/>
      <c r="Y2097" s="112"/>
    </row>
    <row r="2098" spans="22:25" x14ac:dyDescent="0.2">
      <c r="V2098" s="112"/>
      <c r="X2098" s="112"/>
      <c r="Y2098" s="112"/>
    </row>
    <row r="2099" spans="22:25" x14ac:dyDescent="0.2">
      <c r="V2099" s="112"/>
      <c r="X2099" s="112"/>
      <c r="Y2099" s="112"/>
    </row>
    <row r="2100" spans="22:25" x14ac:dyDescent="0.2">
      <c r="V2100" s="112"/>
      <c r="X2100" s="112"/>
      <c r="Y2100" s="112"/>
    </row>
    <row r="2101" spans="22:25" x14ac:dyDescent="0.2">
      <c r="V2101" s="112"/>
      <c r="X2101" s="112"/>
      <c r="Y2101" s="112"/>
    </row>
    <row r="2102" spans="22:25" x14ac:dyDescent="0.2">
      <c r="V2102" s="112"/>
      <c r="X2102" s="112"/>
      <c r="Y2102" s="112"/>
    </row>
    <row r="2103" spans="22:25" x14ac:dyDescent="0.2">
      <c r="V2103" s="112"/>
      <c r="X2103" s="112"/>
      <c r="Y2103" s="112"/>
    </row>
    <row r="2104" spans="22:25" x14ac:dyDescent="0.2">
      <c r="V2104" s="112"/>
      <c r="X2104" s="112"/>
      <c r="Y2104" s="112"/>
    </row>
    <row r="2105" spans="22:25" x14ac:dyDescent="0.2">
      <c r="V2105" s="112"/>
      <c r="X2105" s="112"/>
      <c r="Y2105" s="112"/>
    </row>
    <row r="2106" spans="22:25" x14ac:dyDescent="0.2">
      <c r="V2106" s="112"/>
      <c r="X2106" s="112"/>
      <c r="Y2106" s="112"/>
    </row>
    <row r="2107" spans="22:25" x14ac:dyDescent="0.2">
      <c r="V2107" s="112"/>
      <c r="X2107" s="112"/>
      <c r="Y2107" s="112"/>
    </row>
    <row r="2108" spans="22:25" x14ac:dyDescent="0.2">
      <c r="V2108" s="112"/>
      <c r="X2108" s="112"/>
      <c r="Y2108" s="112"/>
    </row>
    <row r="2109" spans="22:25" x14ac:dyDescent="0.2">
      <c r="V2109" s="112"/>
      <c r="X2109" s="112"/>
      <c r="Y2109" s="112"/>
    </row>
    <row r="2110" spans="22:25" x14ac:dyDescent="0.2">
      <c r="V2110" s="112"/>
      <c r="X2110" s="112"/>
      <c r="Y2110" s="112"/>
    </row>
    <row r="2111" spans="22:25" x14ac:dyDescent="0.2">
      <c r="V2111" s="112"/>
      <c r="X2111" s="112"/>
      <c r="Y2111" s="112"/>
    </row>
    <row r="2112" spans="22:25" x14ac:dyDescent="0.2">
      <c r="V2112" s="112"/>
      <c r="X2112" s="112"/>
      <c r="Y2112" s="112"/>
    </row>
    <row r="2113" spans="22:25" x14ac:dyDescent="0.2">
      <c r="V2113" s="112"/>
      <c r="X2113" s="112"/>
      <c r="Y2113" s="112"/>
    </row>
    <row r="2114" spans="22:25" x14ac:dyDescent="0.2">
      <c r="V2114" s="112"/>
      <c r="X2114" s="112"/>
      <c r="Y2114" s="112"/>
    </row>
    <row r="2115" spans="22:25" x14ac:dyDescent="0.2">
      <c r="V2115" s="112"/>
      <c r="X2115" s="112"/>
      <c r="Y2115" s="112"/>
    </row>
    <row r="2116" spans="22:25" x14ac:dyDescent="0.2">
      <c r="V2116" s="112"/>
      <c r="X2116" s="112"/>
      <c r="Y2116" s="112"/>
    </row>
    <row r="2117" spans="22:25" x14ac:dyDescent="0.2">
      <c r="V2117" s="112"/>
      <c r="X2117" s="112"/>
      <c r="Y2117" s="112"/>
    </row>
    <row r="2118" spans="22:25" x14ac:dyDescent="0.2">
      <c r="V2118" s="112"/>
      <c r="X2118" s="112"/>
      <c r="Y2118" s="112"/>
    </row>
    <row r="2119" spans="22:25" x14ac:dyDescent="0.2">
      <c r="V2119" s="112"/>
      <c r="X2119" s="112"/>
      <c r="Y2119" s="112"/>
    </row>
    <row r="2120" spans="22:25" x14ac:dyDescent="0.2">
      <c r="V2120" s="112"/>
      <c r="X2120" s="112"/>
      <c r="Y2120" s="112"/>
    </row>
    <row r="2121" spans="22:25" x14ac:dyDescent="0.2">
      <c r="V2121" s="112"/>
      <c r="X2121" s="112"/>
      <c r="Y2121" s="112"/>
    </row>
    <row r="2122" spans="22:25" x14ac:dyDescent="0.2">
      <c r="V2122" s="112"/>
      <c r="X2122" s="112"/>
      <c r="Y2122" s="112"/>
    </row>
    <row r="2123" spans="22:25" x14ac:dyDescent="0.2">
      <c r="V2123" s="112"/>
      <c r="X2123" s="112"/>
      <c r="Y2123" s="112"/>
    </row>
    <row r="2124" spans="22:25" x14ac:dyDescent="0.2">
      <c r="V2124" s="112"/>
      <c r="X2124" s="112"/>
      <c r="Y2124" s="112"/>
    </row>
    <row r="2125" spans="22:25" x14ac:dyDescent="0.2">
      <c r="V2125" s="112"/>
      <c r="X2125" s="112"/>
      <c r="Y2125" s="112"/>
    </row>
    <row r="2126" spans="22:25" x14ac:dyDescent="0.2">
      <c r="V2126" s="112"/>
      <c r="X2126" s="112"/>
      <c r="Y2126" s="112"/>
    </row>
    <row r="2127" spans="22:25" x14ac:dyDescent="0.2">
      <c r="V2127" s="112"/>
      <c r="X2127" s="112"/>
      <c r="Y2127" s="112"/>
    </row>
    <row r="2128" spans="22:25" x14ac:dyDescent="0.2">
      <c r="V2128" s="112"/>
      <c r="X2128" s="112"/>
      <c r="Y2128" s="112"/>
    </row>
    <row r="2129" spans="22:25" x14ac:dyDescent="0.2">
      <c r="V2129" s="112"/>
      <c r="X2129" s="112"/>
      <c r="Y2129" s="112"/>
    </row>
    <row r="2130" spans="22:25" x14ac:dyDescent="0.2">
      <c r="V2130" s="112"/>
      <c r="X2130" s="112"/>
      <c r="Y2130" s="112"/>
    </row>
    <row r="2131" spans="22:25" x14ac:dyDescent="0.2">
      <c r="V2131" s="112"/>
      <c r="X2131" s="112"/>
      <c r="Y2131" s="112"/>
    </row>
    <row r="2132" spans="22:25" x14ac:dyDescent="0.2">
      <c r="V2132" s="112"/>
      <c r="X2132" s="112"/>
      <c r="Y2132" s="112"/>
    </row>
    <row r="2133" spans="22:25" x14ac:dyDescent="0.2">
      <c r="V2133" s="112"/>
      <c r="X2133" s="112"/>
      <c r="Y2133" s="112"/>
    </row>
    <row r="2134" spans="22:25" x14ac:dyDescent="0.2">
      <c r="V2134" s="112"/>
      <c r="X2134" s="112"/>
      <c r="Y2134" s="112"/>
    </row>
    <row r="2135" spans="22:25" x14ac:dyDescent="0.2">
      <c r="V2135" s="112"/>
      <c r="X2135" s="112"/>
      <c r="Y2135" s="112"/>
    </row>
    <row r="2136" spans="22:25" x14ac:dyDescent="0.2">
      <c r="V2136" s="112"/>
      <c r="X2136" s="112"/>
      <c r="Y2136" s="112"/>
    </row>
    <row r="2137" spans="22:25" x14ac:dyDescent="0.2">
      <c r="V2137" s="112"/>
      <c r="X2137" s="112"/>
      <c r="Y2137" s="112"/>
    </row>
    <row r="2138" spans="22:25" x14ac:dyDescent="0.2">
      <c r="V2138" s="112"/>
      <c r="X2138" s="112"/>
      <c r="Y2138" s="112"/>
    </row>
    <row r="2139" spans="22:25" x14ac:dyDescent="0.2">
      <c r="V2139" s="112"/>
      <c r="X2139" s="112"/>
      <c r="Y2139" s="112"/>
    </row>
    <row r="2140" spans="22:25" x14ac:dyDescent="0.2">
      <c r="V2140" s="112"/>
      <c r="X2140" s="112"/>
      <c r="Y2140" s="112"/>
    </row>
    <row r="2141" spans="22:25" x14ac:dyDescent="0.2">
      <c r="V2141" s="112"/>
      <c r="X2141" s="112"/>
      <c r="Y2141" s="112"/>
    </row>
    <row r="2142" spans="22:25" x14ac:dyDescent="0.2">
      <c r="V2142" s="112"/>
      <c r="X2142" s="112"/>
      <c r="Y2142" s="112"/>
    </row>
    <row r="2143" spans="22:25" x14ac:dyDescent="0.2">
      <c r="V2143" s="112"/>
      <c r="X2143" s="112"/>
      <c r="Y2143" s="112"/>
    </row>
    <row r="2144" spans="22:25" x14ac:dyDescent="0.2">
      <c r="V2144" s="112"/>
      <c r="X2144" s="112"/>
      <c r="Y2144" s="112"/>
    </row>
    <row r="2145" spans="22:25" x14ac:dyDescent="0.2">
      <c r="V2145" s="112"/>
      <c r="X2145" s="112"/>
      <c r="Y2145" s="112"/>
    </row>
    <row r="2146" spans="22:25" x14ac:dyDescent="0.2">
      <c r="V2146" s="112"/>
      <c r="X2146" s="112"/>
      <c r="Y2146" s="112"/>
    </row>
    <row r="2147" spans="22:25" x14ac:dyDescent="0.2">
      <c r="V2147" s="112"/>
      <c r="X2147" s="112"/>
      <c r="Y2147" s="112"/>
    </row>
    <row r="2148" spans="22:25" x14ac:dyDescent="0.2">
      <c r="V2148" s="112"/>
      <c r="X2148" s="112"/>
      <c r="Y2148" s="112"/>
    </row>
    <row r="2149" spans="22:25" x14ac:dyDescent="0.2">
      <c r="V2149" s="112"/>
      <c r="X2149" s="112"/>
      <c r="Y2149" s="112"/>
    </row>
    <row r="2150" spans="22:25" x14ac:dyDescent="0.2">
      <c r="V2150" s="112"/>
      <c r="X2150" s="112"/>
      <c r="Y2150" s="112"/>
    </row>
    <row r="2151" spans="22:25" x14ac:dyDescent="0.2">
      <c r="V2151" s="112"/>
      <c r="X2151" s="112"/>
      <c r="Y2151" s="112"/>
    </row>
    <row r="2152" spans="22:25" x14ac:dyDescent="0.2">
      <c r="V2152" s="112"/>
      <c r="X2152" s="112"/>
      <c r="Y2152" s="112"/>
    </row>
    <row r="2153" spans="22:25" x14ac:dyDescent="0.2">
      <c r="V2153" s="112"/>
      <c r="X2153" s="112"/>
      <c r="Y2153" s="112"/>
    </row>
    <row r="2154" spans="22:25" x14ac:dyDescent="0.2">
      <c r="V2154" s="112"/>
      <c r="X2154" s="112"/>
      <c r="Y2154" s="112"/>
    </row>
    <row r="2155" spans="22:25" x14ac:dyDescent="0.2">
      <c r="V2155" s="112"/>
      <c r="X2155" s="112"/>
      <c r="Y2155" s="112"/>
    </row>
    <row r="2156" spans="22:25" x14ac:dyDescent="0.2">
      <c r="V2156" s="112"/>
      <c r="X2156" s="112"/>
      <c r="Y2156" s="112"/>
    </row>
    <row r="2157" spans="22:25" x14ac:dyDescent="0.2">
      <c r="V2157" s="112"/>
      <c r="X2157" s="112"/>
      <c r="Y2157" s="112"/>
    </row>
    <row r="2158" spans="22:25" x14ac:dyDescent="0.2">
      <c r="V2158" s="112"/>
      <c r="X2158" s="112"/>
      <c r="Y2158" s="112"/>
    </row>
    <row r="2159" spans="22:25" x14ac:dyDescent="0.2">
      <c r="V2159" s="112"/>
      <c r="X2159" s="112"/>
      <c r="Y2159" s="112"/>
    </row>
    <row r="2160" spans="22:25" x14ac:dyDescent="0.2">
      <c r="V2160" s="112"/>
      <c r="X2160" s="112"/>
      <c r="Y2160" s="112"/>
    </row>
    <row r="2161" spans="22:25" x14ac:dyDescent="0.2">
      <c r="V2161" s="112"/>
      <c r="X2161" s="112"/>
      <c r="Y2161" s="112"/>
    </row>
    <row r="2162" spans="22:25" x14ac:dyDescent="0.2">
      <c r="V2162" s="112"/>
      <c r="X2162" s="112"/>
      <c r="Y2162" s="112"/>
    </row>
    <row r="2163" spans="22:25" x14ac:dyDescent="0.2">
      <c r="V2163" s="112"/>
      <c r="X2163" s="112"/>
      <c r="Y2163" s="112"/>
    </row>
    <row r="2164" spans="22:25" x14ac:dyDescent="0.2">
      <c r="V2164" s="112"/>
      <c r="X2164" s="112"/>
      <c r="Y2164" s="112"/>
    </row>
    <row r="2165" spans="22:25" x14ac:dyDescent="0.2">
      <c r="V2165" s="112"/>
      <c r="X2165" s="112"/>
      <c r="Y2165" s="112"/>
    </row>
    <row r="2166" spans="22:25" x14ac:dyDescent="0.2">
      <c r="V2166" s="112"/>
      <c r="X2166" s="112"/>
      <c r="Y2166" s="112"/>
    </row>
    <row r="2167" spans="22:25" x14ac:dyDescent="0.2">
      <c r="V2167" s="112"/>
      <c r="X2167" s="112"/>
      <c r="Y2167" s="112"/>
    </row>
    <row r="2168" spans="22:25" x14ac:dyDescent="0.2">
      <c r="V2168" s="112"/>
      <c r="X2168" s="112"/>
      <c r="Y2168" s="112"/>
    </row>
    <row r="2169" spans="22:25" x14ac:dyDescent="0.2">
      <c r="V2169" s="112"/>
      <c r="X2169" s="112"/>
      <c r="Y2169" s="112"/>
    </row>
    <row r="2170" spans="22:25" x14ac:dyDescent="0.2">
      <c r="V2170" s="112"/>
      <c r="X2170" s="112"/>
      <c r="Y2170" s="112"/>
    </row>
    <row r="2171" spans="22:25" x14ac:dyDescent="0.2">
      <c r="V2171" s="112"/>
      <c r="X2171" s="112"/>
      <c r="Y2171" s="112"/>
    </row>
    <row r="2172" spans="22:25" x14ac:dyDescent="0.2">
      <c r="V2172" s="112"/>
      <c r="X2172" s="112"/>
      <c r="Y2172" s="112"/>
    </row>
    <row r="2173" spans="22:25" x14ac:dyDescent="0.2">
      <c r="V2173" s="112"/>
      <c r="X2173" s="112"/>
      <c r="Y2173" s="112"/>
    </row>
    <row r="2174" spans="22:25" x14ac:dyDescent="0.2">
      <c r="V2174" s="112"/>
      <c r="X2174" s="112"/>
      <c r="Y2174" s="112"/>
    </row>
    <row r="2175" spans="22:25" x14ac:dyDescent="0.2">
      <c r="V2175" s="112"/>
      <c r="X2175" s="112"/>
      <c r="Y2175" s="112"/>
    </row>
    <row r="2176" spans="22:25" x14ac:dyDescent="0.2">
      <c r="V2176" s="112"/>
      <c r="X2176" s="112"/>
      <c r="Y2176" s="112"/>
    </row>
    <row r="2177" spans="22:25" x14ac:dyDescent="0.2">
      <c r="V2177" s="112"/>
      <c r="X2177" s="112"/>
      <c r="Y2177" s="112"/>
    </row>
    <row r="2178" spans="22:25" x14ac:dyDescent="0.2">
      <c r="V2178" s="112"/>
      <c r="X2178" s="112"/>
      <c r="Y2178" s="112"/>
    </row>
    <row r="2179" spans="22:25" x14ac:dyDescent="0.2">
      <c r="V2179" s="112"/>
      <c r="X2179" s="112"/>
      <c r="Y2179" s="112"/>
    </row>
    <row r="2180" spans="22:25" x14ac:dyDescent="0.2">
      <c r="V2180" s="112"/>
      <c r="X2180" s="112"/>
      <c r="Y2180" s="112"/>
    </row>
    <row r="2181" spans="22:25" x14ac:dyDescent="0.2">
      <c r="V2181" s="112"/>
      <c r="X2181" s="112"/>
      <c r="Y2181" s="112"/>
    </row>
    <row r="2182" spans="22:25" x14ac:dyDescent="0.2">
      <c r="V2182" s="112"/>
      <c r="X2182" s="112"/>
      <c r="Y2182" s="112"/>
    </row>
    <row r="2183" spans="22:25" x14ac:dyDescent="0.2">
      <c r="V2183" s="112"/>
      <c r="X2183" s="112"/>
      <c r="Y2183" s="112"/>
    </row>
    <row r="2184" spans="22:25" x14ac:dyDescent="0.2">
      <c r="V2184" s="112"/>
      <c r="X2184" s="112"/>
      <c r="Y2184" s="112"/>
    </row>
    <row r="2185" spans="22:25" x14ac:dyDescent="0.2">
      <c r="V2185" s="112"/>
      <c r="X2185" s="112"/>
      <c r="Y2185" s="112"/>
    </row>
    <row r="2186" spans="22:25" x14ac:dyDescent="0.2">
      <c r="V2186" s="112"/>
      <c r="X2186" s="112"/>
      <c r="Y2186" s="112"/>
    </row>
    <row r="2187" spans="22:25" x14ac:dyDescent="0.2">
      <c r="V2187" s="112"/>
      <c r="X2187" s="112"/>
      <c r="Y2187" s="112"/>
    </row>
    <row r="2188" spans="22:25" x14ac:dyDescent="0.2">
      <c r="V2188" s="112"/>
      <c r="X2188" s="112"/>
      <c r="Y2188" s="112"/>
    </row>
    <row r="2189" spans="22:25" x14ac:dyDescent="0.2">
      <c r="V2189" s="112"/>
      <c r="X2189" s="112"/>
      <c r="Y2189" s="112"/>
    </row>
    <row r="2190" spans="22:25" x14ac:dyDescent="0.2">
      <c r="V2190" s="112"/>
      <c r="X2190" s="112"/>
      <c r="Y2190" s="112"/>
    </row>
    <row r="2191" spans="22:25" x14ac:dyDescent="0.2">
      <c r="V2191" s="112"/>
      <c r="X2191" s="112"/>
      <c r="Y2191" s="112"/>
    </row>
    <row r="2192" spans="22:25" x14ac:dyDescent="0.2">
      <c r="V2192" s="112"/>
      <c r="X2192" s="112"/>
      <c r="Y2192" s="112"/>
    </row>
    <row r="2193" spans="22:25" x14ac:dyDescent="0.2">
      <c r="V2193" s="112"/>
      <c r="X2193" s="112"/>
      <c r="Y2193" s="112"/>
    </row>
    <row r="2194" spans="22:25" x14ac:dyDescent="0.2">
      <c r="V2194" s="112"/>
      <c r="X2194" s="112"/>
      <c r="Y2194" s="112"/>
    </row>
    <row r="2195" spans="22:25" x14ac:dyDescent="0.2">
      <c r="V2195" s="112"/>
      <c r="X2195" s="112"/>
      <c r="Y2195" s="112"/>
    </row>
    <row r="2196" spans="22:25" x14ac:dyDescent="0.2">
      <c r="V2196" s="112"/>
      <c r="X2196" s="112"/>
      <c r="Y2196" s="112"/>
    </row>
    <row r="2197" spans="22:25" x14ac:dyDescent="0.2">
      <c r="V2197" s="112"/>
      <c r="X2197" s="112"/>
      <c r="Y2197" s="112"/>
    </row>
    <row r="2198" spans="22:25" x14ac:dyDescent="0.2">
      <c r="V2198" s="112"/>
      <c r="X2198" s="112"/>
      <c r="Y2198" s="112"/>
    </row>
    <row r="2199" spans="22:25" x14ac:dyDescent="0.2">
      <c r="V2199" s="112"/>
      <c r="X2199" s="112"/>
      <c r="Y2199" s="112"/>
    </row>
    <row r="2200" spans="22:25" x14ac:dyDescent="0.2">
      <c r="V2200" s="112"/>
      <c r="X2200" s="112"/>
      <c r="Y2200" s="112"/>
    </row>
    <row r="2201" spans="22:25" x14ac:dyDescent="0.2">
      <c r="V2201" s="112"/>
      <c r="X2201" s="112"/>
      <c r="Y2201" s="112"/>
    </row>
    <row r="2202" spans="22:25" x14ac:dyDescent="0.2">
      <c r="V2202" s="112"/>
      <c r="X2202" s="112"/>
      <c r="Y2202" s="112"/>
    </row>
    <row r="2203" spans="22:25" x14ac:dyDescent="0.2">
      <c r="V2203" s="112"/>
      <c r="X2203" s="112"/>
      <c r="Y2203" s="112"/>
    </row>
    <row r="2204" spans="22:25" x14ac:dyDescent="0.2">
      <c r="V2204" s="112"/>
      <c r="X2204" s="112"/>
      <c r="Y2204" s="112"/>
    </row>
    <row r="2205" spans="22:25" x14ac:dyDescent="0.2">
      <c r="V2205" s="112"/>
      <c r="X2205" s="112"/>
      <c r="Y2205" s="112"/>
    </row>
    <row r="2206" spans="22:25" x14ac:dyDescent="0.2">
      <c r="V2206" s="112"/>
      <c r="X2206" s="112"/>
      <c r="Y2206" s="112"/>
    </row>
    <row r="2207" spans="22:25" x14ac:dyDescent="0.2">
      <c r="V2207" s="112"/>
      <c r="X2207" s="112"/>
      <c r="Y2207" s="112"/>
    </row>
    <row r="2208" spans="22:25" x14ac:dyDescent="0.2">
      <c r="V2208" s="112"/>
      <c r="X2208" s="112"/>
      <c r="Y2208" s="112"/>
    </row>
    <row r="2209" spans="22:25" x14ac:dyDescent="0.2">
      <c r="V2209" s="112"/>
      <c r="X2209" s="112"/>
      <c r="Y2209" s="112"/>
    </row>
    <row r="2210" spans="22:25" x14ac:dyDescent="0.2">
      <c r="V2210" s="112"/>
      <c r="X2210" s="112"/>
      <c r="Y2210" s="112"/>
    </row>
    <row r="2211" spans="22:25" x14ac:dyDescent="0.2">
      <c r="V2211" s="112"/>
      <c r="X2211" s="112"/>
      <c r="Y2211" s="112"/>
    </row>
    <row r="2212" spans="22:25" x14ac:dyDescent="0.2">
      <c r="V2212" s="112"/>
      <c r="X2212" s="112"/>
      <c r="Y2212" s="112"/>
    </row>
    <row r="2213" spans="22:25" x14ac:dyDescent="0.2">
      <c r="V2213" s="112"/>
      <c r="X2213" s="112"/>
      <c r="Y2213" s="112"/>
    </row>
    <row r="2214" spans="22:25" x14ac:dyDescent="0.2">
      <c r="V2214" s="112"/>
      <c r="X2214" s="112"/>
      <c r="Y2214" s="112"/>
    </row>
    <row r="2215" spans="22:25" x14ac:dyDescent="0.2">
      <c r="V2215" s="112"/>
      <c r="X2215" s="112"/>
      <c r="Y2215" s="112"/>
    </row>
    <row r="2216" spans="22:25" x14ac:dyDescent="0.2">
      <c r="V2216" s="112"/>
      <c r="X2216" s="112"/>
      <c r="Y2216" s="112"/>
    </row>
    <row r="2217" spans="22:25" x14ac:dyDescent="0.2">
      <c r="V2217" s="112"/>
      <c r="X2217" s="112"/>
      <c r="Y2217" s="112"/>
    </row>
    <row r="2218" spans="22:25" x14ac:dyDescent="0.2">
      <c r="V2218" s="112"/>
      <c r="X2218" s="112"/>
      <c r="Y2218" s="112"/>
    </row>
    <row r="2219" spans="22:25" x14ac:dyDescent="0.2">
      <c r="V2219" s="112"/>
      <c r="X2219" s="112"/>
      <c r="Y2219" s="112"/>
    </row>
    <row r="2220" spans="22:25" x14ac:dyDescent="0.2">
      <c r="V2220" s="112"/>
      <c r="X2220" s="112"/>
      <c r="Y2220" s="112"/>
    </row>
    <row r="2221" spans="22:25" x14ac:dyDescent="0.2">
      <c r="V2221" s="112"/>
      <c r="X2221" s="112"/>
      <c r="Y2221" s="112"/>
    </row>
    <row r="2222" spans="22:25" x14ac:dyDescent="0.2">
      <c r="V2222" s="112"/>
      <c r="X2222" s="112"/>
      <c r="Y2222" s="112"/>
    </row>
    <row r="2223" spans="22:25" x14ac:dyDescent="0.2">
      <c r="V2223" s="112"/>
      <c r="X2223" s="112"/>
      <c r="Y2223" s="112"/>
    </row>
    <row r="2224" spans="22:25" x14ac:dyDescent="0.2">
      <c r="V2224" s="112"/>
      <c r="X2224" s="112"/>
      <c r="Y2224" s="112"/>
    </row>
    <row r="2225" spans="22:25" x14ac:dyDescent="0.2">
      <c r="V2225" s="112"/>
      <c r="X2225" s="112"/>
      <c r="Y2225" s="112"/>
    </row>
    <row r="2226" spans="22:25" x14ac:dyDescent="0.2">
      <c r="V2226" s="112"/>
      <c r="X2226" s="112"/>
      <c r="Y2226" s="112"/>
    </row>
    <row r="2227" spans="22:25" x14ac:dyDescent="0.2">
      <c r="V2227" s="112"/>
      <c r="X2227" s="112"/>
      <c r="Y2227" s="112"/>
    </row>
    <row r="2228" spans="22:25" x14ac:dyDescent="0.2">
      <c r="V2228" s="112"/>
      <c r="X2228" s="112"/>
      <c r="Y2228" s="112"/>
    </row>
    <row r="2229" spans="22:25" x14ac:dyDescent="0.2">
      <c r="V2229" s="112"/>
      <c r="X2229" s="112"/>
      <c r="Y2229" s="112"/>
    </row>
    <row r="2230" spans="22:25" x14ac:dyDescent="0.2">
      <c r="V2230" s="112"/>
      <c r="X2230" s="112"/>
      <c r="Y2230" s="112"/>
    </row>
    <row r="2231" spans="22:25" x14ac:dyDescent="0.2">
      <c r="V2231" s="112"/>
      <c r="X2231" s="112"/>
      <c r="Y2231" s="112"/>
    </row>
    <row r="2232" spans="22:25" x14ac:dyDescent="0.2">
      <c r="V2232" s="112"/>
      <c r="X2232" s="112"/>
      <c r="Y2232" s="112"/>
    </row>
    <row r="2233" spans="22:25" x14ac:dyDescent="0.2">
      <c r="V2233" s="112"/>
      <c r="X2233" s="112"/>
      <c r="Y2233" s="112"/>
    </row>
    <row r="2234" spans="22:25" x14ac:dyDescent="0.2">
      <c r="V2234" s="112"/>
      <c r="X2234" s="112"/>
      <c r="Y2234" s="112"/>
    </row>
    <row r="2235" spans="22:25" x14ac:dyDescent="0.2">
      <c r="V2235" s="112"/>
      <c r="X2235" s="112"/>
      <c r="Y2235" s="112"/>
    </row>
    <row r="2236" spans="22:25" x14ac:dyDescent="0.2">
      <c r="V2236" s="112"/>
      <c r="X2236" s="112"/>
      <c r="Y2236" s="112"/>
    </row>
    <row r="2237" spans="22:25" x14ac:dyDescent="0.2">
      <c r="V2237" s="112"/>
      <c r="X2237" s="112"/>
      <c r="Y2237" s="112"/>
    </row>
    <row r="2238" spans="22:25" x14ac:dyDescent="0.2">
      <c r="V2238" s="112"/>
      <c r="X2238" s="112"/>
      <c r="Y2238" s="112"/>
    </row>
    <row r="2239" spans="22:25" x14ac:dyDescent="0.2">
      <c r="V2239" s="112"/>
      <c r="X2239" s="112"/>
      <c r="Y2239" s="112"/>
    </row>
    <row r="2240" spans="22:25" x14ac:dyDescent="0.2">
      <c r="V2240" s="112"/>
      <c r="X2240" s="112"/>
      <c r="Y2240" s="112"/>
    </row>
    <row r="2241" spans="22:25" x14ac:dyDescent="0.2">
      <c r="V2241" s="112"/>
      <c r="X2241" s="112"/>
      <c r="Y2241" s="112"/>
    </row>
    <row r="2242" spans="22:25" x14ac:dyDescent="0.2">
      <c r="V2242" s="112"/>
      <c r="X2242" s="112"/>
      <c r="Y2242" s="112"/>
    </row>
    <row r="2243" spans="22:25" x14ac:dyDescent="0.2">
      <c r="V2243" s="112"/>
      <c r="X2243" s="112"/>
      <c r="Y2243" s="112"/>
    </row>
    <row r="2244" spans="22:25" x14ac:dyDescent="0.2">
      <c r="V2244" s="112"/>
      <c r="X2244" s="112"/>
      <c r="Y2244" s="112"/>
    </row>
    <row r="2245" spans="22:25" x14ac:dyDescent="0.2">
      <c r="V2245" s="112"/>
      <c r="X2245" s="112"/>
      <c r="Y2245" s="112"/>
    </row>
    <row r="2246" spans="22:25" x14ac:dyDescent="0.2">
      <c r="V2246" s="112"/>
      <c r="X2246" s="112"/>
      <c r="Y2246" s="112"/>
    </row>
    <row r="2247" spans="22:25" x14ac:dyDescent="0.2">
      <c r="V2247" s="112"/>
      <c r="X2247" s="112"/>
      <c r="Y2247" s="112"/>
    </row>
    <row r="2248" spans="22:25" x14ac:dyDescent="0.2">
      <c r="V2248" s="112"/>
      <c r="X2248" s="112"/>
      <c r="Y2248" s="112"/>
    </row>
    <row r="2249" spans="22:25" x14ac:dyDescent="0.2">
      <c r="V2249" s="112"/>
      <c r="X2249" s="112"/>
      <c r="Y2249" s="112"/>
    </row>
    <row r="2250" spans="22:25" x14ac:dyDescent="0.2">
      <c r="V2250" s="112"/>
      <c r="X2250" s="112"/>
      <c r="Y2250" s="112"/>
    </row>
    <row r="2251" spans="22:25" x14ac:dyDescent="0.2">
      <c r="V2251" s="112"/>
      <c r="X2251" s="112"/>
      <c r="Y2251" s="112"/>
    </row>
    <row r="2252" spans="22:25" x14ac:dyDescent="0.2">
      <c r="V2252" s="112"/>
      <c r="X2252" s="112"/>
      <c r="Y2252" s="112"/>
    </row>
    <row r="2253" spans="22:25" x14ac:dyDescent="0.2">
      <c r="V2253" s="112"/>
      <c r="X2253" s="112"/>
      <c r="Y2253" s="112"/>
    </row>
    <row r="2254" spans="22:25" x14ac:dyDescent="0.2">
      <c r="V2254" s="112"/>
      <c r="X2254" s="112"/>
      <c r="Y2254" s="112"/>
    </row>
    <row r="2255" spans="22:25" x14ac:dyDescent="0.2">
      <c r="V2255" s="112"/>
      <c r="X2255" s="112"/>
      <c r="Y2255" s="112"/>
    </row>
    <row r="2256" spans="22:25" x14ac:dyDescent="0.2">
      <c r="V2256" s="112"/>
      <c r="X2256" s="112"/>
      <c r="Y2256" s="112"/>
    </row>
    <row r="2257" spans="22:25" x14ac:dyDescent="0.2">
      <c r="V2257" s="112"/>
      <c r="X2257" s="112"/>
      <c r="Y2257" s="112"/>
    </row>
    <row r="2258" spans="22:25" x14ac:dyDescent="0.2">
      <c r="V2258" s="112"/>
      <c r="X2258" s="112"/>
      <c r="Y2258" s="112"/>
    </row>
    <row r="2259" spans="22:25" x14ac:dyDescent="0.2">
      <c r="V2259" s="112"/>
      <c r="X2259" s="112"/>
      <c r="Y2259" s="112"/>
    </row>
    <row r="2260" spans="22:25" x14ac:dyDescent="0.2">
      <c r="V2260" s="112"/>
      <c r="X2260" s="112"/>
      <c r="Y2260" s="112"/>
    </row>
    <row r="2261" spans="22:25" x14ac:dyDescent="0.2">
      <c r="V2261" s="112"/>
      <c r="X2261" s="112"/>
      <c r="Y2261" s="112"/>
    </row>
    <row r="2262" spans="22:25" x14ac:dyDescent="0.2">
      <c r="V2262" s="112"/>
      <c r="X2262" s="112"/>
      <c r="Y2262" s="112"/>
    </row>
    <row r="2263" spans="22:25" x14ac:dyDescent="0.2">
      <c r="V2263" s="112"/>
      <c r="X2263" s="112"/>
      <c r="Y2263" s="112"/>
    </row>
    <row r="2264" spans="22:25" x14ac:dyDescent="0.2">
      <c r="V2264" s="112"/>
      <c r="X2264" s="112"/>
      <c r="Y2264" s="112"/>
    </row>
    <row r="2265" spans="22:25" x14ac:dyDescent="0.2">
      <c r="V2265" s="112"/>
      <c r="X2265" s="112"/>
      <c r="Y2265" s="112"/>
    </row>
    <row r="2266" spans="22:25" x14ac:dyDescent="0.2">
      <c r="V2266" s="112"/>
      <c r="X2266" s="112"/>
      <c r="Y2266" s="112"/>
    </row>
    <row r="2267" spans="22:25" x14ac:dyDescent="0.2">
      <c r="V2267" s="112"/>
      <c r="X2267" s="112"/>
      <c r="Y2267" s="112"/>
    </row>
    <row r="2268" spans="22:25" x14ac:dyDescent="0.2">
      <c r="V2268" s="112"/>
      <c r="X2268" s="112"/>
      <c r="Y2268" s="112"/>
    </row>
    <row r="2269" spans="22:25" x14ac:dyDescent="0.2">
      <c r="V2269" s="112"/>
      <c r="X2269" s="112"/>
      <c r="Y2269" s="112"/>
    </row>
    <row r="2270" spans="22:25" x14ac:dyDescent="0.2">
      <c r="V2270" s="112"/>
      <c r="X2270" s="112"/>
      <c r="Y2270" s="112"/>
    </row>
    <row r="2271" spans="22:25" x14ac:dyDescent="0.2">
      <c r="V2271" s="112"/>
      <c r="X2271" s="112"/>
      <c r="Y2271" s="112"/>
    </row>
    <row r="2272" spans="22:25" x14ac:dyDescent="0.2">
      <c r="V2272" s="112"/>
      <c r="X2272" s="112"/>
      <c r="Y2272" s="112"/>
    </row>
    <row r="2273" spans="22:25" x14ac:dyDescent="0.2">
      <c r="V2273" s="112"/>
      <c r="X2273" s="112"/>
      <c r="Y2273" s="112"/>
    </row>
    <row r="2274" spans="22:25" x14ac:dyDescent="0.2">
      <c r="V2274" s="112"/>
      <c r="X2274" s="112"/>
      <c r="Y2274" s="112"/>
    </row>
    <row r="2275" spans="22:25" x14ac:dyDescent="0.2">
      <c r="V2275" s="112"/>
      <c r="X2275" s="112"/>
      <c r="Y2275" s="112"/>
    </row>
    <row r="2276" spans="22:25" x14ac:dyDescent="0.2">
      <c r="V2276" s="112"/>
      <c r="X2276" s="112"/>
      <c r="Y2276" s="112"/>
    </row>
    <row r="2277" spans="22:25" x14ac:dyDescent="0.2">
      <c r="V2277" s="112"/>
      <c r="X2277" s="112"/>
      <c r="Y2277" s="112"/>
    </row>
    <row r="2278" spans="22:25" x14ac:dyDescent="0.2">
      <c r="V2278" s="112"/>
      <c r="X2278" s="112"/>
      <c r="Y2278" s="112"/>
    </row>
    <row r="2279" spans="22:25" x14ac:dyDescent="0.2">
      <c r="V2279" s="112"/>
      <c r="X2279" s="112"/>
      <c r="Y2279" s="112"/>
    </row>
    <row r="2280" spans="22:25" x14ac:dyDescent="0.2">
      <c r="V2280" s="112"/>
      <c r="X2280" s="112"/>
      <c r="Y2280" s="112"/>
    </row>
    <row r="2281" spans="22:25" x14ac:dyDescent="0.2">
      <c r="V2281" s="112"/>
      <c r="X2281" s="112"/>
      <c r="Y2281" s="112"/>
    </row>
    <row r="2282" spans="22:25" x14ac:dyDescent="0.2">
      <c r="V2282" s="112"/>
      <c r="X2282" s="112"/>
      <c r="Y2282" s="112"/>
    </row>
    <row r="2283" spans="22:25" x14ac:dyDescent="0.2">
      <c r="V2283" s="112"/>
      <c r="X2283" s="112"/>
      <c r="Y2283" s="112"/>
    </row>
    <row r="2284" spans="22:25" x14ac:dyDescent="0.2">
      <c r="V2284" s="112"/>
      <c r="X2284" s="112"/>
      <c r="Y2284" s="112"/>
    </row>
    <row r="2285" spans="22:25" x14ac:dyDescent="0.2">
      <c r="V2285" s="112"/>
      <c r="X2285" s="112"/>
      <c r="Y2285" s="112"/>
    </row>
    <row r="2286" spans="22:25" x14ac:dyDescent="0.2">
      <c r="V2286" s="112"/>
      <c r="X2286" s="112"/>
      <c r="Y2286" s="112"/>
    </row>
    <row r="2287" spans="22:25" x14ac:dyDescent="0.2">
      <c r="V2287" s="112"/>
      <c r="X2287" s="112"/>
      <c r="Y2287" s="112"/>
    </row>
    <row r="2288" spans="22:25" x14ac:dyDescent="0.2">
      <c r="V2288" s="112"/>
      <c r="X2288" s="112"/>
      <c r="Y2288" s="112"/>
    </row>
    <row r="2289" spans="22:25" x14ac:dyDescent="0.2">
      <c r="V2289" s="112"/>
      <c r="X2289" s="112"/>
      <c r="Y2289" s="112"/>
    </row>
    <row r="2290" spans="22:25" x14ac:dyDescent="0.2">
      <c r="V2290" s="112"/>
      <c r="X2290" s="112"/>
      <c r="Y2290" s="112"/>
    </row>
    <row r="2291" spans="22:25" x14ac:dyDescent="0.2">
      <c r="V2291" s="112"/>
      <c r="X2291" s="112"/>
      <c r="Y2291" s="112"/>
    </row>
    <row r="2292" spans="22:25" x14ac:dyDescent="0.2">
      <c r="V2292" s="112"/>
      <c r="X2292" s="112"/>
      <c r="Y2292" s="112"/>
    </row>
    <row r="2293" spans="22:25" x14ac:dyDescent="0.2">
      <c r="V2293" s="112"/>
      <c r="X2293" s="112"/>
      <c r="Y2293" s="112"/>
    </row>
    <row r="2294" spans="22:25" x14ac:dyDescent="0.2">
      <c r="V2294" s="112"/>
      <c r="X2294" s="112"/>
      <c r="Y2294" s="112"/>
    </row>
    <row r="2295" spans="22:25" x14ac:dyDescent="0.2">
      <c r="V2295" s="112"/>
      <c r="X2295" s="112"/>
      <c r="Y2295" s="112"/>
    </row>
    <row r="2296" spans="22:25" x14ac:dyDescent="0.2">
      <c r="V2296" s="112"/>
      <c r="X2296" s="112"/>
      <c r="Y2296" s="112"/>
    </row>
    <row r="2297" spans="22:25" x14ac:dyDescent="0.2">
      <c r="V2297" s="112"/>
      <c r="X2297" s="112"/>
      <c r="Y2297" s="112"/>
    </row>
    <row r="2298" spans="22:25" x14ac:dyDescent="0.2">
      <c r="V2298" s="112"/>
      <c r="X2298" s="112"/>
      <c r="Y2298" s="112"/>
    </row>
    <row r="2299" spans="22:25" x14ac:dyDescent="0.2">
      <c r="V2299" s="112"/>
      <c r="X2299" s="112"/>
      <c r="Y2299" s="112"/>
    </row>
    <row r="2300" spans="22:25" x14ac:dyDescent="0.2">
      <c r="V2300" s="112"/>
      <c r="X2300" s="112"/>
      <c r="Y2300" s="112"/>
    </row>
    <row r="2301" spans="22:25" x14ac:dyDescent="0.2">
      <c r="V2301" s="112"/>
      <c r="X2301" s="112"/>
      <c r="Y2301" s="112"/>
    </row>
    <row r="2302" spans="22:25" x14ac:dyDescent="0.2">
      <c r="V2302" s="112"/>
      <c r="X2302" s="112"/>
      <c r="Y2302" s="112"/>
    </row>
    <row r="2303" spans="22:25" x14ac:dyDescent="0.2">
      <c r="V2303" s="112"/>
      <c r="X2303" s="112"/>
      <c r="Y2303" s="112"/>
    </row>
    <row r="2304" spans="22:25" x14ac:dyDescent="0.2">
      <c r="V2304" s="112"/>
      <c r="X2304" s="112"/>
      <c r="Y2304" s="112"/>
    </row>
    <row r="2305" spans="22:25" x14ac:dyDescent="0.2">
      <c r="V2305" s="112"/>
      <c r="X2305" s="112"/>
      <c r="Y2305" s="112"/>
    </row>
    <row r="2306" spans="22:25" x14ac:dyDescent="0.2">
      <c r="V2306" s="112"/>
      <c r="X2306" s="112"/>
      <c r="Y2306" s="112"/>
    </row>
    <row r="2307" spans="22:25" x14ac:dyDescent="0.2">
      <c r="V2307" s="112"/>
      <c r="X2307" s="112"/>
      <c r="Y2307" s="112"/>
    </row>
    <row r="2308" spans="22:25" x14ac:dyDescent="0.2">
      <c r="V2308" s="112"/>
      <c r="X2308" s="112"/>
      <c r="Y2308" s="112"/>
    </row>
    <row r="2309" spans="22:25" x14ac:dyDescent="0.2">
      <c r="V2309" s="112"/>
      <c r="X2309" s="112"/>
      <c r="Y2309" s="112"/>
    </row>
    <row r="2310" spans="22:25" x14ac:dyDescent="0.2">
      <c r="V2310" s="112"/>
      <c r="X2310" s="112"/>
      <c r="Y2310" s="112"/>
    </row>
    <row r="2311" spans="22:25" x14ac:dyDescent="0.2">
      <c r="V2311" s="112"/>
      <c r="X2311" s="112"/>
      <c r="Y2311" s="112"/>
    </row>
    <row r="2312" spans="22:25" x14ac:dyDescent="0.2">
      <c r="V2312" s="112"/>
      <c r="X2312" s="112"/>
      <c r="Y2312" s="112"/>
    </row>
    <row r="2313" spans="22:25" x14ac:dyDescent="0.2">
      <c r="V2313" s="112"/>
      <c r="X2313" s="112"/>
      <c r="Y2313" s="112"/>
    </row>
    <row r="2314" spans="22:25" x14ac:dyDescent="0.2">
      <c r="V2314" s="112"/>
      <c r="X2314" s="112"/>
      <c r="Y2314" s="112"/>
    </row>
    <row r="2315" spans="22:25" x14ac:dyDescent="0.2">
      <c r="V2315" s="112"/>
      <c r="X2315" s="112"/>
      <c r="Y2315" s="112"/>
    </row>
    <row r="2316" spans="22:25" x14ac:dyDescent="0.2">
      <c r="V2316" s="112"/>
      <c r="X2316" s="112"/>
      <c r="Y2316" s="112"/>
    </row>
    <row r="2317" spans="22:25" x14ac:dyDescent="0.2">
      <c r="V2317" s="112"/>
      <c r="X2317" s="112"/>
      <c r="Y2317" s="112"/>
    </row>
    <row r="2318" spans="22:25" x14ac:dyDescent="0.2">
      <c r="V2318" s="112"/>
      <c r="X2318" s="112"/>
      <c r="Y2318" s="112"/>
    </row>
    <row r="2319" spans="22:25" x14ac:dyDescent="0.2">
      <c r="V2319" s="112"/>
      <c r="X2319" s="112"/>
      <c r="Y2319" s="112"/>
    </row>
    <row r="2320" spans="22:25" x14ac:dyDescent="0.2">
      <c r="V2320" s="112"/>
      <c r="X2320" s="112"/>
      <c r="Y2320" s="112"/>
    </row>
    <row r="2321" spans="22:25" x14ac:dyDescent="0.2">
      <c r="V2321" s="112"/>
      <c r="X2321" s="112"/>
      <c r="Y2321" s="112"/>
    </row>
    <row r="2322" spans="22:25" x14ac:dyDescent="0.2">
      <c r="V2322" s="112"/>
      <c r="X2322" s="112"/>
      <c r="Y2322" s="112"/>
    </row>
    <row r="2323" spans="22:25" x14ac:dyDescent="0.2">
      <c r="V2323" s="112"/>
      <c r="X2323" s="112"/>
      <c r="Y2323" s="112"/>
    </row>
    <row r="2324" spans="22:25" x14ac:dyDescent="0.2">
      <c r="V2324" s="112"/>
      <c r="X2324" s="112"/>
      <c r="Y2324" s="112"/>
    </row>
    <row r="2325" spans="22:25" x14ac:dyDescent="0.2">
      <c r="V2325" s="112"/>
      <c r="X2325" s="112"/>
      <c r="Y2325" s="112"/>
    </row>
    <row r="2326" spans="22:25" x14ac:dyDescent="0.2">
      <c r="V2326" s="112"/>
      <c r="X2326" s="112"/>
      <c r="Y2326" s="112"/>
    </row>
    <row r="2327" spans="22:25" x14ac:dyDescent="0.2">
      <c r="V2327" s="112"/>
      <c r="X2327" s="112"/>
      <c r="Y2327" s="112"/>
    </row>
    <row r="2328" spans="22:25" x14ac:dyDescent="0.2">
      <c r="V2328" s="112"/>
      <c r="X2328" s="112"/>
      <c r="Y2328" s="112"/>
    </row>
    <row r="2329" spans="22:25" x14ac:dyDescent="0.2">
      <c r="V2329" s="112"/>
      <c r="X2329" s="112"/>
      <c r="Y2329" s="112"/>
    </row>
    <row r="2330" spans="22:25" x14ac:dyDescent="0.2">
      <c r="V2330" s="112"/>
      <c r="X2330" s="112"/>
      <c r="Y2330" s="112"/>
    </row>
    <row r="2331" spans="22:25" x14ac:dyDescent="0.2">
      <c r="V2331" s="112"/>
      <c r="X2331" s="112"/>
      <c r="Y2331" s="112"/>
    </row>
    <row r="2332" spans="22:25" x14ac:dyDescent="0.2">
      <c r="V2332" s="112"/>
      <c r="X2332" s="112"/>
      <c r="Y2332" s="112"/>
    </row>
    <row r="2333" spans="22:25" x14ac:dyDescent="0.2">
      <c r="V2333" s="112"/>
      <c r="X2333" s="112"/>
      <c r="Y2333" s="112"/>
    </row>
    <row r="2334" spans="22:25" x14ac:dyDescent="0.2">
      <c r="V2334" s="112"/>
      <c r="X2334" s="112"/>
      <c r="Y2334" s="112"/>
    </row>
    <row r="2335" spans="22:25" x14ac:dyDescent="0.2">
      <c r="V2335" s="112"/>
      <c r="X2335" s="112"/>
      <c r="Y2335" s="112"/>
    </row>
    <row r="2336" spans="22:25" x14ac:dyDescent="0.2">
      <c r="V2336" s="112"/>
      <c r="X2336" s="112"/>
      <c r="Y2336" s="112"/>
    </row>
    <row r="2337" spans="22:25" x14ac:dyDescent="0.2">
      <c r="V2337" s="112"/>
      <c r="X2337" s="112"/>
      <c r="Y2337" s="112"/>
    </row>
    <row r="2338" spans="22:25" x14ac:dyDescent="0.2">
      <c r="V2338" s="112"/>
      <c r="X2338" s="112"/>
      <c r="Y2338" s="112"/>
    </row>
    <row r="2339" spans="22:25" x14ac:dyDescent="0.2">
      <c r="V2339" s="112"/>
      <c r="X2339" s="112"/>
      <c r="Y2339" s="112"/>
    </row>
    <row r="2340" spans="22:25" x14ac:dyDescent="0.2">
      <c r="V2340" s="112"/>
      <c r="X2340" s="112"/>
      <c r="Y2340" s="112"/>
    </row>
    <row r="2341" spans="22:25" x14ac:dyDescent="0.2">
      <c r="V2341" s="112"/>
      <c r="X2341" s="112"/>
      <c r="Y2341" s="112"/>
    </row>
    <row r="2342" spans="22:25" x14ac:dyDescent="0.2">
      <c r="V2342" s="112"/>
      <c r="X2342" s="112"/>
      <c r="Y2342" s="112"/>
    </row>
    <row r="2343" spans="22:25" x14ac:dyDescent="0.2">
      <c r="V2343" s="112"/>
      <c r="X2343" s="112"/>
      <c r="Y2343" s="112"/>
    </row>
    <row r="2344" spans="22:25" x14ac:dyDescent="0.2">
      <c r="V2344" s="112"/>
      <c r="X2344" s="112"/>
      <c r="Y2344" s="112"/>
    </row>
    <row r="2345" spans="22:25" x14ac:dyDescent="0.2">
      <c r="V2345" s="112"/>
      <c r="X2345" s="112"/>
      <c r="Y2345" s="112"/>
    </row>
    <row r="2346" spans="22:25" x14ac:dyDescent="0.2">
      <c r="V2346" s="112"/>
      <c r="X2346" s="112"/>
      <c r="Y2346" s="112"/>
    </row>
    <row r="2347" spans="22:25" x14ac:dyDescent="0.2">
      <c r="V2347" s="112"/>
      <c r="X2347" s="112"/>
      <c r="Y2347" s="112"/>
    </row>
    <row r="2348" spans="22:25" x14ac:dyDescent="0.2">
      <c r="V2348" s="112"/>
      <c r="X2348" s="112"/>
      <c r="Y2348" s="112"/>
    </row>
    <row r="2349" spans="22:25" x14ac:dyDescent="0.2">
      <c r="V2349" s="112"/>
      <c r="X2349" s="112"/>
      <c r="Y2349" s="112"/>
    </row>
    <row r="2350" spans="22:25" x14ac:dyDescent="0.2">
      <c r="V2350" s="112"/>
      <c r="X2350" s="112"/>
      <c r="Y2350" s="112"/>
    </row>
    <row r="2351" spans="22:25" x14ac:dyDescent="0.2">
      <c r="V2351" s="112"/>
      <c r="X2351" s="112"/>
      <c r="Y2351" s="112"/>
    </row>
    <row r="2352" spans="22:25" x14ac:dyDescent="0.2">
      <c r="V2352" s="112"/>
      <c r="X2352" s="112"/>
      <c r="Y2352" s="112"/>
    </row>
    <row r="2353" spans="22:25" x14ac:dyDescent="0.2">
      <c r="V2353" s="112"/>
      <c r="X2353" s="112"/>
      <c r="Y2353" s="112"/>
    </row>
    <row r="2354" spans="22:25" x14ac:dyDescent="0.2">
      <c r="V2354" s="112"/>
      <c r="X2354" s="112"/>
      <c r="Y2354" s="112"/>
    </row>
    <row r="2355" spans="22:25" x14ac:dyDescent="0.2">
      <c r="V2355" s="112"/>
      <c r="X2355" s="112"/>
      <c r="Y2355" s="112"/>
    </row>
    <row r="2356" spans="22:25" x14ac:dyDescent="0.2">
      <c r="V2356" s="112"/>
      <c r="X2356" s="112"/>
      <c r="Y2356" s="112"/>
    </row>
    <row r="2357" spans="22:25" x14ac:dyDescent="0.2">
      <c r="V2357" s="112"/>
      <c r="X2357" s="112"/>
      <c r="Y2357" s="112"/>
    </row>
    <row r="2358" spans="22:25" x14ac:dyDescent="0.2">
      <c r="V2358" s="112"/>
      <c r="X2358" s="112"/>
      <c r="Y2358" s="112"/>
    </row>
    <row r="2359" spans="22:25" x14ac:dyDescent="0.2">
      <c r="V2359" s="112"/>
      <c r="X2359" s="112"/>
      <c r="Y2359" s="112"/>
    </row>
    <row r="2360" spans="22:25" x14ac:dyDescent="0.2">
      <c r="V2360" s="112"/>
      <c r="X2360" s="112"/>
      <c r="Y2360" s="112"/>
    </row>
    <row r="2361" spans="22:25" x14ac:dyDescent="0.2">
      <c r="V2361" s="112"/>
      <c r="X2361" s="112"/>
      <c r="Y2361" s="112"/>
    </row>
    <row r="2362" spans="22:25" x14ac:dyDescent="0.2">
      <c r="V2362" s="112"/>
      <c r="X2362" s="112"/>
      <c r="Y2362" s="112"/>
    </row>
    <row r="2363" spans="22:25" x14ac:dyDescent="0.2">
      <c r="V2363" s="112"/>
      <c r="X2363" s="112"/>
      <c r="Y2363" s="112"/>
    </row>
    <row r="2364" spans="22:25" x14ac:dyDescent="0.2">
      <c r="V2364" s="112"/>
      <c r="X2364" s="112"/>
      <c r="Y2364" s="112"/>
    </row>
    <row r="2365" spans="22:25" x14ac:dyDescent="0.2">
      <c r="V2365" s="112"/>
      <c r="X2365" s="112"/>
      <c r="Y2365" s="112"/>
    </row>
    <row r="2366" spans="22:25" x14ac:dyDescent="0.2">
      <c r="V2366" s="112"/>
      <c r="X2366" s="112"/>
      <c r="Y2366" s="112"/>
    </row>
    <row r="2367" spans="22:25" x14ac:dyDescent="0.2">
      <c r="V2367" s="112"/>
      <c r="X2367" s="112"/>
      <c r="Y2367" s="112"/>
    </row>
    <row r="2368" spans="22:25" x14ac:dyDescent="0.2">
      <c r="V2368" s="112"/>
      <c r="X2368" s="112"/>
      <c r="Y2368" s="112"/>
    </row>
    <row r="2369" spans="22:25" x14ac:dyDescent="0.2">
      <c r="V2369" s="112"/>
      <c r="X2369" s="112"/>
      <c r="Y2369" s="112"/>
    </row>
    <row r="2370" spans="22:25" x14ac:dyDescent="0.2">
      <c r="V2370" s="112"/>
      <c r="X2370" s="112"/>
      <c r="Y2370" s="112"/>
    </row>
    <row r="2371" spans="22:25" x14ac:dyDescent="0.2">
      <c r="V2371" s="112"/>
      <c r="X2371" s="112"/>
      <c r="Y2371" s="112"/>
    </row>
    <row r="2372" spans="22:25" x14ac:dyDescent="0.2">
      <c r="V2372" s="112"/>
      <c r="X2372" s="112"/>
      <c r="Y2372" s="112"/>
    </row>
    <row r="2373" spans="22:25" x14ac:dyDescent="0.2">
      <c r="V2373" s="112"/>
      <c r="X2373" s="112"/>
      <c r="Y2373" s="112"/>
    </row>
    <row r="2374" spans="22:25" x14ac:dyDescent="0.2">
      <c r="V2374" s="112"/>
      <c r="X2374" s="112"/>
      <c r="Y2374" s="112"/>
    </row>
    <row r="2375" spans="22:25" x14ac:dyDescent="0.2">
      <c r="V2375" s="112"/>
      <c r="X2375" s="112"/>
      <c r="Y2375" s="112"/>
    </row>
    <row r="2376" spans="22:25" x14ac:dyDescent="0.2">
      <c r="V2376" s="112"/>
      <c r="X2376" s="112"/>
      <c r="Y2376" s="112"/>
    </row>
    <row r="2377" spans="22:25" x14ac:dyDescent="0.2">
      <c r="V2377" s="112"/>
      <c r="X2377" s="112"/>
      <c r="Y2377" s="112"/>
    </row>
    <row r="2378" spans="22:25" x14ac:dyDescent="0.2">
      <c r="V2378" s="112"/>
      <c r="X2378" s="112"/>
      <c r="Y2378" s="112"/>
    </row>
    <row r="2379" spans="22:25" x14ac:dyDescent="0.2">
      <c r="V2379" s="112"/>
      <c r="X2379" s="112"/>
      <c r="Y2379" s="112"/>
    </row>
    <row r="2380" spans="22:25" x14ac:dyDescent="0.2">
      <c r="V2380" s="112"/>
      <c r="X2380" s="112"/>
      <c r="Y2380" s="112"/>
    </row>
    <row r="2381" spans="22:25" x14ac:dyDescent="0.2">
      <c r="V2381" s="112"/>
      <c r="X2381" s="112"/>
      <c r="Y2381" s="112"/>
    </row>
    <row r="2382" spans="22:25" x14ac:dyDescent="0.2">
      <c r="V2382" s="112"/>
      <c r="X2382" s="112"/>
      <c r="Y2382" s="112"/>
    </row>
    <row r="2383" spans="22:25" x14ac:dyDescent="0.2">
      <c r="V2383" s="112"/>
      <c r="X2383" s="112"/>
      <c r="Y2383" s="112"/>
    </row>
    <row r="2384" spans="22:25" x14ac:dyDescent="0.2">
      <c r="V2384" s="112"/>
      <c r="X2384" s="112"/>
      <c r="Y2384" s="112"/>
    </row>
    <row r="2385" spans="22:25" x14ac:dyDescent="0.2">
      <c r="V2385" s="112"/>
      <c r="X2385" s="112"/>
      <c r="Y2385" s="112"/>
    </row>
    <row r="2386" spans="22:25" x14ac:dyDescent="0.2">
      <c r="V2386" s="112"/>
      <c r="X2386" s="112"/>
      <c r="Y2386" s="112"/>
    </row>
    <row r="2387" spans="22:25" x14ac:dyDescent="0.2">
      <c r="V2387" s="112"/>
      <c r="X2387" s="112"/>
      <c r="Y2387" s="112"/>
    </row>
    <row r="2388" spans="22:25" x14ac:dyDescent="0.2">
      <c r="V2388" s="112"/>
      <c r="X2388" s="112"/>
      <c r="Y2388" s="112"/>
    </row>
    <row r="2389" spans="22:25" x14ac:dyDescent="0.2">
      <c r="V2389" s="112"/>
      <c r="X2389" s="112"/>
      <c r="Y2389" s="112"/>
    </row>
    <row r="2390" spans="22:25" x14ac:dyDescent="0.2">
      <c r="V2390" s="112"/>
      <c r="X2390" s="112"/>
      <c r="Y2390" s="112"/>
    </row>
    <row r="2391" spans="22:25" x14ac:dyDescent="0.2">
      <c r="V2391" s="112"/>
      <c r="X2391" s="112"/>
      <c r="Y2391" s="112"/>
    </row>
    <row r="2392" spans="22:25" x14ac:dyDescent="0.2">
      <c r="V2392" s="112"/>
      <c r="X2392" s="112"/>
      <c r="Y2392" s="112"/>
    </row>
    <row r="2393" spans="22:25" x14ac:dyDescent="0.2">
      <c r="V2393" s="112"/>
      <c r="X2393" s="112"/>
      <c r="Y2393" s="112"/>
    </row>
    <row r="2394" spans="22:25" x14ac:dyDescent="0.2">
      <c r="V2394" s="112"/>
      <c r="X2394" s="112"/>
      <c r="Y2394" s="112"/>
    </row>
    <row r="2395" spans="22:25" x14ac:dyDescent="0.2">
      <c r="V2395" s="112"/>
      <c r="X2395" s="112"/>
      <c r="Y2395" s="112"/>
    </row>
    <row r="2396" spans="22:25" x14ac:dyDescent="0.2">
      <c r="V2396" s="112"/>
      <c r="X2396" s="112"/>
      <c r="Y2396" s="112"/>
    </row>
    <row r="2397" spans="22:25" x14ac:dyDescent="0.2">
      <c r="V2397" s="112"/>
      <c r="X2397" s="112"/>
      <c r="Y2397" s="112"/>
    </row>
    <row r="2398" spans="22:25" x14ac:dyDescent="0.2">
      <c r="V2398" s="112"/>
      <c r="X2398" s="112"/>
      <c r="Y2398" s="112"/>
    </row>
    <row r="2399" spans="22:25" x14ac:dyDescent="0.2">
      <c r="V2399" s="112"/>
      <c r="X2399" s="112"/>
      <c r="Y2399" s="112"/>
    </row>
    <row r="2400" spans="22:25" x14ac:dyDescent="0.2">
      <c r="V2400" s="112"/>
      <c r="X2400" s="112"/>
      <c r="Y2400" s="112"/>
    </row>
    <row r="2401" spans="22:25" x14ac:dyDescent="0.2">
      <c r="V2401" s="112"/>
      <c r="X2401" s="112"/>
      <c r="Y2401" s="112"/>
    </row>
    <row r="2402" spans="22:25" x14ac:dyDescent="0.2">
      <c r="V2402" s="112"/>
      <c r="X2402" s="112"/>
      <c r="Y2402" s="112"/>
    </row>
    <row r="2403" spans="22:25" x14ac:dyDescent="0.2">
      <c r="V2403" s="112"/>
      <c r="X2403" s="112"/>
      <c r="Y2403" s="112"/>
    </row>
    <row r="2404" spans="22:25" x14ac:dyDescent="0.2">
      <c r="V2404" s="112"/>
      <c r="X2404" s="112"/>
      <c r="Y2404" s="112"/>
    </row>
    <row r="2405" spans="22:25" x14ac:dyDescent="0.2">
      <c r="V2405" s="112"/>
      <c r="X2405" s="112"/>
      <c r="Y2405" s="112"/>
    </row>
    <row r="2406" spans="22:25" x14ac:dyDescent="0.2">
      <c r="V2406" s="112"/>
      <c r="X2406" s="112"/>
      <c r="Y2406" s="112"/>
    </row>
    <row r="2407" spans="22:25" x14ac:dyDescent="0.2">
      <c r="V2407" s="112"/>
      <c r="X2407" s="112"/>
      <c r="Y2407" s="112"/>
    </row>
    <row r="2408" spans="22:25" x14ac:dyDescent="0.2">
      <c r="V2408" s="112"/>
      <c r="X2408" s="112"/>
      <c r="Y2408" s="112"/>
    </row>
    <row r="2409" spans="22:25" x14ac:dyDescent="0.2">
      <c r="V2409" s="112"/>
      <c r="X2409" s="112"/>
      <c r="Y2409" s="112"/>
    </row>
    <row r="2410" spans="22:25" x14ac:dyDescent="0.2">
      <c r="V2410" s="112"/>
      <c r="X2410" s="112"/>
      <c r="Y2410" s="112"/>
    </row>
    <row r="2411" spans="22:25" x14ac:dyDescent="0.2">
      <c r="V2411" s="112"/>
      <c r="X2411" s="112"/>
      <c r="Y2411" s="112"/>
    </row>
    <row r="2412" spans="22:25" x14ac:dyDescent="0.2">
      <c r="V2412" s="112"/>
      <c r="X2412" s="112"/>
      <c r="Y2412" s="112"/>
    </row>
    <row r="2413" spans="22:25" x14ac:dyDescent="0.2">
      <c r="V2413" s="112"/>
      <c r="X2413" s="112"/>
      <c r="Y2413" s="112"/>
    </row>
    <row r="2414" spans="22:25" x14ac:dyDescent="0.2">
      <c r="V2414" s="112"/>
      <c r="X2414" s="112"/>
      <c r="Y2414" s="112"/>
    </row>
    <row r="2415" spans="22:25" x14ac:dyDescent="0.2">
      <c r="V2415" s="112"/>
      <c r="X2415" s="112"/>
      <c r="Y2415" s="112"/>
    </row>
    <row r="2416" spans="22:25" x14ac:dyDescent="0.2">
      <c r="V2416" s="112"/>
      <c r="X2416" s="112"/>
      <c r="Y2416" s="112"/>
    </row>
    <row r="2417" spans="22:25" x14ac:dyDescent="0.2">
      <c r="V2417" s="112"/>
      <c r="X2417" s="112"/>
      <c r="Y2417" s="112"/>
    </row>
    <row r="2418" spans="22:25" x14ac:dyDescent="0.2">
      <c r="V2418" s="112"/>
      <c r="X2418" s="112"/>
      <c r="Y2418" s="112"/>
    </row>
    <row r="2419" spans="22:25" x14ac:dyDescent="0.2">
      <c r="V2419" s="112"/>
      <c r="X2419" s="112"/>
      <c r="Y2419" s="112"/>
    </row>
    <row r="2420" spans="22:25" x14ac:dyDescent="0.2">
      <c r="V2420" s="112"/>
      <c r="X2420" s="112"/>
      <c r="Y2420" s="112"/>
    </row>
    <row r="2421" spans="22:25" x14ac:dyDescent="0.2">
      <c r="V2421" s="112"/>
      <c r="X2421" s="112"/>
      <c r="Y2421" s="112"/>
    </row>
    <row r="2422" spans="22:25" x14ac:dyDescent="0.2">
      <c r="V2422" s="112"/>
      <c r="X2422" s="112"/>
      <c r="Y2422" s="112"/>
    </row>
    <row r="2423" spans="22:25" x14ac:dyDescent="0.2">
      <c r="V2423" s="112"/>
      <c r="X2423" s="112"/>
      <c r="Y2423" s="112"/>
    </row>
    <row r="2424" spans="22:25" x14ac:dyDescent="0.2">
      <c r="V2424" s="112"/>
      <c r="X2424" s="112"/>
      <c r="Y2424" s="112"/>
    </row>
    <row r="2425" spans="22:25" x14ac:dyDescent="0.2">
      <c r="V2425" s="112"/>
      <c r="X2425" s="112"/>
      <c r="Y2425" s="112"/>
    </row>
    <row r="2426" spans="22:25" x14ac:dyDescent="0.2">
      <c r="V2426" s="112"/>
      <c r="X2426" s="112"/>
      <c r="Y2426" s="112"/>
    </row>
    <row r="2427" spans="22:25" x14ac:dyDescent="0.2">
      <c r="V2427" s="112"/>
      <c r="X2427" s="112"/>
      <c r="Y2427" s="112"/>
    </row>
    <row r="2428" spans="22:25" x14ac:dyDescent="0.2">
      <c r="V2428" s="112"/>
      <c r="X2428" s="112"/>
      <c r="Y2428" s="112"/>
    </row>
    <row r="2429" spans="22:25" x14ac:dyDescent="0.2">
      <c r="V2429" s="112"/>
      <c r="X2429" s="112"/>
      <c r="Y2429" s="112"/>
    </row>
    <row r="2430" spans="22:25" x14ac:dyDescent="0.2">
      <c r="V2430" s="112"/>
      <c r="X2430" s="112"/>
      <c r="Y2430" s="112"/>
    </row>
    <row r="2431" spans="22:25" x14ac:dyDescent="0.2">
      <c r="V2431" s="112"/>
      <c r="X2431" s="112"/>
      <c r="Y2431" s="112"/>
    </row>
    <row r="2432" spans="22:25" x14ac:dyDescent="0.2">
      <c r="V2432" s="112"/>
      <c r="X2432" s="112"/>
      <c r="Y2432" s="112"/>
    </row>
    <row r="2433" spans="22:25" x14ac:dyDescent="0.2">
      <c r="V2433" s="112"/>
      <c r="X2433" s="112"/>
      <c r="Y2433" s="112"/>
    </row>
    <row r="2434" spans="22:25" x14ac:dyDescent="0.2">
      <c r="V2434" s="112"/>
      <c r="X2434" s="112"/>
      <c r="Y2434" s="112"/>
    </row>
    <row r="2435" spans="22:25" x14ac:dyDescent="0.2">
      <c r="V2435" s="112"/>
      <c r="X2435" s="112"/>
      <c r="Y2435" s="112"/>
    </row>
    <row r="2436" spans="22:25" x14ac:dyDescent="0.2">
      <c r="V2436" s="112"/>
      <c r="X2436" s="112"/>
      <c r="Y2436" s="112"/>
    </row>
    <row r="2437" spans="22:25" x14ac:dyDescent="0.2">
      <c r="V2437" s="112"/>
      <c r="X2437" s="112"/>
      <c r="Y2437" s="112"/>
    </row>
    <row r="2438" spans="22:25" x14ac:dyDescent="0.2">
      <c r="V2438" s="112"/>
      <c r="X2438" s="112"/>
      <c r="Y2438" s="112"/>
    </row>
    <row r="2439" spans="22:25" x14ac:dyDescent="0.2">
      <c r="V2439" s="112"/>
      <c r="X2439" s="112"/>
      <c r="Y2439" s="112"/>
    </row>
    <row r="2440" spans="22:25" x14ac:dyDescent="0.2">
      <c r="V2440" s="112"/>
      <c r="X2440" s="112"/>
      <c r="Y2440" s="112"/>
    </row>
    <row r="2441" spans="22:25" x14ac:dyDescent="0.2">
      <c r="V2441" s="112"/>
      <c r="X2441" s="112"/>
      <c r="Y2441" s="112"/>
    </row>
    <row r="2442" spans="22:25" x14ac:dyDescent="0.2">
      <c r="V2442" s="112"/>
      <c r="X2442" s="112"/>
      <c r="Y2442" s="112"/>
    </row>
    <row r="2443" spans="22:25" x14ac:dyDescent="0.2">
      <c r="V2443" s="112"/>
      <c r="X2443" s="112"/>
      <c r="Y2443" s="112"/>
    </row>
    <row r="2444" spans="22:25" x14ac:dyDescent="0.2">
      <c r="V2444" s="112"/>
      <c r="X2444" s="112"/>
      <c r="Y2444" s="112"/>
    </row>
    <row r="2445" spans="22:25" x14ac:dyDescent="0.2">
      <c r="V2445" s="112"/>
      <c r="X2445" s="112"/>
      <c r="Y2445" s="112"/>
    </row>
    <row r="2446" spans="22:25" x14ac:dyDescent="0.2">
      <c r="V2446" s="112"/>
      <c r="X2446" s="112"/>
      <c r="Y2446" s="112"/>
    </row>
    <row r="2447" spans="22:25" x14ac:dyDescent="0.2">
      <c r="V2447" s="112"/>
      <c r="X2447" s="112"/>
      <c r="Y2447" s="112"/>
    </row>
    <row r="2448" spans="22:25" x14ac:dyDescent="0.2">
      <c r="V2448" s="112"/>
      <c r="X2448" s="112"/>
      <c r="Y2448" s="112"/>
    </row>
    <row r="2449" spans="22:25" x14ac:dyDescent="0.2">
      <c r="V2449" s="112"/>
      <c r="X2449" s="112"/>
      <c r="Y2449" s="112"/>
    </row>
    <row r="2450" spans="22:25" x14ac:dyDescent="0.2">
      <c r="V2450" s="112"/>
      <c r="X2450" s="112"/>
      <c r="Y2450" s="112"/>
    </row>
    <row r="2451" spans="22:25" x14ac:dyDescent="0.2">
      <c r="V2451" s="112"/>
      <c r="X2451" s="112"/>
      <c r="Y2451" s="112"/>
    </row>
    <row r="2452" spans="22:25" x14ac:dyDescent="0.2">
      <c r="V2452" s="112"/>
      <c r="X2452" s="112"/>
      <c r="Y2452" s="112"/>
    </row>
    <row r="2453" spans="22:25" x14ac:dyDescent="0.2">
      <c r="V2453" s="112"/>
      <c r="X2453" s="112"/>
      <c r="Y2453" s="112"/>
    </row>
    <row r="2454" spans="22:25" x14ac:dyDescent="0.2">
      <c r="V2454" s="112"/>
      <c r="X2454" s="112"/>
      <c r="Y2454" s="112"/>
    </row>
    <row r="2455" spans="22:25" x14ac:dyDescent="0.2">
      <c r="V2455" s="112"/>
      <c r="X2455" s="112"/>
      <c r="Y2455" s="112"/>
    </row>
    <row r="2456" spans="22:25" x14ac:dyDescent="0.2">
      <c r="V2456" s="112"/>
      <c r="X2456" s="112"/>
      <c r="Y2456" s="112"/>
    </row>
    <row r="2457" spans="22:25" x14ac:dyDescent="0.2">
      <c r="V2457" s="112"/>
      <c r="X2457" s="112"/>
      <c r="Y2457" s="112"/>
    </row>
    <row r="2458" spans="22:25" x14ac:dyDescent="0.2">
      <c r="V2458" s="112"/>
      <c r="X2458" s="112"/>
      <c r="Y2458" s="112"/>
    </row>
    <row r="2459" spans="22:25" x14ac:dyDescent="0.2">
      <c r="V2459" s="112"/>
      <c r="X2459" s="112"/>
      <c r="Y2459" s="112"/>
    </row>
    <row r="2460" spans="22:25" x14ac:dyDescent="0.2">
      <c r="V2460" s="112"/>
      <c r="X2460" s="112"/>
      <c r="Y2460" s="112"/>
    </row>
    <row r="2461" spans="22:25" x14ac:dyDescent="0.2">
      <c r="V2461" s="112"/>
      <c r="X2461" s="112"/>
      <c r="Y2461" s="112"/>
    </row>
    <row r="2462" spans="22:25" x14ac:dyDescent="0.2">
      <c r="V2462" s="112"/>
      <c r="X2462" s="112"/>
      <c r="Y2462" s="112"/>
    </row>
    <row r="2463" spans="22:25" x14ac:dyDescent="0.2">
      <c r="V2463" s="112"/>
      <c r="X2463" s="112"/>
      <c r="Y2463" s="112"/>
    </row>
    <row r="2464" spans="22:25" x14ac:dyDescent="0.2">
      <c r="V2464" s="112"/>
      <c r="X2464" s="112"/>
      <c r="Y2464" s="112"/>
    </row>
    <row r="2465" spans="22:25" x14ac:dyDescent="0.2">
      <c r="V2465" s="112"/>
      <c r="X2465" s="112"/>
      <c r="Y2465" s="112"/>
    </row>
    <row r="2466" spans="22:25" x14ac:dyDescent="0.2">
      <c r="V2466" s="112"/>
      <c r="X2466" s="112"/>
      <c r="Y2466" s="112"/>
    </row>
    <row r="2467" spans="22:25" x14ac:dyDescent="0.2">
      <c r="V2467" s="112"/>
      <c r="X2467" s="112"/>
      <c r="Y2467" s="112"/>
    </row>
    <row r="2468" spans="22:25" x14ac:dyDescent="0.2">
      <c r="V2468" s="112"/>
      <c r="X2468" s="112"/>
      <c r="Y2468" s="112"/>
    </row>
    <row r="2469" spans="22:25" x14ac:dyDescent="0.2">
      <c r="V2469" s="112"/>
      <c r="X2469" s="112"/>
      <c r="Y2469" s="112"/>
    </row>
    <row r="2470" spans="22:25" x14ac:dyDescent="0.2">
      <c r="V2470" s="112"/>
      <c r="X2470" s="112"/>
      <c r="Y2470" s="112"/>
    </row>
    <row r="2471" spans="22:25" x14ac:dyDescent="0.2">
      <c r="V2471" s="112"/>
      <c r="X2471" s="112"/>
      <c r="Y2471" s="112"/>
    </row>
    <row r="2472" spans="22:25" x14ac:dyDescent="0.2">
      <c r="V2472" s="112"/>
      <c r="X2472" s="112"/>
      <c r="Y2472" s="112"/>
    </row>
    <row r="2473" spans="22:25" x14ac:dyDescent="0.2">
      <c r="V2473" s="112"/>
      <c r="X2473" s="112"/>
      <c r="Y2473" s="112"/>
    </row>
    <row r="2474" spans="22:25" x14ac:dyDescent="0.2">
      <c r="V2474" s="112"/>
      <c r="X2474" s="112"/>
      <c r="Y2474" s="112"/>
    </row>
    <row r="2475" spans="22:25" x14ac:dyDescent="0.2">
      <c r="V2475" s="112"/>
      <c r="X2475" s="112"/>
      <c r="Y2475" s="112"/>
    </row>
    <row r="2476" spans="22:25" x14ac:dyDescent="0.2">
      <c r="V2476" s="112"/>
      <c r="X2476" s="112"/>
      <c r="Y2476" s="112"/>
    </row>
    <row r="2477" spans="22:25" x14ac:dyDescent="0.2">
      <c r="V2477" s="112"/>
      <c r="X2477" s="112"/>
      <c r="Y2477" s="112"/>
    </row>
    <row r="2478" spans="22:25" x14ac:dyDescent="0.2">
      <c r="V2478" s="112"/>
      <c r="X2478" s="112"/>
      <c r="Y2478" s="112"/>
    </row>
    <row r="2479" spans="22:25" x14ac:dyDescent="0.2">
      <c r="V2479" s="112"/>
      <c r="X2479" s="112"/>
      <c r="Y2479" s="112"/>
    </row>
    <row r="2480" spans="22:25" x14ac:dyDescent="0.2">
      <c r="V2480" s="112"/>
      <c r="X2480" s="112"/>
      <c r="Y2480" s="112"/>
    </row>
    <row r="2481" spans="22:25" x14ac:dyDescent="0.2">
      <c r="V2481" s="112"/>
      <c r="X2481" s="112"/>
      <c r="Y2481" s="112"/>
    </row>
    <row r="2482" spans="22:25" x14ac:dyDescent="0.2">
      <c r="V2482" s="112"/>
      <c r="X2482" s="112"/>
      <c r="Y2482" s="112"/>
    </row>
    <row r="2483" spans="22:25" x14ac:dyDescent="0.2">
      <c r="V2483" s="112"/>
      <c r="X2483" s="112"/>
      <c r="Y2483" s="112"/>
    </row>
    <row r="2484" spans="22:25" x14ac:dyDescent="0.2">
      <c r="V2484" s="112"/>
      <c r="X2484" s="112"/>
      <c r="Y2484" s="112"/>
    </row>
    <row r="2485" spans="22:25" x14ac:dyDescent="0.2">
      <c r="V2485" s="112"/>
      <c r="X2485" s="112"/>
      <c r="Y2485" s="112"/>
    </row>
    <row r="2486" spans="22:25" x14ac:dyDescent="0.2">
      <c r="V2486" s="112"/>
      <c r="X2486" s="112"/>
      <c r="Y2486" s="112"/>
    </row>
    <row r="2487" spans="22:25" x14ac:dyDescent="0.2">
      <c r="V2487" s="112"/>
      <c r="X2487" s="112"/>
      <c r="Y2487" s="112"/>
    </row>
    <row r="2488" spans="22:25" x14ac:dyDescent="0.2">
      <c r="V2488" s="112"/>
      <c r="X2488" s="112"/>
      <c r="Y2488" s="112"/>
    </row>
    <row r="2489" spans="22:25" x14ac:dyDescent="0.2">
      <c r="V2489" s="112"/>
      <c r="X2489" s="112"/>
      <c r="Y2489" s="112"/>
    </row>
    <row r="2490" spans="22:25" x14ac:dyDescent="0.2">
      <c r="V2490" s="112"/>
      <c r="X2490" s="112"/>
      <c r="Y2490" s="112"/>
    </row>
    <row r="2491" spans="22:25" x14ac:dyDescent="0.2">
      <c r="V2491" s="112"/>
      <c r="X2491" s="112"/>
      <c r="Y2491" s="112"/>
    </row>
    <row r="2492" spans="22:25" x14ac:dyDescent="0.2">
      <c r="V2492" s="112"/>
      <c r="X2492" s="112"/>
      <c r="Y2492" s="112"/>
    </row>
    <row r="2493" spans="22:25" x14ac:dyDescent="0.2">
      <c r="V2493" s="112"/>
      <c r="X2493" s="112"/>
      <c r="Y2493" s="112"/>
    </row>
    <row r="2494" spans="22:25" x14ac:dyDescent="0.2">
      <c r="V2494" s="112"/>
      <c r="X2494" s="112"/>
      <c r="Y2494" s="112"/>
    </row>
    <row r="2495" spans="22:25" x14ac:dyDescent="0.2">
      <c r="V2495" s="112"/>
      <c r="X2495" s="112"/>
      <c r="Y2495" s="112"/>
    </row>
    <row r="2496" spans="22:25" x14ac:dyDescent="0.2">
      <c r="V2496" s="112"/>
      <c r="X2496" s="112"/>
      <c r="Y2496" s="112"/>
    </row>
    <row r="2497" spans="22:25" x14ac:dyDescent="0.2">
      <c r="V2497" s="112"/>
      <c r="X2497" s="112"/>
      <c r="Y2497" s="112"/>
    </row>
    <row r="2498" spans="22:25" x14ac:dyDescent="0.2">
      <c r="V2498" s="112"/>
      <c r="X2498" s="112"/>
      <c r="Y2498" s="112"/>
    </row>
    <row r="2499" spans="22:25" x14ac:dyDescent="0.2">
      <c r="V2499" s="112"/>
      <c r="X2499" s="112"/>
      <c r="Y2499" s="112"/>
    </row>
    <row r="2500" spans="22:25" x14ac:dyDescent="0.2">
      <c r="V2500" s="112"/>
      <c r="X2500" s="112"/>
      <c r="Y2500" s="112"/>
    </row>
    <row r="2501" spans="22:25" x14ac:dyDescent="0.2">
      <c r="V2501" s="112"/>
      <c r="X2501" s="112"/>
      <c r="Y2501" s="112"/>
    </row>
    <row r="2502" spans="22:25" x14ac:dyDescent="0.2">
      <c r="V2502" s="112"/>
      <c r="X2502" s="112"/>
      <c r="Y2502" s="112"/>
    </row>
    <row r="2503" spans="22:25" x14ac:dyDescent="0.2">
      <c r="V2503" s="112"/>
      <c r="X2503" s="112"/>
      <c r="Y2503" s="112"/>
    </row>
    <row r="2504" spans="22:25" x14ac:dyDescent="0.2">
      <c r="V2504" s="112"/>
      <c r="X2504" s="112"/>
      <c r="Y2504" s="112"/>
    </row>
    <row r="2505" spans="22:25" x14ac:dyDescent="0.2">
      <c r="V2505" s="112"/>
      <c r="X2505" s="112"/>
      <c r="Y2505" s="112"/>
    </row>
    <row r="2506" spans="22:25" x14ac:dyDescent="0.2">
      <c r="V2506" s="112"/>
      <c r="X2506" s="112"/>
      <c r="Y2506" s="112"/>
    </row>
    <row r="2507" spans="22:25" x14ac:dyDescent="0.2">
      <c r="V2507" s="112"/>
      <c r="X2507" s="112"/>
      <c r="Y2507" s="112"/>
    </row>
    <row r="2508" spans="22:25" x14ac:dyDescent="0.2">
      <c r="V2508" s="112"/>
      <c r="X2508" s="112"/>
      <c r="Y2508" s="112"/>
    </row>
    <row r="2509" spans="22:25" x14ac:dyDescent="0.2">
      <c r="V2509" s="112"/>
      <c r="X2509" s="112"/>
      <c r="Y2509" s="112"/>
    </row>
    <row r="2510" spans="22:25" x14ac:dyDescent="0.2">
      <c r="V2510" s="112"/>
      <c r="X2510" s="112"/>
      <c r="Y2510" s="112"/>
    </row>
    <row r="2511" spans="22:25" x14ac:dyDescent="0.2">
      <c r="V2511" s="112"/>
      <c r="X2511" s="112"/>
      <c r="Y2511" s="112"/>
    </row>
    <row r="2512" spans="22:25" x14ac:dyDescent="0.2">
      <c r="V2512" s="112"/>
      <c r="X2512" s="112"/>
      <c r="Y2512" s="112"/>
    </row>
    <row r="2513" spans="22:25" x14ac:dyDescent="0.2">
      <c r="V2513" s="112"/>
      <c r="X2513" s="112"/>
      <c r="Y2513" s="112"/>
    </row>
    <row r="2514" spans="22:25" x14ac:dyDescent="0.2">
      <c r="V2514" s="112"/>
      <c r="X2514" s="112"/>
      <c r="Y2514" s="112"/>
    </row>
    <row r="2515" spans="22:25" x14ac:dyDescent="0.2">
      <c r="V2515" s="112"/>
      <c r="X2515" s="112"/>
      <c r="Y2515" s="112"/>
    </row>
    <row r="2516" spans="22:25" x14ac:dyDescent="0.2">
      <c r="V2516" s="112"/>
      <c r="X2516" s="112"/>
      <c r="Y2516" s="112"/>
    </row>
    <row r="2517" spans="22:25" x14ac:dyDescent="0.2">
      <c r="V2517" s="112"/>
      <c r="X2517" s="112"/>
      <c r="Y2517" s="112"/>
    </row>
    <row r="2518" spans="22:25" x14ac:dyDescent="0.2">
      <c r="V2518" s="112"/>
      <c r="X2518" s="112"/>
      <c r="Y2518" s="112"/>
    </row>
    <row r="2519" spans="22:25" x14ac:dyDescent="0.2">
      <c r="V2519" s="112"/>
      <c r="X2519" s="112"/>
      <c r="Y2519" s="112"/>
    </row>
    <row r="2520" spans="22:25" x14ac:dyDescent="0.2">
      <c r="V2520" s="112"/>
      <c r="X2520" s="112"/>
      <c r="Y2520" s="112"/>
    </row>
    <row r="2521" spans="22:25" x14ac:dyDescent="0.2">
      <c r="V2521" s="112"/>
      <c r="X2521" s="112"/>
      <c r="Y2521" s="112"/>
    </row>
    <row r="2522" spans="22:25" x14ac:dyDescent="0.2">
      <c r="V2522" s="112"/>
      <c r="X2522" s="112"/>
      <c r="Y2522" s="112"/>
    </row>
    <row r="2523" spans="22:25" x14ac:dyDescent="0.2">
      <c r="V2523" s="112"/>
      <c r="X2523" s="112"/>
      <c r="Y2523" s="112"/>
    </row>
    <row r="2524" spans="22:25" x14ac:dyDescent="0.2">
      <c r="V2524" s="112"/>
      <c r="X2524" s="112"/>
      <c r="Y2524" s="112"/>
    </row>
    <row r="2525" spans="22:25" x14ac:dyDescent="0.2">
      <c r="V2525" s="112"/>
      <c r="X2525" s="112"/>
      <c r="Y2525" s="112"/>
    </row>
    <row r="2526" spans="22:25" x14ac:dyDescent="0.2">
      <c r="V2526" s="112"/>
      <c r="X2526" s="112"/>
      <c r="Y2526" s="112"/>
    </row>
    <row r="2527" spans="22:25" x14ac:dyDescent="0.2">
      <c r="V2527" s="112"/>
      <c r="X2527" s="112"/>
      <c r="Y2527" s="112"/>
    </row>
    <row r="2528" spans="22:25" x14ac:dyDescent="0.2">
      <c r="V2528" s="112"/>
      <c r="X2528" s="112"/>
      <c r="Y2528" s="112"/>
    </row>
    <row r="2529" spans="22:25" x14ac:dyDescent="0.2">
      <c r="V2529" s="112"/>
      <c r="X2529" s="112"/>
      <c r="Y2529" s="112"/>
    </row>
    <row r="2530" spans="22:25" x14ac:dyDescent="0.2">
      <c r="V2530" s="112"/>
      <c r="X2530" s="112"/>
      <c r="Y2530" s="112"/>
    </row>
    <row r="2531" spans="22:25" x14ac:dyDescent="0.2">
      <c r="V2531" s="112"/>
      <c r="X2531" s="112"/>
      <c r="Y2531" s="112"/>
    </row>
    <row r="2532" spans="22:25" x14ac:dyDescent="0.2">
      <c r="V2532" s="112"/>
      <c r="X2532" s="112"/>
      <c r="Y2532" s="112"/>
    </row>
    <row r="2533" spans="22:25" x14ac:dyDescent="0.2">
      <c r="V2533" s="112"/>
      <c r="X2533" s="112"/>
      <c r="Y2533" s="112"/>
    </row>
    <row r="2534" spans="22:25" x14ac:dyDescent="0.2">
      <c r="V2534" s="112"/>
      <c r="X2534" s="112"/>
      <c r="Y2534" s="112"/>
    </row>
    <row r="2535" spans="22:25" x14ac:dyDescent="0.2">
      <c r="V2535" s="112"/>
      <c r="X2535" s="112"/>
      <c r="Y2535" s="112"/>
    </row>
    <row r="2536" spans="22:25" x14ac:dyDescent="0.2">
      <c r="V2536" s="112"/>
      <c r="X2536" s="112"/>
      <c r="Y2536" s="112"/>
    </row>
    <row r="2537" spans="22:25" x14ac:dyDescent="0.2">
      <c r="V2537" s="112"/>
      <c r="X2537" s="112"/>
      <c r="Y2537" s="112"/>
    </row>
    <row r="2538" spans="22:25" x14ac:dyDescent="0.2">
      <c r="V2538" s="112"/>
      <c r="X2538" s="112"/>
      <c r="Y2538" s="112"/>
    </row>
    <row r="2539" spans="22:25" x14ac:dyDescent="0.2">
      <c r="V2539" s="112"/>
      <c r="X2539" s="112"/>
      <c r="Y2539" s="112"/>
    </row>
    <row r="2540" spans="22:25" x14ac:dyDescent="0.2">
      <c r="V2540" s="112"/>
      <c r="X2540" s="112"/>
      <c r="Y2540" s="112"/>
    </row>
    <row r="2541" spans="22:25" x14ac:dyDescent="0.2">
      <c r="V2541" s="112"/>
      <c r="X2541" s="112"/>
      <c r="Y2541" s="112"/>
    </row>
    <row r="2542" spans="22:25" x14ac:dyDescent="0.2">
      <c r="V2542" s="112"/>
      <c r="X2542" s="112"/>
      <c r="Y2542" s="112"/>
    </row>
    <row r="2543" spans="22:25" x14ac:dyDescent="0.2">
      <c r="V2543" s="112"/>
      <c r="X2543" s="112"/>
      <c r="Y2543" s="112"/>
    </row>
    <row r="2544" spans="22:25" x14ac:dyDescent="0.2">
      <c r="V2544" s="112"/>
      <c r="X2544" s="112"/>
      <c r="Y2544" s="112"/>
    </row>
    <row r="2545" spans="22:25" x14ac:dyDescent="0.2">
      <c r="V2545" s="112"/>
      <c r="X2545" s="112"/>
      <c r="Y2545" s="112"/>
    </row>
    <row r="2546" spans="22:25" x14ac:dyDescent="0.2">
      <c r="V2546" s="112"/>
      <c r="X2546" s="112"/>
      <c r="Y2546" s="112"/>
    </row>
    <row r="2547" spans="22:25" x14ac:dyDescent="0.2">
      <c r="V2547" s="112"/>
      <c r="X2547" s="112"/>
      <c r="Y2547" s="112"/>
    </row>
    <row r="2548" spans="22:25" x14ac:dyDescent="0.2">
      <c r="V2548" s="112"/>
      <c r="X2548" s="112"/>
      <c r="Y2548" s="112"/>
    </row>
    <row r="2549" spans="22:25" x14ac:dyDescent="0.2">
      <c r="V2549" s="112"/>
      <c r="X2549" s="112"/>
      <c r="Y2549" s="112"/>
    </row>
    <row r="2550" spans="22:25" x14ac:dyDescent="0.2">
      <c r="V2550" s="112"/>
      <c r="X2550" s="112"/>
      <c r="Y2550" s="112"/>
    </row>
    <row r="2551" spans="22:25" x14ac:dyDescent="0.2">
      <c r="V2551" s="112"/>
      <c r="X2551" s="112"/>
      <c r="Y2551" s="112"/>
    </row>
    <row r="2552" spans="22:25" x14ac:dyDescent="0.2">
      <c r="V2552" s="112"/>
      <c r="X2552" s="112"/>
      <c r="Y2552" s="112"/>
    </row>
    <row r="2553" spans="22:25" x14ac:dyDescent="0.2">
      <c r="V2553" s="112"/>
      <c r="X2553" s="112"/>
      <c r="Y2553" s="112"/>
    </row>
    <row r="2554" spans="22:25" x14ac:dyDescent="0.2">
      <c r="V2554" s="112"/>
      <c r="X2554" s="112"/>
      <c r="Y2554" s="112"/>
    </row>
    <row r="2555" spans="22:25" x14ac:dyDescent="0.2">
      <c r="V2555" s="112"/>
      <c r="X2555" s="112"/>
      <c r="Y2555" s="112"/>
    </row>
    <row r="2556" spans="22:25" x14ac:dyDescent="0.2">
      <c r="V2556" s="112"/>
      <c r="X2556" s="112"/>
      <c r="Y2556" s="112"/>
    </row>
    <row r="2557" spans="22:25" x14ac:dyDescent="0.2">
      <c r="V2557" s="112"/>
      <c r="X2557" s="112"/>
      <c r="Y2557" s="112"/>
    </row>
    <row r="2558" spans="22:25" x14ac:dyDescent="0.2">
      <c r="V2558" s="112"/>
      <c r="X2558" s="112"/>
      <c r="Y2558" s="112"/>
    </row>
    <row r="2559" spans="22:25" x14ac:dyDescent="0.2">
      <c r="V2559" s="112"/>
      <c r="X2559" s="112"/>
      <c r="Y2559" s="112"/>
    </row>
    <row r="2560" spans="22:25" x14ac:dyDescent="0.2">
      <c r="V2560" s="112"/>
      <c r="X2560" s="112"/>
      <c r="Y2560" s="112"/>
    </row>
    <row r="2561" spans="22:25" x14ac:dyDescent="0.2">
      <c r="V2561" s="112"/>
      <c r="X2561" s="112"/>
      <c r="Y2561" s="112"/>
    </row>
    <row r="2562" spans="22:25" x14ac:dyDescent="0.2">
      <c r="V2562" s="112"/>
      <c r="X2562" s="112"/>
      <c r="Y2562" s="112"/>
    </row>
    <row r="2563" spans="22:25" x14ac:dyDescent="0.2">
      <c r="V2563" s="112"/>
      <c r="X2563" s="112"/>
      <c r="Y2563" s="112"/>
    </row>
    <row r="2564" spans="22:25" x14ac:dyDescent="0.2">
      <c r="V2564" s="112"/>
      <c r="X2564" s="112"/>
      <c r="Y2564" s="112"/>
    </row>
    <row r="2565" spans="22:25" x14ac:dyDescent="0.2">
      <c r="V2565" s="112"/>
      <c r="X2565" s="112"/>
      <c r="Y2565" s="112"/>
    </row>
    <row r="2566" spans="22:25" x14ac:dyDescent="0.2">
      <c r="V2566" s="112"/>
      <c r="X2566" s="112"/>
      <c r="Y2566" s="112"/>
    </row>
    <row r="2567" spans="22:25" x14ac:dyDescent="0.2">
      <c r="V2567" s="112"/>
      <c r="X2567" s="112"/>
      <c r="Y2567" s="112"/>
    </row>
    <row r="2568" spans="22:25" x14ac:dyDescent="0.2">
      <c r="V2568" s="112"/>
      <c r="X2568" s="112"/>
      <c r="Y2568" s="112"/>
    </row>
    <row r="2569" spans="22:25" x14ac:dyDescent="0.2">
      <c r="V2569" s="112"/>
      <c r="X2569" s="112"/>
      <c r="Y2569" s="112"/>
    </row>
    <row r="2570" spans="22:25" x14ac:dyDescent="0.2">
      <c r="V2570" s="112"/>
      <c r="X2570" s="112"/>
      <c r="Y2570" s="112"/>
    </row>
    <row r="2571" spans="22:25" x14ac:dyDescent="0.2">
      <c r="V2571" s="112"/>
      <c r="X2571" s="112"/>
      <c r="Y2571" s="112"/>
    </row>
    <row r="2572" spans="22:25" x14ac:dyDescent="0.2">
      <c r="V2572" s="112"/>
      <c r="X2572" s="112"/>
      <c r="Y2572" s="112"/>
    </row>
    <row r="2573" spans="22:25" x14ac:dyDescent="0.2">
      <c r="V2573" s="112"/>
      <c r="X2573" s="112"/>
      <c r="Y2573" s="112"/>
    </row>
    <row r="2574" spans="22:25" x14ac:dyDescent="0.2">
      <c r="V2574" s="112"/>
      <c r="X2574" s="112"/>
      <c r="Y2574" s="112"/>
    </row>
    <row r="2575" spans="22:25" x14ac:dyDescent="0.2">
      <c r="V2575" s="112"/>
      <c r="X2575" s="112"/>
      <c r="Y2575" s="112"/>
    </row>
    <row r="2576" spans="22:25" x14ac:dyDescent="0.2">
      <c r="V2576" s="112"/>
      <c r="X2576" s="112"/>
      <c r="Y2576" s="112"/>
    </row>
    <row r="2577" spans="22:25" x14ac:dyDescent="0.2">
      <c r="V2577" s="112"/>
      <c r="X2577" s="112"/>
      <c r="Y2577" s="112"/>
    </row>
    <row r="2578" spans="22:25" x14ac:dyDescent="0.2">
      <c r="V2578" s="112"/>
      <c r="X2578" s="112"/>
      <c r="Y2578" s="112"/>
    </row>
    <row r="2579" spans="22:25" x14ac:dyDescent="0.2">
      <c r="V2579" s="112"/>
      <c r="X2579" s="112"/>
      <c r="Y2579" s="112"/>
    </row>
    <row r="2580" spans="22:25" x14ac:dyDescent="0.2">
      <c r="V2580" s="112"/>
      <c r="X2580" s="112"/>
      <c r="Y2580" s="112"/>
    </row>
    <row r="2581" spans="22:25" x14ac:dyDescent="0.2">
      <c r="V2581" s="112"/>
      <c r="X2581" s="112"/>
      <c r="Y2581" s="112"/>
    </row>
    <row r="2582" spans="22:25" x14ac:dyDescent="0.2">
      <c r="V2582" s="112"/>
      <c r="X2582" s="112"/>
      <c r="Y2582" s="112"/>
    </row>
    <row r="2583" spans="22:25" x14ac:dyDescent="0.2">
      <c r="V2583" s="112"/>
      <c r="X2583" s="112"/>
      <c r="Y2583" s="112"/>
    </row>
    <row r="2584" spans="22:25" x14ac:dyDescent="0.2">
      <c r="V2584" s="112"/>
      <c r="X2584" s="112"/>
      <c r="Y2584" s="112"/>
    </row>
    <row r="2585" spans="22:25" x14ac:dyDescent="0.2">
      <c r="V2585" s="112"/>
      <c r="X2585" s="112"/>
      <c r="Y2585" s="112"/>
    </row>
    <row r="2586" spans="22:25" x14ac:dyDescent="0.2">
      <c r="V2586" s="112"/>
      <c r="X2586" s="112"/>
      <c r="Y2586" s="112"/>
    </row>
    <row r="2587" spans="22:25" x14ac:dyDescent="0.2">
      <c r="V2587" s="112"/>
      <c r="X2587" s="112"/>
      <c r="Y2587" s="112"/>
    </row>
    <row r="2588" spans="22:25" x14ac:dyDescent="0.2">
      <c r="V2588" s="112"/>
      <c r="X2588" s="112"/>
      <c r="Y2588" s="112"/>
    </row>
    <row r="2589" spans="22:25" x14ac:dyDescent="0.2">
      <c r="V2589" s="112"/>
      <c r="X2589" s="112"/>
      <c r="Y2589" s="112"/>
    </row>
    <row r="2590" spans="22:25" x14ac:dyDescent="0.2">
      <c r="V2590" s="112"/>
      <c r="X2590" s="112"/>
      <c r="Y2590" s="112"/>
    </row>
    <row r="2591" spans="22:25" x14ac:dyDescent="0.2">
      <c r="V2591" s="112"/>
      <c r="X2591" s="112"/>
      <c r="Y2591" s="112"/>
    </row>
    <row r="2592" spans="22:25" x14ac:dyDescent="0.2">
      <c r="V2592" s="112"/>
      <c r="X2592" s="112"/>
      <c r="Y2592" s="112"/>
    </row>
    <row r="2593" spans="22:25" x14ac:dyDescent="0.2">
      <c r="V2593" s="112"/>
      <c r="X2593" s="112"/>
      <c r="Y2593" s="112"/>
    </row>
    <row r="2594" spans="22:25" x14ac:dyDescent="0.2">
      <c r="V2594" s="112"/>
      <c r="X2594" s="112"/>
      <c r="Y2594" s="112"/>
    </row>
    <row r="2595" spans="22:25" x14ac:dyDescent="0.2">
      <c r="V2595" s="112"/>
      <c r="X2595" s="112"/>
      <c r="Y2595" s="112"/>
    </row>
    <row r="2596" spans="22:25" x14ac:dyDescent="0.2">
      <c r="V2596" s="112"/>
      <c r="X2596" s="112"/>
      <c r="Y2596" s="112"/>
    </row>
    <row r="2597" spans="22:25" x14ac:dyDescent="0.2">
      <c r="V2597" s="112"/>
      <c r="X2597" s="112"/>
      <c r="Y2597" s="112"/>
    </row>
    <row r="2598" spans="22:25" x14ac:dyDescent="0.2">
      <c r="V2598" s="112"/>
      <c r="X2598" s="112"/>
      <c r="Y2598" s="112"/>
    </row>
    <row r="2599" spans="22:25" x14ac:dyDescent="0.2">
      <c r="V2599" s="112"/>
      <c r="X2599" s="112"/>
      <c r="Y2599" s="112"/>
    </row>
    <row r="2600" spans="22:25" x14ac:dyDescent="0.2">
      <c r="V2600" s="112"/>
      <c r="X2600" s="112"/>
      <c r="Y2600" s="112"/>
    </row>
    <row r="2601" spans="22:25" x14ac:dyDescent="0.2">
      <c r="V2601" s="112"/>
      <c r="X2601" s="112"/>
      <c r="Y2601" s="112"/>
    </row>
    <row r="2602" spans="22:25" x14ac:dyDescent="0.2">
      <c r="V2602" s="112"/>
      <c r="X2602" s="112"/>
      <c r="Y2602" s="112"/>
    </row>
    <row r="2603" spans="22:25" x14ac:dyDescent="0.2">
      <c r="V2603" s="112"/>
      <c r="X2603" s="112"/>
      <c r="Y2603" s="112"/>
    </row>
    <row r="2604" spans="22:25" x14ac:dyDescent="0.2">
      <c r="V2604" s="112"/>
      <c r="X2604" s="112"/>
      <c r="Y2604" s="112"/>
    </row>
    <row r="2605" spans="22:25" x14ac:dyDescent="0.2">
      <c r="V2605" s="112"/>
      <c r="X2605" s="112"/>
      <c r="Y2605" s="112"/>
    </row>
    <row r="2606" spans="22:25" x14ac:dyDescent="0.2">
      <c r="V2606" s="112"/>
      <c r="X2606" s="112"/>
      <c r="Y2606" s="112"/>
    </row>
    <row r="2607" spans="22:25" x14ac:dyDescent="0.2">
      <c r="V2607" s="112"/>
      <c r="X2607" s="112"/>
      <c r="Y2607" s="112"/>
    </row>
    <row r="2608" spans="22:25" x14ac:dyDescent="0.2">
      <c r="V2608" s="112"/>
      <c r="X2608" s="112"/>
      <c r="Y2608" s="112"/>
    </row>
    <row r="2609" spans="22:25" x14ac:dyDescent="0.2">
      <c r="V2609" s="112"/>
      <c r="X2609" s="112"/>
      <c r="Y2609" s="112"/>
    </row>
    <row r="2610" spans="22:25" x14ac:dyDescent="0.2">
      <c r="V2610" s="112"/>
      <c r="X2610" s="112"/>
      <c r="Y2610" s="112"/>
    </row>
    <row r="2611" spans="22:25" x14ac:dyDescent="0.2">
      <c r="V2611" s="112"/>
      <c r="X2611" s="112"/>
      <c r="Y2611" s="112"/>
    </row>
    <row r="2612" spans="22:25" x14ac:dyDescent="0.2">
      <c r="V2612" s="112"/>
      <c r="X2612" s="112"/>
      <c r="Y2612" s="112"/>
    </row>
    <row r="2613" spans="22:25" x14ac:dyDescent="0.2">
      <c r="V2613" s="112"/>
      <c r="X2613" s="112"/>
      <c r="Y2613" s="112"/>
    </row>
    <row r="2614" spans="22:25" x14ac:dyDescent="0.2">
      <c r="V2614" s="112"/>
      <c r="X2614" s="112"/>
      <c r="Y2614" s="112"/>
    </row>
    <row r="2615" spans="22:25" x14ac:dyDescent="0.2">
      <c r="V2615" s="112"/>
      <c r="X2615" s="112"/>
      <c r="Y2615" s="112"/>
    </row>
    <row r="2616" spans="22:25" x14ac:dyDescent="0.2">
      <c r="V2616" s="112"/>
      <c r="X2616" s="112"/>
      <c r="Y2616" s="112"/>
    </row>
    <row r="2617" spans="22:25" x14ac:dyDescent="0.2">
      <c r="V2617" s="112"/>
      <c r="X2617" s="112"/>
      <c r="Y2617" s="112"/>
    </row>
    <row r="2618" spans="22:25" x14ac:dyDescent="0.2">
      <c r="V2618" s="112"/>
      <c r="X2618" s="112"/>
      <c r="Y2618" s="112"/>
    </row>
    <row r="2619" spans="22:25" x14ac:dyDescent="0.2">
      <c r="V2619" s="112"/>
      <c r="X2619" s="112"/>
      <c r="Y2619" s="112"/>
    </row>
    <row r="2620" spans="22:25" x14ac:dyDescent="0.2">
      <c r="V2620" s="112"/>
      <c r="X2620" s="112"/>
      <c r="Y2620" s="112"/>
    </row>
    <row r="2621" spans="22:25" x14ac:dyDescent="0.2">
      <c r="V2621" s="112"/>
      <c r="X2621" s="112"/>
      <c r="Y2621" s="112"/>
    </row>
    <row r="2622" spans="22:25" x14ac:dyDescent="0.2">
      <c r="V2622" s="112"/>
      <c r="X2622" s="112"/>
      <c r="Y2622" s="112"/>
    </row>
    <row r="2623" spans="22:25" x14ac:dyDescent="0.2">
      <c r="V2623" s="112"/>
      <c r="X2623" s="112"/>
      <c r="Y2623" s="112"/>
    </row>
    <row r="2624" spans="22:25" x14ac:dyDescent="0.2">
      <c r="V2624" s="112"/>
      <c r="X2624" s="112"/>
      <c r="Y2624" s="112"/>
    </row>
    <row r="2625" spans="22:25" x14ac:dyDescent="0.2">
      <c r="V2625" s="112"/>
      <c r="X2625" s="112"/>
      <c r="Y2625" s="112"/>
    </row>
    <row r="2626" spans="22:25" x14ac:dyDescent="0.2">
      <c r="V2626" s="112"/>
      <c r="X2626" s="112"/>
      <c r="Y2626" s="112"/>
    </row>
    <row r="2627" spans="22:25" x14ac:dyDescent="0.2">
      <c r="V2627" s="112"/>
      <c r="X2627" s="112"/>
      <c r="Y2627" s="112"/>
    </row>
    <row r="2628" spans="22:25" x14ac:dyDescent="0.2">
      <c r="V2628" s="112"/>
      <c r="X2628" s="112"/>
      <c r="Y2628" s="112"/>
    </row>
    <row r="2629" spans="22:25" x14ac:dyDescent="0.2">
      <c r="V2629" s="112"/>
      <c r="X2629" s="112"/>
      <c r="Y2629" s="112"/>
    </row>
    <row r="2630" spans="22:25" x14ac:dyDescent="0.2">
      <c r="V2630" s="112"/>
      <c r="X2630" s="112"/>
      <c r="Y2630" s="112"/>
    </row>
    <row r="2631" spans="22:25" x14ac:dyDescent="0.2">
      <c r="V2631" s="112"/>
      <c r="X2631" s="112"/>
      <c r="Y2631" s="112"/>
    </row>
    <row r="2632" spans="22:25" x14ac:dyDescent="0.2">
      <c r="V2632" s="112"/>
      <c r="X2632" s="112"/>
      <c r="Y2632" s="112"/>
    </row>
    <row r="2633" spans="22:25" x14ac:dyDescent="0.2">
      <c r="V2633" s="112"/>
      <c r="X2633" s="112"/>
      <c r="Y2633" s="112"/>
    </row>
    <row r="2634" spans="22:25" x14ac:dyDescent="0.2">
      <c r="V2634" s="112"/>
      <c r="X2634" s="112"/>
      <c r="Y2634" s="112"/>
    </row>
    <row r="2635" spans="22:25" x14ac:dyDescent="0.2">
      <c r="V2635" s="112"/>
      <c r="X2635" s="112"/>
      <c r="Y2635" s="112"/>
    </row>
    <row r="2636" spans="22:25" x14ac:dyDescent="0.2">
      <c r="V2636" s="112"/>
      <c r="X2636" s="112"/>
      <c r="Y2636" s="112"/>
    </row>
    <row r="2637" spans="22:25" x14ac:dyDescent="0.2">
      <c r="V2637" s="112"/>
      <c r="X2637" s="112"/>
      <c r="Y2637" s="112"/>
    </row>
    <row r="2638" spans="22:25" x14ac:dyDescent="0.2">
      <c r="V2638" s="112"/>
      <c r="X2638" s="112"/>
      <c r="Y2638" s="112"/>
    </row>
    <row r="2639" spans="22:25" x14ac:dyDescent="0.2">
      <c r="V2639" s="112"/>
      <c r="X2639" s="112"/>
      <c r="Y2639" s="112"/>
    </row>
    <row r="2640" spans="22:25" x14ac:dyDescent="0.2">
      <c r="V2640" s="112"/>
      <c r="X2640" s="112"/>
      <c r="Y2640" s="112"/>
    </row>
    <row r="2641" spans="22:25" x14ac:dyDescent="0.2">
      <c r="V2641" s="112"/>
      <c r="X2641" s="112"/>
      <c r="Y2641" s="112"/>
    </row>
    <row r="2642" spans="22:25" x14ac:dyDescent="0.2">
      <c r="V2642" s="112"/>
      <c r="X2642" s="112"/>
      <c r="Y2642" s="112"/>
    </row>
    <row r="2643" spans="22:25" x14ac:dyDescent="0.2">
      <c r="V2643" s="112"/>
      <c r="X2643" s="112"/>
      <c r="Y2643" s="112"/>
    </row>
    <row r="2644" spans="22:25" x14ac:dyDescent="0.2">
      <c r="V2644" s="112"/>
      <c r="X2644" s="112"/>
      <c r="Y2644" s="112"/>
    </row>
    <row r="2645" spans="22:25" x14ac:dyDescent="0.2">
      <c r="V2645" s="112"/>
      <c r="X2645" s="112"/>
      <c r="Y2645" s="112"/>
    </row>
    <row r="2646" spans="22:25" x14ac:dyDescent="0.2">
      <c r="V2646" s="112"/>
      <c r="X2646" s="112"/>
      <c r="Y2646" s="112"/>
    </row>
    <row r="2647" spans="22:25" x14ac:dyDescent="0.2">
      <c r="V2647" s="112"/>
      <c r="X2647" s="112"/>
      <c r="Y2647" s="112"/>
    </row>
    <row r="2648" spans="22:25" x14ac:dyDescent="0.2">
      <c r="V2648" s="112"/>
      <c r="X2648" s="112"/>
      <c r="Y2648" s="112"/>
    </row>
    <row r="2649" spans="22:25" x14ac:dyDescent="0.2">
      <c r="V2649" s="112"/>
      <c r="X2649" s="112"/>
      <c r="Y2649" s="112"/>
    </row>
    <row r="2650" spans="22:25" x14ac:dyDescent="0.2">
      <c r="V2650" s="112"/>
      <c r="X2650" s="112"/>
      <c r="Y2650" s="112"/>
    </row>
    <row r="2651" spans="22:25" x14ac:dyDescent="0.2">
      <c r="V2651" s="112"/>
      <c r="X2651" s="112"/>
      <c r="Y2651" s="112"/>
    </row>
    <row r="2652" spans="22:25" x14ac:dyDescent="0.2">
      <c r="V2652" s="112"/>
      <c r="X2652" s="112"/>
      <c r="Y2652" s="112"/>
    </row>
    <row r="2653" spans="22:25" x14ac:dyDescent="0.2">
      <c r="V2653" s="112"/>
      <c r="X2653" s="112"/>
      <c r="Y2653" s="112"/>
    </row>
    <row r="2654" spans="22:25" x14ac:dyDescent="0.2">
      <c r="V2654" s="112"/>
      <c r="X2654" s="112"/>
      <c r="Y2654" s="112"/>
    </row>
    <row r="2655" spans="22:25" x14ac:dyDescent="0.2">
      <c r="V2655" s="112"/>
      <c r="X2655" s="112"/>
      <c r="Y2655" s="112"/>
    </row>
    <row r="2656" spans="22:25" x14ac:dyDescent="0.2">
      <c r="V2656" s="112"/>
      <c r="X2656" s="112"/>
      <c r="Y2656" s="112"/>
    </row>
    <row r="2657" spans="22:25" x14ac:dyDescent="0.2">
      <c r="V2657" s="112"/>
      <c r="X2657" s="112"/>
      <c r="Y2657" s="112"/>
    </row>
    <row r="2658" spans="22:25" x14ac:dyDescent="0.2">
      <c r="V2658" s="112"/>
      <c r="X2658" s="112"/>
      <c r="Y2658" s="112"/>
    </row>
    <row r="2659" spans="22:25" x14ac:dyDescent="0.2">
      <c r="V2659" s="112"/>
      <c r="X2659" s="112"/>
      <c r="Y2659" s="112"/>
    </row>
    <row r="2660" spans="22:25" x14ac:dyDescent="0.2">
      <c r="V2660" s="112"/>
      <c r="X2660" s="112"/>
      <c r="Y2660" s="112"/>
    </row>
    <row r="2661" spans="22:25" x14ac:dyDescent="0.2">
      <c r="V2661" s="112"/>
      <c r="X2661" s="112"/>
      <c r="Y2661" s="112"/>
    </row>
    <row r="2662" spans="22:25" x14ac:dyDescent="0.2">
      <c r="V2662" s="112"/>
      <c r="X2662" s="112"/>
      <c r="Y2662" s="112"/>
    </row>
    <row r="2663" spans="22:25" x14ac:dyDescent="0.2">
      <c r="V2663" s="112"/>
      <c r="X2663" s="112"/>
      <c r="Y2663" s="112"/>
    </row>
    <row r="2664" spans="22:25" x14ac:dyDescent="0.2">
      <c r="V2664" s="112"/>
      <c r="X2664" s="112"/>
      <c r="Y2664" s="112"/>
    </row>
    <row r="2665" spans="22:25" x14ac:dyDescent="0.2">
      <c r="V2665" s="112"/>
      <c r="X2665" s="112"/>
      <c r="Y2665" s="112"/>
    </row>
    <row r="2666" spans="22:25" x14ac:dyDescent="0.2">
      <c r="V2666" s="112"/>
      <c r="X2666" s="112"/>
      <c r="Y2666" s="112"/>
    </row>
    <row r="2667" spans="22:25" x14ac:dyDescent="0.2">
      <c r="V2667" s="112"/>
      <c r="X2667" s="112"/>
      <c r="Y2667" s="112"/>
    </row>
    <row r="2668" spans="22:25" x14ac:dyDescent="0.2">
      <c r="V2668" s="112"/>
      <c r="X2668" s="112"/>
      <c r="Y2668" s="112"/>
    </row>
    <row r="2669" spans="22:25" x14ac:dyDescent="0.2">
      <c r="V2669" s="112"/>
      <c r="X2669" s="112"/>
      <c r="Y2669" s="112"/>
    </row>
    <row r="2670" spans="22:25" x14ac:dyDescent="0.2">
      <c r="V2670" s="112"/>
      <c r="X2670" s="112"/>
      <c r="Y2670" s="112"/>
    </row>
    <row r="2671" spans="22:25" x14ac:dyDescent="0.2">
      <c r="V2671" s="112"/>
      <c r="X2671" s="112"/>
      <c r="Y2671" s="112"/>
    </row>
    <row r="2672" spans="22:25" x14ac:dyDescent="0.2">
      <c r="V2672" s="112"/>
      <c r="X2672" s="112"/>
      <c r="Y2672" s="112"/>
    </row>
    <row r="2673" spans="22:25" x14ac:dyDescent="0.2">
      <c r="V2673" s="112"/>
      <c r="X2673" s="112"/>
      <c r="Y2673" s="112"/>
    </row>
    <row r="2674" spans="22:25" x14ac:dyDescent="0.2">
      <c r="V2674" s="112"/>
      <c r="X2674" s="112"/>
      <c r="Y2674" s="112"/>
    </row>
    <row r="2675" spans="22:25" x14ac:dyDescent="0.2">
      <c r="V2675" s="112"/>
      <c r="X2675" s="112"/>
      <c r="Y2675" s="112"/>
    </row>
    <row r="2676" spans="22:25" x14ac:dyDescent="0.2">
      <c r="V2676" s="112"/>
      <c r="X2676" s="112"/>
      <c r="Y2676" s="112"/>
    </row>
    <row r="2677" spans="22:25" x14ac:dyDescent="0.2">
      <c r="V2677" s="112"/>
      <c r="X2677" s="112"/>
      <c r="Y2677" s="112"/>
    </row>
    <row r="2678" spans="22:25" x14ac:dyDescent="0.2">
      <c r="V2678" s="112"/>
      <c r="X2678" s="112"/>
      <c r="Y2678" s="112"/>
    </row>
    <row r="2679" spans="22:25" x14ac:dyDescent="0.2">
      <c r="V2679" s="112"/>
      <c r="X2679" s="112"/>
      <c r="Y2679" s="112"/>
    </row>
    <row r="2680" spans="22:25" x14ac:dyDescent="0.2">
      <c r="V2680" s="112"/>
      <c r="X2680" s="112"/>
      <c r="Y2680" s="112"/>
    </row>
    <row r="2681" spans="22:25" x14ac:dyDescent="0.2">
      <c r="V2681" s="112"/>
      <c r="X2681" s="112"/>
      <c r="Y2681" s="112"/>
    </row>
    <row r="2682" spans="22:25" x14ac:dyDescent="0.2">
      <c r="V2682" s="112"/>
      <c r="X2682" s="112"/>
      <c r="Y2682" s="112"/>
    </row>
    <row r="2683" spans="22:25" x14ac:dyDescent="0.2">
      <c r="V2683" s="112"/>
      <c r="X2683" s="112"/>
      <c r="Y2683" s="112"/>
    </row>
    <row r="2684" spans="22:25" x14ac:dyDescent="0.2">
      <c r="V2684" s="112"/>
      <c r="X2684" s="112"/>
      <c r="Y2684" s="112"/>
    </row>
    <row r="2685" spans="22:25" x14ac:dyDescent="0.2">
      <c r="V2685" s="112"/>
      <c r="X2685" s="112"/>
      <c r="Y2685" s="112"/>
    </row>
    <row r="2686" spans="22:25" x14ac:dyDescent="0.2">
      <c r="V2686" s="112"/>
      <c r="X2686" s="112"/>
      <c r="Y2686" s="112"/>
    </row>
    <row r="2687" spans="22:25" x14ac:dyDescent="0.2">
      <c r="V2687" s="112"/>
      <c r="X2687" s="112"/>
      <c r="Y2687" s="112"/>
    </row>
    <row r="2688" spans="22:25" x14ac:dyDescent="0.2">
      <c r="V2688" s="112"/>
      <c r="X2688" s="112"/>
      <c r="Y2688" s="112"/>
    </row>
    <row r="2689" spans="22:25" x14ac:dyDescent="0.2">
      <c r="V2689" s="112"/>
      <c r="X2689" s="112"/>
      <c r="Y2689" s="112"/>
    </row>
    <row r="2690" spans="22:25" x14ac:dyDescent="0.2">
      <c r="V2690" s="112"/>
      <c r="X2690" s="112"/>
      <c r="Y2690" s="112"/>
    </row>
    <row r="2691" spans="22:25" x14ac:dyDescent="0.2">
      <c r="V2691" s="112"/>
      <c r="X2691" s="112"/>
      <c r="Y2691" s="112"/>
    </row>
    <row r="2692" spans="22:25" x14ac:dyDescent="0.2">
      <c r="V2692" s="112"/>
      <c r="X2692" s="112"/>
      <c r="Y2692" s="112"/>
    </row>
    <row r="2693" spans="22:25" x14ac:dyDescent="0.2">
      <c r="V2693" s="112"/>
      <c r="X2693" s="112"/>
      <c r="Y2693" s="112"/>
    </row>
    <row r="2694" spans="22:25" x14ac:dyDescent="0.2">
      <c r="V2694" s="112"/>
      <c r="X2694" s="112"/>
      <c r="Y2694" s="112"/>
    </row>
    <row r="2695" spans="22:25" x14ac:dyDescent="0.2">
      <c r="V2695" s="112"/>
      <c r="X2695" s="112"/>
      <c r="Y2695" s="112"/>
    </row>
    <row r="2696" spans="22:25" x14ac:dyDescent="0.2">
      <c r="V2696" s="112"/>
      <c r="X2696" s="112"/>
      <c r="Y2696" s="112"/>
    </row>
    <row r="2697" spans="22:25" x14ac:dyDescent="0.2">
      <c r="V2697" s="112"/>
      <c r="X2697" s="112"/>
      <c r="Y2697" s="112"/>
    </row>
    <row r="2698" spans="22:25" x14ac:dyDescent="0.2">
      <c r="V2698" s="112"/>
      <c r="X2698" s="112"/>
      <c r="Y2698" s="112"/>
    </row>
    <row r="2699" spans="22:25" x14ac:dyDescent="0.2">
      <c r="V2699" s="112"/>
      <c r="X2699" s="112"/>
      <c r="Y2699" s="112"/>
    </row>
    <row r="2700" spans="22:25" x14ac:dyDescent="0.2">
      <c r="V2700" s="112"/>
      <c r="X2700" s="112"/>
      <c r="Y2700" s="112"/>
    </row>
    <row r="2701" spans="22:25" x14ac:dyDescent="0.2">
      <c r="V2701" s="112"/>
      <c r="X2701" s="112"/>
      <c r="Y2701" s="112"/>
    </row>
    <row r="2702" spans="22:25" x14ac:dyDescent="0.2">
      <c r="V2702" s="112"/>
      <c r="X2702" s="112"/>
      <c r="Y2702" s="112"/>
    </row>
    <row r="2703" spans="22:25" x14ac:dyDescent="0.2">
      <c r="V2703" s="112"/>
      <c r="X2703" s="112"/>
      <c r="Y2703" s="112"/>
    </row>
    <row r="2704" spans="22:25" x14ac:dyDescent="0.2">
      <c r="V2704" s="112"/>
      <c r="X2704" s="112"/>
      <c r="Y2704" s="112"/>
    </row>
    <row r="2705" spans="22:25" x14ac:dyDescent="0.2">
      <c r="V2705" s="112"/>
      <c r="X2705" s="112"/>
      <c r="Y2705" s="112"/>
    </row>
    <row r="2706" spans="22:25" x14ac:dyDescent="0.2">
      <c r="V2706" s="112"/>
      <c r="X2706" s="112"/>
      <c r="Y2706" s="112"/>
    </row>
    <row r="2707" spans="22:25" x14ac:dyDescent="0.2">
      <c r="V2707" s="112"/>
      <c r="X2707" s="112"/>
      <c r="Y2707" s="112"/>
    </row>
    <row r="2708" spans="22:25" x14ac:dyDescent="0.2">
      <c r="V2708" s="112"/>
      <c r="X2708" s="112"/>
      <c r="Y2708" s="112"/>
    </row>
    <row r="2709" spans="22:25" x14ac:dyDescent="0.2">
      <c r="V2709" s="112"/>
      <c r="X2709" s="112"/>
      <c r="Y2709" s="112"/>
    </row>
    <row r="2710" spans="22:25" x14ac:dyDescent="0.2">
      <c r="V2710" s="112"/>
      <c r="X2710" s="112"/>
      <c r="Y2710" s="112"/>
    </row>
    <row r="2711" spans="22:25" x14ac:dyDescent="0.2">
      <c r="V2711" s="112"/>
      <c r="X2711" s="112"/>
      <c r="Y2711" s="112"/>
    </row>
    <row r="2712" spans="22:25" x14ac:dyDescent="0.2">
      <c r="V2712" s="112"/>
      <c r="X2712" s="112"/>
      <c r="Y2712" s="112"/>
    </row>
    <row r="2713" spans="22:25" x14ac:dyDescent="0.2">
      <c r="V2713" s="112"/>
      <c r="X2713" s="112"/>
      <c r="Y2713" s="112"/>
    </row>
    <row r="2714" spans="22:25" x14ac:dyDescent="0.2">
      <c r="V2714" s="112"/>
      <c r="X2714" s="112"/>
      <c r="Y2714" s="112"/>
    </row>
    <row r="2715" spans="22:25" x14ac:dyDescent="0.2">
      <c r="V2715" s="112"/>
      <c r="X2715" s="112"/>
      <c r="Y2715" s="112"/>
    </row>
    <row r="2716" spans="22:25" x14ac:dyDescent="0.2">
      <c r="V2716" s="112"/>
      <c r="X2716" s="112"/>
      <c r="Y2716" s="112"/>
    </row>
    <row r="2717" spans="22:25" x14ac:dyDescent="0.2">
      <c r="V2717" s="112"/>
      <c r="X2717" s="112"/>
      <c r="Y2717" s="112"/>
    </row>
    <row r="2718" spans="22:25" x14ac:dyDescent="0.2">
      <c r="V2718" s="112"/>
      <c r="X2718" s="112"/>
      <c r="Y2718" s="112"/>
    </row>
    <row r="2719" spans="22:25" x14ac:dyDescent="0.2">
      <c r="V2719" s="112"/>
      <c r="X2719" s="112"/>
      <c r="Y2719" s="112"/>
    </row>
    <row r="2720" spans="22:25" x14ac:dyDescent="0.2">
      <c r="V2720" s="112"/>
      <c r="X2720" s="112"/>
      <c r="Y2720" s="112"/>
    </row>
    <row r="2721" spans="22:25" x14ac:dyDescent="0.2">
      <c r="V2721" s="112"/>
      <c r="X2721" s="112"/>
      <c r="Y2721" s="112"/>
    </row>
    <row r="2722" spans="22:25" x14ac:dyDescent="0.2">
      <c r="V2722" s="112"/>
      <c r="X2722" s="112"/>
      <c r="Y2722" s="112"/>
    </row>
    <row r="2723" spans="22:25" x14ac:dyDescent="0.2">
      <c r="V2723" s="112"/>
      <c r="X2723" s="112"/>
      <c r="Y2723" s="112"/>
    </row>
    <row r="2724" spans="22:25" x14ac:dyDescent="0.2">
      <c r="V2724" s="112"/>
      <c r="X2724" s="112"/>
      <c r="Y2724" s="112"/>
    </row>
    <row r="2725" spans="22:25" x14ac:dyDescent="0.2">
      <c r="V2725" s="112"/>
      <c r="X2725" s="112"/>
      <c r="Y2725" s="112"/>
    </row>
    <row r="2726" spans="22:25" x14ac:dyDescent="0.2">
      <c r="V2726" s="112"/>
      <c r="X2726" s="112"/>
      <c r="Y2726" s="112"/>
    </row>
    <row r="2727" spans="22:25" x14ac:dyDescent="0.2">
      <c r="V2727" s="112"/>
      <c r="X2727" s="112"/>
      <c r="Y2727" s="112"/>
    </row>
    <row r="2728" spans="22:25" x14ac:dyDescent="0.2">
      <c r="V2728" s="112"/>
      <c r="X2728" s="112"/>
      <c r="Y2728" s="112"/>
    </row>
    <row r="2729" spans="22:25" x14ac:dyDescent="0.2">
      <c r="V2729" s="112"/>
      <c r="X2729" s="112"/>
      <c r="Y2729" s="112"/>
    </row>
    <row r="2730" spans="22:25" x14ac:dyDescent="0.2">
      <c r="V2730" s="112"/>
      <c r="X2730" s="112"/>
      <c r="Y2730" s="112"/>
    </row>
    <row r="2731" spans="22:25" x14ac:dyDescent="0.2">
      <c r="V2731" s="112"/>
      <c r="X2731" s="112"/>
      <c r="Y2731" s="112"/>
    </row>
    <row r="2732" spans="22:25" x14ac:dyDescent="0.2">
      <c r="V2732" s="112"/>
      <c r="X2732" s="112"/>
      <c r="Y2732" s="112"/>
    </row>
    <row r="2733" spans="22:25" x14ac:dyDescent="0.2">
      <c r="V2733" s="112"/>
      <c r="X2733" s="112"/>
      <c r="Y2733" s="112"/>
    </row>
    <row r="2734" spans="22:25" x14ac:dyDescent="0.2">
      <c r="V2734" s="112"/>
      <c r="X2734" s="112"/>
      <c r="Y2734" s="112"/>
    </row>
    <row r="2735" spans="22:25" x14ac:dyDescent="0.2">
      <c r="V2735" s="112"/>
      <c r="X2735" s="112"/>
      <c r="Y2735" s="112"/>
    </row>
    <row r="2736" spans="22:25" x14ac:dyDescent="0.2">
      <c r="V2736" s="112"/>
      <c r="X2736" s="112"/>
      <c r="Y2736" s="112"/>
    </row>
    <row r="2737" spans="22:25" x14ac:dyDescent="0.2">
      <c r="V2737" s="112"/>
      <c r="X2737" s="112"/>
      <c r="Y2737" s="112"/>
    </row>
    <row r="2738" spans="22:25" x14ac:dyDescent="0.2">
      <c r="V2738" s="112"/>
      <c r="X2738" s="112"/>
      <c r="Y2738" s="112"/>
    </row>
    <row r="2739" spans="22:25" x14ac:dyDescent="0.2">
      <c r="V2739" s="112"/>
      <c r="X2739" s="112"/>
      <c r="Y2739" s="112"/>
    </row>
    <row r="2740" spans="22:25" x14ac:dyDescent="0.2">
      <c r="V2740" s="112"/>
      <c r="X2740" s="112"/>
      <c r="Y2740" s="112"/>
    </row>
    <row r="2741" spans="22:25" x14ac:dyDescent="0.2">
      <c r="V2741" s="112"/>
      <c r="X2741" s="112"/>
      <c r="Y2741" s="112"/>
    </row>
    <row r="2742" spans="22:25" x14ac:dyDescent="0.2">
      <c r="V2742" s="112"/>
      <c r="X2742" s="112"/>
      <c r="Y2742" s="112"/>
    </row>
    <row r="2743" spans="22:25" x14ac:dyDescent="0.2">
      <c r="V2743" s="112"/>
      <c r="X2743" s="112"/>
      <c r="Y2743" s="112"/>
    </row>
    <row r="2744" spans="22:25" x14ac:dyDescent="0.2">
      <c r="V2744" s="112"/>
      <c r="X2744" s="112"/>
      <c r="Y2744" s="112"/>
    </row>
    <row r="2745" spans="22:25" x14ac:dyDescent="0.2">
      <c r="V2745" s="112"/>
      <c r="X2745" s="112"/>
      <c r="Y2745" s="112"/>
    </row>
    <row r="2746" spans="22:25" x14ac:dyDescent="0.2">
      <c r="V2746" s="112"/>
      <c r="X2746" s="112"/>
      <c r="Y2746" s="112"/>
    </row>
    <row r="2747" spans="22:25" x14ac:dyDescent="0.2">
      <c r="V2747" s="112"/>
      <c r="X2747" s="112"/>
      <c r="Y2747" s="112"/>
    </row>
    <row r="2748" spans="22:25" x14ac:dyDescent="0.2">
      <c r="V2748" s="112"/>
      <c r="X2748" s="112"/>
      <c r="Y2748" s="112"/>
    </row>
    <row r="2749" spans="22:25" x14ac:dyDescent="0.2">
      <c r="V2749" s="112"/>
      <c r="X2749" s="112"/>
      <c r="Y2749" s="112"/>
    </row>
    <row r="2750" spans="22:25" x14ac:dyDescent="0.2">
      <c r="V2750" s="112"/>
      <c r="X2750" s="112"/>
      <c r="Y2750" s="112"/>
    </row>
    <row r="2751" spans="22:25" x14ac:dyDescent="0.2">
      <c r="V2751" s="112"/>
      <c r="X2751" s="112"/>
      <c r="Y2751" s="112"/>
    </row>
    <row r="2752" spans="22:25" x14ac:dyDescent="0.2">
      <c r="V2752" s="112"/>
      <c r="X2752" s="112"/>
      <c r="Y2752" s="112"/>
    </row>
    <row r="2753" spans="22:25" x14ac:dyDescent="0.2">
      <c r="V2753" s="112"/>
      <c r="X2753" s="112"/>
      <c r="Y2753" s="112"/>
    </row>
    <row r="2754" spans="22:25" x14ac:dyDescent="0.2">
      <c r="V2754" s="112"/>
      <c r="X2754" s="112"/>
      <c r="Y2754" s="112"/>
    </row>
    <row r="2755" spans="22:25" x14ac:dyDescent="0.2">
      <c r="V2755" s="112"/>
      <c r="X2755" s="112"/>
      <c r="Y2755" s="112"/>
    </row>
    <row r="2756" spans="22:25" x14ac:dyDescent="0.2">
      <c r="V2756" s="112"/>
      <c r="X2756" s="112"/>
      <c r="Y2756" s="112"/>
    </row>
    <row r="2757" spans="22:25" x14ac:dyDescent="0.2">
      <c r="V2757" s="112"/>
      <c r="X2757" s="112"/>
      <c r="Y2757" s="112"/>
    </row>
    <row r="2758" spans="22:25" x14ac:dyDescent="0.2">
      <c r="V2758" s="112"/>
      <c r="X2758" s="112"/>
      <c r="Y2758" s="112"/>
    </row>
    <row r="2759" spans="22:25" x14ac:dyDescent="0.2">
      <c r="V2759" s="112"/>
      <c r="X2759" s="112"/>
      <c r="Y2759" s="112"/>
    </row>
    <row r="2760" spans="22:25" x14ac:dyDescent="0.2">
      <c r="V2760" s="112"/>
      <c r="X2760" s="112"/>
      <c r="Y2760" s="112"/>
    </row>
    <row r="2761" spans="22:25" x14ac:dyDescent="0.2">
      <c r="V2761" s="112"/>
      <c r="X2761" s="112"/>
      <c r="Y2761" s="112"/>
    </row>
    <row r="2762" spans="22:25" x14ac:dyDescent="0.2">
      <c r="V2762" s="112"/>
      <c r="X2762" s="112"/>
      <c r="Y2762" s="112"/>
    </row>
    <row r="2763" spans="22:25" x14ac:dyDescent="0.2">
      <c r="V2763" s="112"/>
      <c r="X2763" s="112"/>
      <c r="Y2763" s="112"/>
    </row>
    <row r="2764" spans="22:25" x14ac:dyDescent="0.2">
      <c r="V2764" s="112"/>
      <c r="X2764" s="112"/>
      <c r="Y2764" s="112"/>
    </row>
    <row r="2765" spans="22:25" x14ac:dyDescent="0.2">
      <c r="V2765" s="112"/>
      <c r="X2765" s="112"/>
      <c r="Y2765" s="112"/>
    </row>
    <row r="2766" spans="22:25" x14ac:dyDescent="0.2">
      <c r="V2766" s="112"/>
      <c r="X2766" s="112"/>
      <c r="Y2766" s="112"/>
    </row>
    <row r="2767" spans="22:25" x14ac:dyDescent="0.2">
      <c r="V2767" s="112"/>
      <c r="X2767" s="112"/>
      <c r="Y2767" s="112"/>
    </row>
    <row r="2768" spans="22:25" x14ac:dyDescent="0.2">
      <c r="V2768" s="112"/>
      <c r="X2768" s="112"/>
      <c r="Y2768" s="112"/>
    </row>
    <row r="2769" spans="22:25" x14ac:dyDescent="0.2">
      <c r="V2769" s="112"/>
      <c r="X2769" s="112"/>
      <c r="Y2769" s="112"/>
    </row>
    <row r="2770" spans="22:25" x14ac:dyDescent="0.2">
      <c r="V2770" s="112"/>
      <c r="X2770" s="112"/>
      <c r="Y2770" s="112"/>
    </row>
    <row r="2771" spans="22:25" x14ac:dyDescent="0.2">
      <c r="V2771" s="112"/>
      <c r="X2771" s="112"/>
      <c r="Y2771" s="112"/>
    </row>
    <row r="2772" spans="22:25" x14ac:dyDescent="0.2">
      <c r="V2772" s="112"/>
      <c r="X2772" s="112"/>
      <c r="Y2772" s="112"/>
    </row>
    <row r="2773" spans="22:25" x14ac:dyDescent="0.2">
      <c r="V2773" s="112"/>
      <c r="X2773" s="112"/>
      <c r="Y2773" s="112"/>
    </row>
    <row r="2774" spans="22:25" x14ac:dyDescent="0.2">
      <c r="V2774" s="112"/>
      <c r="X2774" s="112"/>
      <c r="Y2774" s="112"/>
    </row>
    <row r="2775" spans="22:25" x14ac:dyDescent="0.2">
      <c r="V2775" s="112"/>
      <c r="X2775" s="112"/>
      <c r="Y2775" s="112"/>
    </row>
    <row r="2776" spans="22:25" x14ac:dyDescent="0.2">
      <c r="V2776" s="112"/>
      <c r="X2776" s="112"/>
      <c r="Y2776" s="112"/>
    </row>
    <row r="2777" spans="22:25" x14ac:dyDescent="0.2">
      <c r="V2777" s="112"/>
      <c r="X2777" s="112"/>
      <c r="Y2777" s="112"/>
    </row>
    <row r="2778" spans="22:25" x14ac:dyDescent="0.2">
      <c r="V2778" s="112"/>
      <c r="X2778" s="112"/>
      <c r="Y2778" s="112"/>
    </row>
    <row r="2779" spans="22:25" x14ac:dyDescent="0.2">
      <c r="V2779" s="112"/>
      <c r="X2779" s="112"/>
      <c r="Y2779" s="112"/>
    </row>
    <row r="2780" spans="22:25" x14ac:dyDescent="0.2">
      <c r="V2780" s="112"/>
      <c r="X2780" s="112"/>
      <c r="Y2780" s="112"/>
    </row>
    <row r="2781" spans="22:25" x14ac:dyDescent="0.2">
      <c r="V2781" s="112"/>
      <c r="X2781" s="112"/>
      <c r="Y2781" s="112"/>
    </row>
    <row r="2782" spans="22:25" x14ac:dyDescent="0.2">
      <c r="V2782" s="112"/>
      <c r="X2782" s="112"/>
      <c r="Y2782" s="112"/>
    </row>
    <row r="2783" spans="22:25" x14ac:dyDescent="0.2">
      <c r="V2783" s="112"/>
      <c r="X2783" s="112"/>
      <c r="Y2783" s="112"/>
    </row>
    <row r="2784" spans="22:25" x14ac:dyDescent="0.2">
      <c r="V2784" s="112"/>
      <c r="X2784" s="112"/>
      <c r="Y2784" s="112"/>
    </row>
    <row r="2785" spans="22:25" x14ac:dyDescent="0.2">
      <c r="V2785" s="112"/>
      <c r="X2785" s="112"/>
      <c r="Y2785" s="112"/>
    </row>
    <row r="2786" spans="22:25" x14ac:dyDescent="0.2">
      <c r="V2786" s="112"/>
      <c r="X2786" s="112"/>
      <c r="Y2786" s="112"/>
    </row>
    <row r="2787" spans="22:25" x14ac:dyDescent="0.2">
      <c r="V2787" s="112"/>
      <c r="X2787" s="112"/>
      <c r="Y2787" s="112"/>
    </row>
    <row r="2788" spans="22:25" x14ac:dyDescent="0.2">
      <c r="V2788" s="112"/>
      <c r="X2788" s="112"/>
      <c r="Y2788" s="112"/>
    </row>
    <row r="2789" spans="22:25" x14ac:dyDescent="0.2">
      <c r="V2789" s="112"/>
      <c r="X2789" s="112"/>
      <c r="Y2789" s="112"/>
    </row>
    <row r="2790" spans="22:25" x14ac:dyDescent="0.2">
      <c r="V2790" s="112"/>
      <c r="X2790" s="112"/>
      <c r="Y2790" s="112"/>
    </row>
    <row r="2791" spans="22:25" x14ac:dyDescent="0.2">
      <c r="V2791" s="112"/>
      <c r="X2791" s="112"/>
      <c r="Y2791" s="112"/>
    </row>
    <row r="2792" spans="22:25" x14ac:dyDescent="0.2">
      <c r="V2792" s="112"/>
      <c r="X2792" s="112"/>
      <c r="Y2792" s="112"/>
    </row>
    <row r="2793" spans="22:25" x14ac:dyDescent="0.2">
      <c r="V2793" s="112"/>
      <c r="X2793" s="112"/>
      <c r="Y2793" s="112"/>
    </row>
    <row r="2794" spans="22:25" x14ac:dyDescent="0.2">
      <c r="V2794" s="112"/>
      <c r="X2794" s="112"/>
      <c r="Y2794" s="112"/>
    </row>
    <row r="2795" spans="22:25" x14ac:dyDescent="0.2">
      <c r="V2795" s="112"/>
      <c r="X2795" s="112"/>
      <c r="Y2795" s="112"/>
    </row>
    <row r="2796" spans="22:25" x14ac:dyDescent="0.2">
      <c r="V2796" s="112"/>
      <c r="X2796" s="112"/>
      <c r="Y2796" s="112"/>
    </row>
    <row r="2797" spans="22:25" x14ac:dyDescent="0.2">
      <c r="V2797" s="112"/>
      <c r="X2797" s="112"/>
      <c r="Y2797" s="112"/>
    </row>
    <row r="2798" spans="22:25" x14ac:dyDescent="0.2">
      <c r="V2798" s="112"/>
      <c r="X2798" s="112"/>
      <c r="Y2798" s="112"/>
    </row>
    <row r="2799" spans="22:25" x14ac:dyDescent="0.2">
      <c r="V2799" s="112"/>
      <c r="X2799" s="112"/>
      <c r="Y2799" s="112"/>
    </row>
    <row r="2800" spans="22:25" x14ac:dyDescent="0.2">
      <c r="V2800" s="112"/>
      <c r="X2800" s="112"/>
      <c r="Y2800" s="112"/>
    </row>
    <row r="2801" spans="22:25" x14ac:dyDescent="0.2">
      <c r="V2801" s="112"/>
      <c r="X2801" s="112"/>
      <c r="Y2801" s="112"/>
    </row>
    <row r="2802" spans="22:25" x14ac:dyDescent="0.2">
      <c r="V2802" s="112"/>
      <c r="X2802" s="112"/>
      <c r="Y2802" s="112"/>
    </row>
    <row r="2803" spans="22:25" x14ac:dyDescent="0.2">
      <c r="V2803" s="112"/>
      <c r="X2803" s="112"/>
      <c r="Y2803" s="112"/>
    </row>
    <row r="2804" spans="22:25" x14ac:dyDescent="0.2">
      <c r="V2804" s="112"/>
      <c r="X2804" s="112"/>
      <c r="Y2804" s="112"/>
    </row>
    <row r="2805" spans="22:25" x14ac:dyDescent="0.2">
      <c r="V2805" s="112"/>
      <c r="X2805" s="112"/>
      <c r="Y2805" s="112"/>
    </row>
    <row r="2806" spans="22:25" x14ac:dyDescent="0.2">
      <c r="V2806" s="112"/>
      <c r="X2806" s="112"/>
      <c r="Y2806" s="112"/>
    </row>
    <row r="2807" spans="22:25" x14ac:dyDescent="0.2">
      <c r="V2807" s="112"/>
      <c r="X2807" s="112"/>
      <c r="Y2807" s="112"/>
    </row>
    <row r="2808" spans="22:25" x14ac:dyDescent="0.2">
      <c r="V2808" s="112"/>
      <c r="X2808" s="112"/>
      <c r="Y2808" s="112"/>
    </row>
    <row r="2809" spans="22:25" x14ac:dyDescent="0.2">
      <c r="V2809" s="112"/>
      <c r="X2809" s="112"/>
      <c r="Y2809" s="112"/>
    </row>
    <row r="2810" spans="22:25" x14ac:dyDescent="0.2">
      <c r="V2810" s="112"/>
      <c r="X2810" s="112"/>
      <c r="Y2810" s="112"/>
    </row>
    <row r="2811" spans="22:25" x14ac:dyDescent="0.2">
      <c r="V2811" s="112"/>
      <c r="X2811" s="112"/>
      <c r="Y2811" s="112"/>
    </row>
    <row r="2812" spans="22:25" x14ac:dyDescent="0.2">
      <c r="V2812" s="112"/>
      <c r="X2812" s="112"/>
      <c r="Y2812" s="112"/>
    </row>
    <row r="2813" spans="22:25" x14ac:dyDescent="0.2">
      <c r="V2813" s="112"/>
      <c r="X2813" s="112"/>
      <c r="Y2813" s="112"/>
    </row>
    <row r="2814" spans="22:25" x14ac:dyDescent="0.2">
      <c r="V2814" s="112"/>
      <c r="X2814" s="112"/>
      <c r="Y2814" s="112"/>
    </row>
    <row r="2815" spans="22:25" x14ac:dyDescent="0.2">
      <c r="V2815" s="112"/>
      <c r="X2815" s="112"/>
      <c r="Y2815" s="112"/>
    </row>
    <row r="2816" spans="22:25" x14ac:dyDescent="0.2">
      <c r="V2816" s="112"/>
      <c r="X2816" s="112"/>
      <c r="Y2816" s="112"/>
    </row>
    <row r="2817" spans="22:25" x14ac:dyDescent="0.2">
      <c r="V2817" s="112"/>
      <c r="X2817" s="112"/>
      <c r="Y2817" s="112"/>
    </row>
    <row r="2818" spans="22:25" x14ac:dyDescent="0.2">
      <c r="V2818" s="112"/>
      <c r="X2818" s="112"/>
      <c r="Y2818" s="112"/>
    </row>
    <row r="2819" spans="22:25" x14ac:dyDescent="0.2">
      <c r="V2819" s="112"/>
      <c r="X2819" s="112"/>
      <c r="Y2819" s="112"/>
    </row>
    <row r="2820" spans="22:25" x14ac:dyDescent="0.2">
      <c r="V2820" s="112"/>
      <c r="X2820" s="112"/>
      <c r="Y2820" s="112"/>
    </row>
    <row r="2821" spans="22:25" x14ac:dyDescent="0.2">
      <c r="V2821" s="112"/>
      <c r="X2821" s="112"/>
      <c r="Y2821" s="112"/>
    </row>
    <row r="2822" spans="22:25" x14ac:dyDescent="0.2">
      <c r="V2822" s="112"/>
      <c r="X2822" s="112"/>
      <c r="Y2822" s="112"/>
    </row>
    <row r="2823" spans="22:25" x14ac:dyDescent="0.2">
      <c r="V2823" s="112"/>
      <c r="X2823" s="112"/>
      <c r="Y2823" s="112"/>
    </row>
    <row r="2824" spans="22:25" x14ac:dyDescent="0.2">
      <c r="V2824" s="112"/>
      <c r="X2824" s="112"/>
      <c r="Y2824" s="112"/>
    </row>
    <row r="2825" spans="22:25" x14ac:dyDescent="0.2">
      <c r="V2825" s="112"/>
      <c r="X2825" s="112"/>
      <c r="Y2825" s="112"/>
    </row>
    <row r="2826" spans="22:25" x14ac:dyDescent="0.2">
      <c r="V2826" s="112"/>
      <c r="X2826" s="112"/>
      <c r="Y2826" s="112"/>
    </row>
    <row r="2827" spans="22:25" x14ac:dyDescent="0.2">
      <c r="V2827" s="112"/>
      <c r="X2827" s="112"/>
      <c r="Y2827" s="112"/>
    </row>
    <row r="2828" spans="22:25" x14ac:dyDescent="0.2">
      <c r="V2828" s="112"/>
      <c r="X2828" s="112"/>
      <c r="Y2828" s="112"/>
    </row>
    <row r="2829" spans="22:25" x14ac:dyDescent="0.2">
      <c r="V2829" s="112"/>
      <c r="X2829" s="112"/>
      <c r="Y2829" s="112"/>
    </row>
    <row r="2830" spans="22:25" x14ac:dyDescent="0.2">
      <c r="V2830" s="112"/>
      <c r="X2830" s="112"/>
      <c r="Y2830" s="112"/>
    </row>
    <row r="2831" spans="22:25" x14ac:dyDescent="0.2">
      <c r="V2831" s="112"/>
      <c r="X2831" s="112"/>
      <c r="Y2831" s="112"/>
    </row>
    <row r="2832" spans="22:25" x14ac:dyDescent="0.2">
      <c r="V2832" s="112"/>
      <c r="X2832" s="112"/>
      <c r="Y2832" s="112"/>
    </row>
    <row r="2833" spans="22:25" x14ac:dyDescent="0.2">
      <c r="V2833" s="112"/>
      <c r="X2833" s="112"/>
      <c r="Y2833" s="112"/>
    </row>
    <row r="2834" spans="22:25" x14ac:dyDescent="0.2">
      <c r="V2834" s="112"/>
      <c r="X2834" s="112"/>
      <c r="Y2834" s="112"/>
    </row>
    <row r="2835" spans="22:25" x14ac:dyDescent="0.2">
      <c r="V2835" s="112"/>
      <c r="X2835" s="112"/>
      <c r="Y2835" s="112"/>
    </row>
    <row r="2836" spans="22:25" x14ac:dyDescent="0.2">
      <c r="V2836" s="112"/>
      <c r="X2836" s="112"/>
      <c r="Y2836" s="112"/>
    </row>
    <row r="2837" spans="22:25" x14ac:dyDescent="0.2">
      <c r="V2837" s="112"/>
      <c r="X2837" s="112"/>
      <c r="Y2837" s="112"/>
    </row>
    <row r="2838" spans="22:25" x14ac:dyDescent="0.2">
      <c r="V2838" s="112"/>
      <c r="X2838" s="112"/>
      <c r="Y2838" s="112"/>
    </row>
    <row r="2839" spans="22:25" x14ac:dyDescent="0.2">
      <c r="V2839" s="112"/>
      <c r="X2839" s="112"/>
      <c r="Y2839" s="112"/>
    </row>
    <row r="2840" spans="22:25" x14ac:dyDescent="0.2">
      <c r="V2840" s="112"/>
      <c r="X2840" s="112"/>
      <c r="Y2840" s="112"/>
    </row>
    <row r="2841" spans="22:25" x14ac:dyDescent="0.2">
      <c r="V2841" s="112"/>
      <c r="X2841" s="112"/>
      <c r="Y2841" s="112"/>
    </row>
    <row r="2842" spans="22:25" x14ac:dyDescent="0.2">
      <c r="V2842" s="112"/>
      <c r="X2842" s="112"/>
      <c r="Y2842" s="112"/>
    </row>
    <row r="2843" spans="22:25" x14ac:dyDescent="0.2">
      <c r="V2843" s="112"/>
      <c r="X2843" s="112"/>
      <c r="Y2843" s="112"/>
    </row>
    <row r="2844" spans="22:25" x14ac:dyDescent="0.2">
      <c r="V2844" s="112"/>
      <c r="X2844" s="112"/>
      <c r="Y2844" s="112"/>
    </row>
    <row r="2845" spans="22:25" x14ac:dyDescent="0.2">
      <c r="V2845" s="112"/>
      <c r="X2845" s="112"/>
      <c r="Y2845" s="112"/>
    </row>
    <row r="2846" spans="22:25" x14ac:dyDescent="0.2">
      <c r="V2846" s="112"/>
      <c r="X2846" s="112"/>
      <c r="Y2846" s="112"/>
    </row>
    <row r="2847" spans="22:25" x14ac:dyDescent="0.2">
      <c r="V2847" s="112"/>
      <c r="X2847" s="112"/>
      <c r="Y2847" s="112"/>
    </row>
    <row r="2848" spans="22:25" x14ac:dyDescent="0.2">
      <c r="V2848" s="112"/>
      <c r="X2848" s="112"/>
      <c r="Y2848" s="112"/>
    </row>
    <row r="2849" spans="22:25" x14ac:dyDescent="0.2">
      <c r="V2849" s="112"/>
      <c r="X2849" s="112"/>
      <c r="Y2849" s="112"/>
    </row>
    <row r="2850" spans="22:25" x14ac:dyDescent="0.2">
      <c r="V2850" s="112"/>
      <c r="X2850" s="112"/>
      <c r="Y2850" s="112"/>
    </row>
    <row r="2851" spans="22:25" x14ac:dyDescent="0.2">
      <c r="V2851" s="112"/>
      <c r="X2851" s="112"/>
      <c r="Y2851" s="112"/>
    </row>
    <row r="2852" spans="22:25" x14ac:dyDescent="0.2">
      <c r="V2852" s="112"/>
      <c r="X2852" s="112"/>
      <c r="Y2852" s="112"/>
    </row>
    <row r="2853" spans="22:25" x14ac:dyDescent="0.2">
      <c r="V2853" s="112"/>
      <c r="X2853" s="112"/>
      <c r="Y2853" s="112"/>
    </row>
    <row r="2854" spans="22:25" x14ac:dyDescent="0.2">
      <c r="V2854" s="112"/>
      <c r="X2854" s="112"/>
      <c r="Y2854" s="112"/>
    </row>
    <row r="2855" spans="22:25" x14ac:dyDescent="0.2">
      <c r="V2855" s="112"/>
      <c r="X2855" s="112"/>
      <c r="Y2855" s="112"/>
    </row>
    <row r="2856" spans="22:25" x14ac:dyDescent="0.2">
      <c r="V2856" s="112"/>
      <c r="X2856" s="112"/>
      <c r="Y2856" s="112"/>
    </row>
    <row r="2857" spans="22:25" x14ac:dyDescent="0.2">
      <c r="V2857" s="112"/>
      <c r="X2857" s="112"/>
      <c r="Y2857" s="112"/>
    </row>
    <row r="2858" spans="22:25" x14ac:dyDescent="0.2">
      <c r="V2858" s="112"/>
      <c r="X2858" s="112"/>
      <c r="Y2858" s="112"/>
    </row>
    <row r="2859" spans="22:25" x14ac:dyDescent="0.2">
      <c r="V2859" s="112"/>
      <c r="X2859" s="112"/>
      <c r="Y2859" s="112"/>
    </row>
    <row r="2860" spans="22:25" x14ac:dyDescent="0.2">
      <c r="V2860" s="112"/>
      <c r="X2860" s="112"/>
      <c r="Y2860" s="112"/>
    </row>
    <row r="2861" spans="22:25" x14ac:dyDescent="0.2">
      <c r="V2861" s="112"/>
      <c r="X2861" s="112"/>
      <c r="Y2861" s="112"/>
    </row>
    <row r="2862" spans="22:25" x14ac:dyDescent="0.2">
      <c r="V2862" s="112"/>
      <c r="X2862" s="112"/>
      <c r="Y2862" s="112"/>
    </row>
    <row r="2863" spans="22:25" x14ac:dyDescent="0.2">
      <c r="V2863" s="112"/>
      <c r="X2863" s="112"/>
      <c r="Y2863" s="112"/>
    </row>
    <row r="2864" spans="22:25" x14ac:dyDescent="0.2">
      <c r="V2864" s="112"/>
      <c r="X2864" s="112"/>
      <c r="Y2864" s="112"/>
    </row>
    <row r="2865" spans="22:25" x14ac:dyDescent="0.2">
      <c r="V2865" s="112"/>
      <c r="X2865" s="112"/>
      <c r="Y2865" s="112"/>
    </row>
    <row r="2866" spans="22:25" x14ac:dyDescent="0.2">
      <c r="V2866" s="112"/>
      <c r="X2866" s="112"/>
      <c r="Y2866" s="112"/>
    </row>
    <row r="2867" spans="22:25" x14ac:dyDescent="0.2">
      <c r="V2867" s="112"/>
      <c r="X2867" s="112"/>
      <c r="Y2867" s="112"/>
    </row>
    <row r="2868" spans="22:25" x14ac:dyDescent="0.2">
      <c r="V2868" s="112"/>
      <c r="X2868" s="112"/>
      <c r="Y2868" s="112"/>
    </row>
    <row r="2869" spans="22:25" x14ac:dyDescent="0.2">
      <c r="V2869" s="112"/>
      <c r="X2869" s="112"/>
      <c r="Y2869" s="112"/>
    </row>
    <row r="2870" spans="22:25" x14ac:dyDescent="0.2">
      <c r="V2870" s="112"/>
      <c r="X2870" s="112"/>
      <c r="Y2870" s="112"/>
    </row>
    <row r="2871" spans="22:25" x14ac:dyDescent="0.2">
      <c r="V2871" s="112"/>
      <c r="X2871" s="112"/>
      <c r="Y2871" s="112"/>
    </row>
    <row r="2872" spans="22:25" x14ac:dyDescent="0.2">
      <c r="V2872" s="112"/>
      <c r="X2872" s="112"/>
      <c r="Y2872" s="112"/>
    </row>
    <row r="2873" spans="22:25" x14ac:dyDescent="0.2">
      <c r="V2873" s="112"/>
      <c r="X2873" s="112"/>
      <c r="Y2873" s="112"/>
    </row>
    <row r="2874" spans="22:25" x14ac:dyDescent="0.2">
      <c r="V2874" s="112"/>
      <c r="X2874" s="112"/>
      <c r="Y2874" s="112"/>
    </row>
    <row r="2875" spans="22:25" x14ac:dyDescent="0.2">
      <c r="V2875" s="112"/>
      <c r="X2875" s="112"/>
      <c r="Y2875" s="112"/>
    </row>
    <row r="2876" spans="22:25" x14ac:dyDescent="0.2">
      <c r="V2876" s="112"/>
      <c r="X2876" s="112"/>
      <c r="Y2876" s="112"/>
    </row>
    <row r="2877" spans="22:25" x14ac:dyDescent="0.2">
      <c r="V2877" s="112"/>
      <c r="X2877" s="112"/>
      <c r="Y2877" s="112"/>
    </row>
    <row r="2878" spans="22:25" x14ac:dyDescent="0.2">
      <c r="V2878" s="112"/>
      <c r="X2878" s="112"/>
      <c r="Y2878" s="112"/>
    </row>
    <row r="2879" spans="22:25" x14ac:dyDescent="0.2">
      <c r="V2879" s="112"/>
      <c r="X2879" s="112"/>
      <c r="Y2879" s="112"/>
    </row>
    <row r="2880" spans="22:25" x14ac:dyDescent="0.2">
      <c r="V2880" s="112"/>
      <c r="X2880" s="112"/>
      <c r="Y2880" s="112"/>
    </row>
    <row r="2881" spans="22:25" x14ac:dyDescent="0.2">
      <c r="V2881" s="112"/>
      <c r="X2881" s="112"/>
      <c r="Y2881" s="112"/>
    </row>
    <row r="2882" spans="22:25" x14ac:dyDescent="0.2">
      <c r="V2882" s="112"/>
      <c r="X2882" s="112"/>
      <c r="Y2882" s="112"/>
    </row>
    <row r="2883" spans="22:25" x14ac:dyDescent="0.2">
      <c r="V2883" s="112"/>
      <c r="X2883" s="112"/>
      <c r="Y2883" s="112"/>
    </row>
    <row r="2884" spans="22:25" x14ac:dyDescent="0.2">
      <c r="V2884" s="112"/>
      <c r="X2884" s="112"/>
      <c r="Y2884" s="112"/>
    </row>
    <row r="2885" spans="22:25" x14ac:dyDescent="0.2">
      <c r="V2885" s="112"/>
      <c r="X2885" s="112"/>
      <c r="Y2885" s="112"/>
    </row>
    <row r="2886" spans="22:25" x14ac:dyDescent="0.2">
      <c r="V2886" s="112"/>
      <c r="X2886" s="112"/>
      <c r="Y2886" s="112"/>
    </row>
    <row r="2887" spans="22:25" x14ac:dyDescent="0.2">
      <c r="V2887" s="112"/>
      <c r="X2887" s="112"/>
      <c r="Y2887" s="112"/>
    </row>
    <row r="2888" spans="22:25" x14ac:dyDescent="0.2">
      <c r="V2888" s="112"/>
      <c r="X2888" s="112"/>
      <c r="Y2888" s="112"/>
    </row>
    <row r="2889" spans="22:25" x14ac:dyDescent="0.2">
      <c r="V2889" s="112"/>
      <c r="X2889" s="112"/>
      <c r="Y2889" s="112"/>
    </row>
    <row r="2890" spans="22:25" x14ac:dyDescent="0.2">
      <c r="V2890" s="112"/>
      <c r="X2890" s="112"/>
      <c r="Y2890" s="112"/>
    </row>
    <row r="2891" spans="22:25" x14ac:dyDescent="0.2">
      <c r="V2891" s="112"/>
      <c r="X2891" s="112"/>
      <c r="Y2891" s="112"/>
    </row>
    <row r="2892" spans="22:25" x14ac:dyDescent="0.2">
      <c r="V2892" s="112"/>
      <c r="X2892" s="112"/>
      <c r="Y2892" s="112"/>
    </row>
    <row r="2893" spans="22:25" x14ac:dyDescent="0.2">
      <c r="V2893" s="112"/>
      <c r="X2893" s="112"/>
      <c r="Y2893" s="112"/>
    </row>
    <row r="2894" spans="22:25" x14ac:dyDescent="0.2">
      <c r="V2894" s="112"/>
      <c r="X2894" s="112"/>
      <c r="Y2894" s="112"/>
    </row>
    <row r="2895" spans="22:25" x14ac:dyDescent="0.2">
      <c r="V2895" s="112"/>
      <c r="X2895" s="112"/>
      <c r="Y2895" s="112"/>
    </row>
    <row r="2896" spans="22:25" x14ac:dyDescent="0.2">
      <c r="V2896" s="112"/>
      <c r="X2896" s="112"/>
      <c r="Y2896" s="112"/>
    </row>
    <row r="2897" spans="22:25" x14ac:dyDescent="0.2">
      <c r="V2897" s="112"/>
      <c r="X2897" s="112"/>
      <c r="Y2897" s="112"/>
    </row>
    <row r="2898" spans="22:25" x14ac:dyDescent="0.2">
      <c r="V2898" s="112"/>
      <c r="X2898" s="112"/>
      <c r="Y2898" s="112"/>
    </row>
    <row r="2899" spans="22:25" x14ac:dyDescent="0.2">
      <c r="V2899" s="112"/>
      <c r="X2899" s="112"/>
      <c r="Y2899" s="112"/>
    </row>
    <row r="2900" spans="22:25" x14ac:dyDescent="0.2">
      <c r="V2900" s="112"/>
      <c r="X2900" s="112"/>
      <c r="Y2900" s="112"/>
    </row>
    <row r="2901" spans="22:25" x14ac:dyDescent="0.2">
      <c r="V2901" s="112"/>
      <c r="X2901" s="112"/>
      <c r="Y2901" s="112"/>
    </row>
    <row r="2902" spans="22:25" x14ac:dyDescent="0.2">
      <c r="V2902" s="112"/>
      <c r="X2902" s="112"/>
      <c r="Y2902" s="112"/>
    </row>
    <row r="2903" spans="22:25" x14ac:dyDescent="0.2">
      <c r="V2903" s="112"/>
      <c r="X2903" s="112"/>
      <c r="Y2903" s="112"/>
    </row>
    <row r="2904" spans="22:25" x14ac:dyDescent="0.2">
      <c r="V2904" s="112"/>
      <c r="X2904" s="112"/>
      <c r="Y2904" s="112"/>
    </row>
    <row r="2905" spans="22:25" x14ac:dyDescent="0.2">
      <c r="V2905" s="112"/>
      <c r="X2905" s="112"/>
      <c r="Y2905" s="112"/>
    </row>
    <row r="2906" spans="22:25" x14ac:dyDescent="0.2">
      <c r="V2906" s="112"/>
      <c r="X2906" s="112"/>
      <c r="Y2906" s="112"/>
    </row>
    <row r="2907" spans="22:25" x14ac:dyDescent="0.2">
      <c r="V2907" s="112"/>
      <c r="X2907" s="112"/>
      <c r="Y2907" s="112"/>
    </row>
    <row r="2908" spans="22:25" x14ac:dyDescent="0.2">
      <c r="V2908" s="112"/>
      <c r="X2908" s="112"/>
      <c r="Y2908" s="112"/>
    </row>
    <row r="2909" spans="22:25" x14ac:dyDescent="0.2">
      <c r="V2909" s="112"/>
      <c r="X2909" s="112"/>
      <c r="Y2909" s="112"/>
    </row>
    <row r="2910" spans="22:25" x14ac:dyDescent="0.2">
      <c r="V2910" s="112"/>
      <c r="X2910" s="112"/>
      <c r="Y2910" s="112"/>
    </row>
    <row r="2911" spans="22:25" x14ac:dyDescent="0.2">
      <c r="V2911" s="112"/>
      <c r="X2911" s="112"/>
      <c r="Y2911" s="112"/>
    </row>
    <row r="2912" spans="22:25" x14ac:dyDescent="0.2">
      <c r="V2912" s="112"/>
      <c r="X2912" s="112"/>
      <c r="Y2912" s="112"/>
    </row>
    <row r="2913" spans="22:25" x14ac:dyDescent="0.2">
      <c r="V2913" s="112"/>
      <c r="X2913" s="112"/>
      <c r="Y2913" s="112"/>
    </row>
    <row r="2914" spans="22:25" x14ac:dyDescent="0.2">
      <c r="V2914" s="112"/>
      <c r="X2914" s="112"/>
      <c r="Y2914" s="112"/>
    </row>
    <row r="2915" spans="22:25" x14ac:dyDescent="0.2">
      <c r="V2915" s="112"/>
      <c r="X2915" s="112"/>
      <c r="Y2915" s="112"/>
    </row>
    <row r="2916" spans="22:25" x14ac:dyDescent="0.2">
      <c r="V2916" s="112"/>
      <c r="X2916" s="112"/>
      <c r="Y2916" s="112"/>
    </row>
    <row r="2917" spans="22:25" x14ac:dyDescent="0.2">
      <c r="V2917" s="112"/>
      <c r="X2917" s="112"/>
      <c r="Y2917" s="112"/>
    </row>
    <row r="2918" spans="22:25" x14ac:dyDescent="0.2">
      <c r="V2918" s="112"/>
      <c r="X2918" s="112"/>
      <c r="Y2918" s="112"/>
    </row>
    <row r="2919" spans="22:25" x14ac:dyDescent="0.2">
      <c r="V2919" s="112"/>
      <c r="X2919" s="112"/>
      <c r="Y2919" s="112"/>
    </row>
    <row r="2920" spans="22:25" x14ac:dyDescent="0.2">
      <c r="V2920" s="112"/>
      <c r="X2920" s="112"/>
      <c r="Y2920" s="112"/>
    </row>
    <row r="2921" spans="22:25" x14ac:dyDescent="0.2">
      <c r="V2921" s="112"/>
      <c r="X2921" s="112"/>
      <c r="Y2921" s="112"/>
    </row>
    <row r="2922" spans="22:25" x14ac:dyDescent="0.2">
      <c r="V2922" s="112"/>
      <c r="X2922" s="112"/>
      <c r="Y2922" s="112"/>
    </row>
    <row r="2923" spans="22:25" x14ac:dyDescent="0.2">
      <c r="V2923" s="112"/>
      <c r="X2923" s="112"/>
      <c r="Y2923" s="112"/>
    </row>
    <row r="2924" spans="22:25" x14ac:dyDescent="0.2">
      <c r="V2924" s="112"/>
      <c r="X2924" s="112"/>
      <c r="Y2924" s="112"/>
    </row>
    <row r="2925" spans="22:25" x14ac:dyDescent="0.2">
      <c r="V2925" s="112"/>
      <c r="X2925" s="112"/>
      <c r="Y2925" s="112"/>
    </row>
    <row r="2926" spans="22:25" x14ac:dyDescent="0.2">
      <c r="V2926" s="112"/>
      <c r="X2926" s="112"/>
      <c r="Y2926" s="112"/>
    </row>
    <row r="2927" spans="22:25" x14ac:dyDescent="0.2">
      <c r="V2927" s="112"/>
      <c r="X2927" s="112"/>
      <c r="Y2927" s="112"/>
    </row>
    <row r="2928" spans="22:25" x14ac:dyDescent="0.2">
      <c r="V2928" s="112"/>
      <c r="X2928" s="112"/>
      <c r="Y2928" s="112"/>
    </row>
    <row r="2929" spans="22:25" x14ac:dyDescent="0.2">
      <c r="V2929" s="112"/>
      <c r="X2929" s="112"/>
      <c r="Y2929" s="112"/>
    </row>
    <row r="2930" spans="22:25" x14ac:dyDescent="0.2">
      <c r="V2930" s="112"/>
      <c r="X2930" s="112"/>
      <c r="Y2930" s="112"/>
    </row>
    <row r="2931" spans="22:25" x14ac:dyDescent="0.2">
      <c r="V2931" s="112"/>
      <c r="X2931" s="112"/>
      <c r="Y2931" s="112"/>
    </row>
    <row r="2932" spans="22:25" x14ac:dyDescent="0.2">
      <c r="V2932" s="112"/>
      <c r="X2932" s="112"/>
      <c r="Y2932" s="112"/>
    </row>
    <row r="2933" spans="22:25" x14ac:dyDescent="0.2">
      <c r="V2933" s="112"/>
      <c r="X2933" s="112"/>
      <c r="Y2933" s="112"/>
    </row>
    <row r="2934" spans="22:25" x14ac:dyDescent="0.2">
      <c r="V2934" s="112"/>
      <c r="X2934" s="112"/>
      <c r="Y2934" s="112"/>
    </row>
    <row r="2935" spans="22:25" x14ac:dyDescent="0.2">
      <c r="V2935" s="112"/>
      <c r="X2935" s="112"/>
      <c r="Y2935" s="112"/>
    </row>
    <row r="2936" spans="22:25" x14ac:dyDescent="0.2">
      <c r="V2936" s="112"/>
      <c r="X2936" s="112"/>
      <c r="Y2936" s="112"/>
    </row>
    <row r="2937" spans="22:25" x14ac:dyDescent="0.2">
      <c r="V2937" s="112"/>
      <c r="X2937" s="112"/>
      <c r="Y2937" s="112"/>
    </row>
    <row r="2938" spans="22:25" x14ac:dyDescent="0.2">
      <c r="V2938" s="112"/>
      <c r="X2938" s="112"/>
      <c r="Y2938" s="112"/>
    </row>
    <row r="2939" spans="22:25" x14ac:dyDescent="0.2">
      <c r="V2939" s="112"/>
      <c r="X2939" s="112"/>
      <c r="Y2939" s="112"/>
    </row>
    <row r="2940" spans="22:25" x14ac:dyDescent="0.2">
      <c r="V2940" s="112"/>
      <c r="X2940" s="112"/>
      <c r="Y2940" s="112"/>
    </row>
    <row r="2941" spans="22:25" x14ac:dyDescent="0.2">
      <c r="V2941" s="112"/>
      <c r="X2941" s="112"/>
      <c r="Y2941" s="112"/>
    </row>
    <row r="2942" spans="22:25" x14ac:dyDescent="0.2">
      <c r="V2942" s="112"/>
      <c r="X2942" s="112"/>
      <c r="Y2942" s="112"/>
    </row>
    <row r="2943" spans="22:25" x14ac:dyDescent="0.2">
      <c r="V2943" s="112"/>
      <c r="X2943" s="112"/>
      <c r="Y2943" s="112"/>
    </row>
    <row r="2944" spans="22:25" x14ac:dyDescent="0.2">
      <c r="V2944" s="112"/>
      <c r="X2944" s="112"/>
      <c r="Y2944" s="112"/>
    </row>
    <row r="2945" spans="22:25" x14ac:dyDescent="0.2">
      <c r="V2945" s="112"/>
      <c r="X2945" s="112"/>
      <c r="Y2945" s="112"/>
    </row>
    <row r="2946" spans="22:25" x14ac:dyDescent="0.2">
      <c r="V2946" s="112"/>
      <c r="X2946" s="112"/>
      <c r="Y2946" s="112"/>
    </row>
    <row r="2947" spans="22:25" x14ac:dyDescent="0.2">
      <c r="V2947" s="112"/>
      <c r="X2947" s="112"/>
      <c r="Y2947" s="112"/>
    </row>
    <row r="2948" spans="22:25" x14ac:dyDescent="0.2">
      <c r="V2948" s="112"/>
      <c r="X2948" s="112"/>
      <c r="Y2948" s="112"/>
    </row>
    <row r="2949" spans="22:25" x14ac:dyDescent="0.2">
      <c r="V2949" s="112"/>
      <c r="X2949" s="112"/>
      <c r="Y2949" s="112"/>
    </row>
    <row r="2950" spans="22:25" x14ac:dyDescent="0.2">
      <c r="V2950" s="112"/>
      <c r="X2950" s="112"/>
      <c r="Y2950" s="112"/>
    </row>
    <row r="2951" spans="22:25" x14ac:dyDescent="0.2">
      <c r="V2951" s="112"/>
      <c r="X2951" s="112"/>
      <c r="Y2951" s="112"/>
    </row>
    <row r="2952" spans="22:25" x14ac:dyDescent="0.2">
      <c r="V2952" s="112"/>
      <c r="X2952" s="112"/>
      <c r="Y2952" s="112"/>
    </row>
    <row r="2953" spans="22:25" x14ac:dyDescent="0.2">
      <c r="V2953" s="112"/>
      <c r="X2953" s="112"/>
      <c r="Y2953" s="112"/>
    </row>
    <row r="2954" spans="22:25" x14ac:dyDescent="0.2">
      <c r="V2954" s="112"/>
      <c r="X2954" s="112"/>
      <c r="Y2954" s="112"/>
    </row>
    <row r="2955" spans="22:25" x14ac:dyDescent="0.2">
      <c r="V2955" s="112"/>
      <c r="X2955" s="112"/>
      <c r="Y2955" s="112"/>
    </row>
    <row r="2956" spans="22:25" x14ac:dyDescent="0.2">
      <c r="V2956" s="112"/>
      <c r="X2956" s="112"/>
      <c r="Y2956" s="112"/>
    </row>
    <row r="2957" spans="22:25" x14ac:dyDescent="0.2">
      <c r="V2957" s="112"/>
      <c r="X2957" s="112"/>
      <c r="Y2957" s="112"/>
    </row>
    <row r="2958" spans="22:25" x14ac:dyDescent="0.2">
      <c r="V2958" s="112"/>
      <c r="X2958" s="112"/>
      <c r="Y2958" s="112"/>
    </row>
    <row r="2959" spans="22:25" x14ac:dyDescent="0.2">
      <c r="V2959" s="112"/>
      <c r="X2959" s="112"/>
      <c r="Y2959" s="112"/>
    </row>
    <row r="2960" spans="22:25" x14ac:dyDescent="0.2">
      <c r="V2960" s="112"/>
      <c r="X2960" s="112"/>
      <c r="Y2960" s="112"/>
    </row>
    <row r="2961" spans="22:25" x14ac:dyDescent="0.2">
      <c r="V2961" s="112"/>
      <c r="X2961" s="112"/>
      <c r="Y2961" s="112"/>
    </row>
    <row r="2962" spans="22:25" x14ac:dyDescent="0.2">
      <c r="V2962" s="112"/>
      <c r="X2962" s="112"/>
      <c r="Y2962" s="112"/>
    </row>
    <row r="2963" spans="22:25" x14ac:dyDescent="0.2">
      <c r="V2963" s="112"/>
      <c r="X2963" s="112"/>
      <c r="Y2963" s="112"/>
    </row>
    <row r="2964" spans="22:25" x14ac:dyDescent="0.2">
      <c r="V2964" s="112"/>
      <c r="X2964" s="112"/>
      <c r="Y2964" s="112"/>
    </row>
    <row r="2965" spans="22:25" x14ac:dyDescent="0.2">
      <c r="V2965" s="112"/>
      <c r="X2965" s="112"/>
      <c r="Y2965" s="112"/>
    </row>
    <row r="2966" spans="22:25" x14ac:dyDescent="0.2">
      <c r="V2966" s="112"/>
      <c r="X2966" s="112"/>
      <c r="Y2966" s="112"/>
    </row>
    <row r="2967" spans="22:25" x14ac:dyDescent="0.2">
      <c r="V2967" s="112"/>
      <c r="X2967" s="112"/>
      <c r="Y2967" s="112"/>
    </row>
    <row r="2968" spans="22:25" x14ac:dyDescent="0.2">
      <c r="V2968" s="112"/>
      <c r="X2968" s="112"/>
      <c r="Y2968" s="112"/>
    </row>
    <row r="2969" spans="22:25" x14ac:dyDescent="0.2">
      <c r="V2969" s="112"/>
      <c r="X2969" s="112"/>
      <c r="Y2969" s="112"/>
    </row>
    <row r="2970" spans="22:25" x14ac:dyDescent="0.2">
      <c r="V2970" s="112"/>
      <c r="X2970" s="112"/>
      <c r="Y2970" s="112"/>
    </row>
    <row r="2971" spans="22:25" x14ac:dyDescent="0.2">
      <c r="V2971" s="112"/>
      <c r="X2971" s="112"/>
      <c r="Y2971" s="112"/>
    </row>
    <row r="2972" spans="22:25" x14ac:dyDescent="0.2">
      <c r="V2972" s="112"/>
      <c r="X2972" s="112"/>
      <c r="Y2972" s="112"/>
    </row>
    <row r="2973" spans="22:25" x14ac:dyDescent="0.2">
      <c r="V2973" s="112"/>
      <c r="X2973" s="112"/>
      <c r="Y2973" s="112"/>
    </row>
    <row r="2974" spans="22:25" x14ac:dyDescent="0.2">
      <c r="V2974" s="112"/>
      <c r="X2974" s="112"/>
      <c r="Y2974" s="112"/>
    </row>
    <row r="2975" spans="22:25" x14ac:dyDescent="0.2">
      <c r="V2975" s="112"/>
      <c r="X2975" s="112"/>
      <c r="Y2975" s="112"/>
    </row>
    <row r="2976" spans="22:25" x14ac:dyDescent="0.2">
      <c r="V2976" s="112"/>
      <c r="X2976" s="112"/>
      <c r="Y2976" s="112"/>
    </row>
    <row r="2977" spans="22:25" x14ac:dyDescent="0.2">
      <c r="V2977" s="112"/>
      <c r="X2977" s="112"/>
      <c r="Y2977" s="112"/>
    </row>
    <row r="2978" spans="22:25" x14ac:dyDescent="0.2">
      <c r="V2978" s="112"/>
      <c r="X2978" s="112"/>
      <c r="Y2978" s="112"/>
    </row>
    <row r="2979" spans="22:25" x14ac:dyDescent="0.2">
      <c r="V2979" s="112"/>
      <c r="X2979" s="112"/>
      <c r="Y2979" s="112"/>
    </row>
    <row r="2980" spans="22:25" x14ac:dyDescent="0.2">
      <c r="V2980" s="112"/>
      <c r="X2980" s="112"/>
      <c r="Y2980" s="112"/>
    </row>
    <row r="2981" spans="22:25" x14ac:dyDescent="0.2">
      <c r="V2981" s="112"/>
      <c r="X2981" s="112"/>
      <c r="Y2981" s="112"/>
    </row>
    <row r="2982" spans="22:25" x14ac:dyDescent="0.2">
      <c r="V2982" s="112"/>
      <c r="X2982" s="112"/>
      <c r="Y2982" s="112"/>
    </row>
    <row r="2983" spans="22:25" x14ac:dyDescent="0.2">
      <c r="V2983" s="112"/>
      <c r="X2983" s="112"/>
      <c r="Y2983" s="112"/>
    </row>
    <row r="2984" spans="22:25" x14ac:dyDescent="0.2">
      <c r="V2984" s="112"/>
      <c r="X2984" s="112"/>
      <c r="Y2984" s="112"/>
    </row>
    <row r="2985" spans="22:25" x14ac:dyDescent="0.2">
      <c r="V2985" s="112"/>
      <c r="X2985" s="112"/>
      <c r="Y2985" s="112"/>
    </row>
    <row r="2986" spans="22:25" x14ac:dyDescent="0.2">
      <c r="V2986" s="112"/>
      <c r="X2986" s="112"/>
      <c r="Y2986" s="112"/>
    </row>
    <row r="2987" spans="22:25" x14ac:dyDescent="0.2">
      <c r="V2987" s="112"/>
      <c r="X2987" s="112"/>
      <c r="Y2987" s="112"/>
    </row>
    <row r="2988" spans="22:25" x14ac:dyDescent="0.2">
      <c r="V2988" s="112"/>
      <c r="X2988" s="112"/>
      <c r="Y2988" s="112"/>
    </row>
    <row r="2989" spans="22:25" x14ac:dyDescent="0.2">
      <c r="V2989" s="112"/>
      <c r="X2989" s="112"/>
      <c r="Y2989" s="112"/>
    </row>
    <row r="2990" spans="22:25" x14ac:dyDescent="0.2">
      <c r="V2990" s="112"/>
      <c r="X2990" s="112"/>
      <c r="Y2990" s="112"/>
    </row>
    <row r="2991" spans="22:25" x14ac:dyDescent="0.2">
      <c r="V2991" s="112"/>
      <c r="X2991" s="112"/>
      <c r="Y2991" s="112"/>
    </row>
    <row r="2992" spans="22:25" x14ac:dyDescent="0.2">
      <c r="V2992" s="112"/>
      <c r="X2992" s="112"/>
      <c r="Y2992" s="112"/>
    </row>
    <row r="2993" spans="22:25" x14ac:dyDescent="0.2">
      <c r="V2993" s="112"/>
      <c r="X2993" s="112"/>
      <c r="Y2993" s="112"/>
    </row>
    <row r="2994" spans="22:25" x14ac:dyDescent="0.2">
      <c r="V2994" s="112"/>
      <c r="X2994" s="112"/>
      <c r="Y2994" s="112"/>
    </row>
    <row r="2995" spans="22:25" x14ac:dyDescent="0.2">
      <c r="V2995" s="112"/>
      <c r="X2995" s="112"/>
      <c r="Y2995" s="112"/>
    </row>
    <row r="2996" spans="22:25" x14ac:dyDescent="0.2">
      <c r="V2996" s="112"/>
      <c r="X2996" s="112"/>
      <c r="Y2996" s="112"/>
    </row>
    <row r="2997" spans="22:25" x14ac:dyDescent="0.2">
      <c r="V2997" s="112"/>
      <c r="X2997" s="112"/>
      <c r="Y2997" s="112"/>
    </row>
    <row r="2998" spans="22:25" x14ac:dyDescent="0.2">
      <c r="V2998" s="112"/>
      <c r="X2998" s="112"/>
      <c r="Y2998" s="112"/>
    </row>
    <row r="2999" spans="22:25" x14ac:dyDescent="0.2">
      <c r="V2999" s="112"/>
      <c r="X2999" s="112"/>
      <c r="Y2999" s="112"/>
    </row>
    <row r="3000" spans="22:25" x14ac:dyDescent="0.2">
      <c r="V3000" s="112"/>
      <c r="X3000" s="112"/>
      <c r="Y3000" s="112"/>
    </row>
    <row r="3001" spans="22:25" x14ac:dyDescent="0.2">
      <c r="V3001" s="112"/>
      <c r="X3001" s="112"/>
      <c r="Y3001" s="112"/>
    </row>
    <row r="3002" spans="22:25" x14ac:dyDescent="0.2">
      <c r="V3002" s="112"/>
      <c r="X3002" s="112"/>
      <c r="Y3002" s="112"/>
    </row>
    <row r="3003" spans="22:25" x14ac:dyDescent="0.2">
      <c r="V3003" s="112"/>
      <c r="X3003" s="112"/>
      <c r="Y3003" s="112"/>
    </row>
    <row r="3004" spans="22:25" x14ac:dyDescent="0.2">
      <c r="V3004" s="112"/>
      <c r="X3004" s="112"/>
      <c r="Y3004" s="112"/>
    </row>
    <row r="3005" spans="22:25" x14ac:dyDescent="0.2">
      <c r="V3005" s="112"/>
      <c r="X3005" s="112"/>
      <c r="Y3005" s="112"/>
    </row>
    <row r="3006" spans="22:25" x14ac:dyDescent="0.2">
      <c r="V3006" s="112"/>
      <c r="X3006" s="112"/>
      <c r="Y3006" s="112"/>
    </row>
    <row r="3007" spans="22:25" x14ac:dyDescent="0.2">
      <c r="V3007" s="112"/>
      <c r="X3007" s="112"/>
      <c r="Y3007" s="112"/>
    </row>
    <row r="3008" spans="22:25" x14ac:dyDescent="0.2">
      <c r="V3008" s="112"/>
      <c r="X3008" s="112"/>
      <c r="Y3008" s="112"/>
    </row>
    <row r="3009" spans="22:25" x14ac:dyDescent="0.2">
      <c r="V3009" s="112"/>
      <c r="X3009" s="112"/>
      <c r="Y3009" s="112"/>
    </row>
    <row r="3010" spans="22:25" x14ac:dyDescent="0.2">
      <c r="V3010" s="112"/>
      <c r="X3010" s="112"/>
      <c r="Y3010" s="112"/>
    </row>
    <row r="3011" spans="22:25" x14ac:dyDescent="0.2">
      <c r="V3011" s="112"/>
      <c r="X3011" s="112"/>
      <c r="Y3011" s="112"/>
    </row>
    <row r="3012" spans="22:25" x14ac:dyDescent="0.2">
      <c r="V3012" s="112"/>
      <c r="X3012" s="112"/>
      <c r="Y3012" s="112"/>
    </row>
    <row r="3013" spans="22:25" x14ac:dyDescent="0.2">
      <c r="V3013" s="112"/>
      <c r="X3013" s="112"/>
      <c r="Y3013" s="112"/>
    </row>
    <row r="3014" spans="22:25" x14ac:dyDescent="0.2">
      <c r="V3014" s="112"/>
      <c r="X3014" s="112"/>
      <c r="Y3014" s="112"/>
    </row>
    <row r="3015" spans="22:25" x14ac:dyDescent="0.2">
      <c r="V3015" s="112"/>
      <c r="X3015" s="112"/>
      <c r="Y3015" s="112"/>
    </row>
    <row r="3016" spans="22:25" x14ac:dyDescent="0.2">
      <c r="V3016" s="112"/>
      <c r="X3016" s="112"/>
      <c r="Y3016" s="112"/>
    </row>
    <row r="3017" spans="22:25" x14ac:dyDescent="0.2">
      <c r="V3017" s="112"/>
      <c r="X3017" s="112"/>
      <c r="Y3017" s="112"/>
    </row>
    <row r="3018" spans="22:25" x14ac:dyDescent="0.2">
      <c r="V3018" s="112"/>
      <c r="X3018" s="112"/>
      <c r="Y3018" s="112"/>
    </row>
    <row r="3019" spans="22:25" x14ac:dyDescent="0.2">
      <c r="V3019" s="112"/>
      <c r="X3019" s="112"/>
      <c r="Y3019" s="112"/>
    </row>
    <row r="3020" spans="22:25" x14ac:dyDescent="0.2">
      <c r="V3020" s="112"/>
      <c r="X3020" s="112"/>
      <c r="Y3020" s="112"/>
    </row>
    <row r="3021" spans="22:25" x14ac:dyDescent="0.2">
      <c r="V3021" s="112"/>
      <c r="X3021" s="112"/>
      <c r="Y3021" s="112"/>
    </row>
    <row r="3022" spans="22:25" x14ac:dyDescent="0.2">
      <c r="V3022" s="112"/>
      <c r="X3022" s="112"/>
      <c r="Y3022" s="112"/>
    </row>
    <row r="3023" spans="22:25" x14ac:dyDescent="0.2">
      <c r="V3023" s="112"/>
      <c r="X3023" s="112"/>
      <c r="Y3023" s="112"/>
    </row>
    <row r="3024" spans="22:25" x14ac:dyDescent="0.2">
      <c r="V3024" s="112"/>
      <c r="X3024" s="112"/>
      <c r="Y3024" s="112"/>
    </row>
    <row r="3025" spans="22:25" x14ac:dyDescent="0.2">
      <c r="V3025" s="112"/>
      <c r="X3025" s="112"/>
      <c r="Y3025" s="112"/>
    </row>
    <row r="3026" spans="22:25" x14ac:dyDescent="0.2">
      <c r="V3026" s="112"/>
      <c r="X3026" s="112"/>
      <c r="Y3026" s="112"/>
    </row>
    <row r="3027" spans="22:25" x14ac:dyDescent="0.2">
      <c r="V3027" s="112"/>
      <c r="X3027" s="112"/>
      <c r="Y3027" s="112"/>
    </row>
    <row r="3028" spans="22:25" x14ac:dyDescent="0.2">
      <c r="V3028" s="112"/>
      <c r="X3028" s="112"/>
      <c r="Y3028" s="112"/>
    </row>
    <row r="3029" spans="22:25" x14ac:dyDescent="0.2">
      <c r="V3029" s="112"/>
      <c r="X3029" s="112"/>
      <c r="Y3029" s="112"/>
    </row>
    <row r="3030" spans="22:25" x14ac:dyDescent="0.2">
      <c r="V3030" s="112"/>
      <c r="X3030" s="112"/>
      <c r="Y3030" s="112"/>
    </row>
    <row r="3031" spans="22:25" x14ac:dyDescent="0.2">
      <c r="V3031" s="112"/>
      <c r="X3031" s="112"/>
      <c r="Y3031" s="112"/>
    </row>
    <row r="3032" spans="22:25" x14ac:dyDescent="0.2">
      <c r="V3032" s="112"/>
      <c r="X3032" s="112"/>
      <c r="Y3032" s="112"/>
    </row>
    <row r="3033" spans="22:25" x14ac:dyDescent="0.2">
      <c r="V3033" s="112"/>
      <c r="X3033" s="112"/>
      <c r="Y3033" s="112"/>
    </row>
    <row r="3034" spans="22:25" x14ac:dyDescent="0.2">
      <c r="V3034" s="112"/>
      <c r="X3034" s="112"/>
      <c r="Y3034" s="112"/>
    </row>
    <row r="3035" spans="22:25" x14ac:dyDescent="0.2">
      <c r="V3035" s="112"/>
      <c r="X3035" s="112"/>
      <c r="Y3035" s="112"/>
    </row>
    <row r="3036" spans="22:25" x14ac:dyDescent="0.2">
      <c r="V3036" s="112"/>
      <c r="X3036" s="112"/>
      <c r="Y3036" s="112"/>
    </row>
    <row r="3037" spans="22:25" x14ac:dyDescent="0.2">
      <c r="V3037" s="112"/>
      <c r="X3037" s="112"/>
      <c r="Y3037" s="112"/>
    </row>
    <row r="3038" spans="22:25" x14ac:dyDescent="0.2">
      <c r="V3038" s="112"/>
      <c r="X3038" s="112"/>
      <c r="Y3038" s="112"/>
    </row>
    <row r="3039" spans="22:25" x14ac:dyDescent="0.2">
      <c r="V3039" s="112"/>
      <c r="X3039" s="112"/>
      <c r="Y3039" s="112"/>
    </row>
    <row r="3040" spans="22:25" x14ac:dyDescent="0.2">
      <c r="V3040" s="112"/>
      <c r="X3040" s="112"/>
      <c r="Y3040" s="112"/>
    </row>
    <row r="3041" spans="22:25" x14ac:dyDescent="0.2">
      <c r="V3041" s="112"/>
      <c r="X3041" s="112"/>
      <c r="Y3041" s="112"/>
    </row>
    <row r="3042" spans="22:25" x14ac:dyDescent="0.2">
      <c r="V3042" s="112"/>
      <c r="X3042" s="112"/>
      <c r="Y3042" s="112"/>
    </row>
    <row r="3043" spans="22:25" x14ac:dyDescent="0.2">
      <c r="V3043" s="112"/>
      <c r="X3043" s="112"/>
      <c r="Y3043" s="112"/>
    </row>
    <row r="3044" spans="22:25" x14ac:dyDescent="0.2">
      <c r="V3044" s="112"/>
      <c r="X3044" s="112"/>
      <c r="Y3044" s="112"/>
    </row>
    <row r="3045" spans="22:25" x14ac:dyDescent="0.2">
      <c r="V3045" s="112"/>
      <c r="X3045" s="112"/>
      <c r="Y3045" s="112"/>
    </row>
    <row r="3046" spans="22:25" x14ac:dyDescent="0.2">
      <c r="V3046" s="112"/>
      <c r="X3046" s="112"/>
      <c r="Y3046" s="112"/>
    </row>
    <row r="3047" spans="22:25" x14ac:dyDescent="0.2">
      <c r="V3047" s="112"/>
      <c r="X3047" s="112"/>
      <c r="Y3047" s="112"/>
    </row>
    <row r="3048" spans="22:25" x14ac:dyDescent="0.2">
      <c r="V3048" s="112"/>
      <c r="X3048" s="112"/>
      <c r="Y3048" s="112"/>
    </row>
    <row r="3049" spans="22:25" x14ac:dyDescent="0.2">
      <c r="V3049" s="112"/>
      <c r="X3049" s="112"/>
      <c r="Y3049" s="112"/>
    </row>
    <row r="3050" spans="22:25" x14ac:dyDescent="0.2">
      <c r="V3050" s="112"/>
      <c r="X3050" s="112"/>
      <c r="Y3050" s="112"/>
    </row>
    <row r="3051" spans="22:25" x14ac:dyDescent="0.2">
      <c r="V3051" s="112"/>
      <c r="X3051" s="112"/>
      <c r="Y3051" s="112"/>
    </row>
    <row r="3052" spans="22:25" x14ac:dyDescent="0.2">
      <c r="V3052" s="112"/>
      <c r="X3052" s="112"/>
      <c r="Y3052" s="112"/>
    </row>
    <row r="3053" spans="22:25" x14ac:dyDescent="0.2">
      <c r="V3053" s="112"/>
      <c r="X3053" s="112"/>
      <c r="Y3053" s="112"/>
    </row>
    <row r="3054" spans="22:25" x14ac:dyDescent="0.2">
      <c r="V3054" s="112"/>
      <c r="X3054" s="112"/>
      <c r="Y3054" s="112"/>
    </row>
    <row r="3055" spans="22:25" x14ac:dyDescent="0.2">
      <c r="V3055" s="112"/>
      <c r="X3055" s="112"/>
      <c r="Y3055" s="112"/>
    </row>
    <row r="3056" spans="22:25" x14ac:dyDescent="0.2">
      <c r="V3056" s="112"/>
      <c r="X3056" s="112"/>
      <c r="Y3056" s="112"/>
    </row>
    <row r="3057" spans="22:25" x14ac:dyDescent="0.2">
      <c r="V3057" s="112"/>
      <c r="X3057" s="112"/>
      <c r="Y3057" s="112"/>
    </row>
    <row r="3058" spans="22:25" x14ac:dyDescent="0.2">
      <c r="V3058" s="112"/>
      <c r="X3058" s="112"/>
      <c r="Y3058" s="112"/>
    </row>
    <row r="3059" spans="22:25" x14ac:dyDescent="0.2">
      <c r="V3059" s="112"/>
      <c r="X3059" s="112"/>
      <c r="Y3059" s="112"/>
    </row>
    <row r="3060" spans="22:25" x14ac:dyDescent="0.2">
      <c r="V3060" s="112"/>
      <c r="X3060" s="112"/>
      <c r="Y3060" s="112"/>
    </row>
    <row r="3061" spans="22:25" x14ac:dyDescent="0.2">
      <c r="V3061" s="112"/>
      <c r="X3061" s="112"/>
      <c r="Y3061" s="112"/>
    </row>
    <row r="3062" spans="22:25" x14ac:dyDescent="0.2">
      <c r="V3062" s="112"/>
      <c r="X3062" s="112"/>
      <c r="Y3062" s="112"/>
    </row>
    <row r="3063" spans="22:25" x14ac:dyDescent="0.2">
      <c r="V3063" s="112"/>
      <c r="X3063" s="112"/>
      <c r="Y3063" s="112"/>
    </row>
    <row r="3064" spans="22:25" x14ac:dyDescent="0.2">
      <c r="V3064" s="112"/>
      <c r="X3064" s="112"/>
      <c r="Y3064" s="112"/>
    </row>
    <row r="3065" spans="22:25" x14ac:dyDescent="0.2">
      <c r="V3065" s="112"/>
      <c r="X3065" s="112"/>
      <c r="Y3065" s="112"/>
    </row>
    <row r="3066" spans="22:25" x14ac:dyDescent="0.2">
      <c r="V3066" s="112"/>
      <c r="X3066" s="112"/>
      <c r="Y3066" s="112"/>
    </row>
    <row r="3067" spans="22:25" x14ac:dyDescent="0.2">
      <c r="V3067" s="112"/>
      <c r="X3067" s="112"/>
      <c r="Y3067" s="112"/>
    </row>
    <row r="3068" spans="22:25" x14ac:dyDescent="0.2">
      <c r="V3068" s="112"/>
      <c r="X3068" s="112"/>
      <c r="Y3068" s="112"/>
    </row>
    <row r="3069" spans="22:25" x14ac:dyDescent="0.2">
      <c r="V3069" s="112"/>
      <c r="X3069" s="112"/>
      <c r="Y3069" s="112"/>
    </row>
    <row r="3070" spans="22:25" x14ac:dyDescent="0.2">
      <c r="V3070" s="112"/>
      <c r="X3070" s="112"/>
      <c r="Y3070" s="112"/>
    </row>
    <row r="3071" spans="22:25" x14ac:dyDescent="0.2">
      <c r="V3071" s="112"/>
      <c r="X3071" s="112"/>
      <c r="Y3071" s="112"/>
    </row>
    <row r="3072" spans="22:25" x14ac:dyDescent="0.2">
      <c r="V3072" s="112"/>
      <c r="X3072" s="112"/>
      <c r="Y3072" s="112"/>
    </row>
    <row r="3073" spans="22:25" x14ac:dyDescent="0.2">
      <c r="V3073" s="112"/>
      <c r="X3073" s="112"/>
      <c r="Y3073" s="112"/>
    </row>
    <row r="3074" spans="22:25" x14ac:dyDescent="0.2">
      <c r="V3074" s="112"/>
      <c r="X3074" s="112"/>
      <c r="Y3074" s="112"/>
    </row>
    <row r="3075" spans="22:25" x14ac:dyDescent="0.2">
      <c r="V3075" s="112"/>
      <c r="X3075" s="112"/>
      <c r="Y3075" s="112"/>
    </row>
    <row r="3076" spans="22:25" x14ac:dyDescent="0.2">
      <c r="V3076" s="112"/>
      <c r="X3076" s="112"/>
      <c r="Y3076" s="112"/>
    </row>
    <row r="3077" spans="22:25" x14ac:dyDescent="0.2">
      <c r="V3077" s="112"/>
      <c r="X3077" s="112"/>
      <c r="Y3077" s="112"/>
    </row>
    <row r="3078" spans="22:25" x14ac:dyDescent="0.2">
      <c r="V3078" s="112"/>
      <c r="X3078" s="112"/>
      <c r="Y3078" s="112"/>
    </row>
    <row r="3079" spans="22:25" x14ac:dyDescent="0.2">
      <c r="V3079" s="112"/>
      <c r="X3079" s="112"/>
      <c r="Y3079" s="112"/>
    </row>
    <row r="3080" spans="22:25" x14ac:dyDescent="0.2">
      <c r="V3080" s="112"/>
      <c r="X3080" s="112"/>
      <c r="Y3080" s="112"/>
    </row>
    <row r="3081" spans="22:25" x14ac:dyDescent="0.2">
      <c r="V3081" s="112"/>
      <c r="X3081" s="112"/>
      <c r="Y3081" s="112"/>
    </row>
    <row r="3082" spans="22:25" x14ac:dyDescent="0.2">
      <c r="V3082" s="112"/>
      <c r="X3082" s="112"/>
      <c r="Y3082" s="112"/>
    </row>
    <row r="3083" spans="22:25" x14ac:dyDescent="0.2">
      <c r="V3083" s="112"/>
      <c r="X3083" s="112"/>
      <c r="Y3083" s="112"/>
    </row>
    <row r="3084" spans="22:25" x14ac:dyDescent="0.2">
      <c r="V3084" s="112"/>
      <c r="X3084" s="112"/>
      <c r="Y3084" s="112"/>
    </row>
    <row r="3085" spans="22:25" x14ac:dyDescent="0.2">
      <c r="V3085" s="112"/>
      <c r="X3085" s="112"/>
      <c r="Y3085" s="112"/>
    </row>
    <row r="3086" spans="22:25" x14ac:dyDescent="0.2">
      <c r="V3086" s="112"/>
      <c r="X3086" s="112"/>
      <c r="Y3086" s="112"/>
    </row>
    <row r="3087" spans="22:25" x14ac:dyDescent="0.2">
      <c r="V3087" s="112"/>
      <c r="X3087" s="112"/>
      <c r="Y3087" s="112"/>
    </row>
    <row r="3088" spans="22:25" x14ac:dyDescent="0.2">
      <c r="V3088" s="112"/>
      <c r="X3088" s="112"/>
      <c r="Y3088" s="112"/>
    </row>
    <row r="3089" spans="22:25" x14ac:dyDescent="0.2">
      <c r="V3089" s="112"/>
      <c r="X3089" s="112"/>
      <c r="Y3089" s="112"/>
    </row>
    <row r="3090" spans="22:25" x14ac:dyDescent="0.2">
      <c r="V3090" s="112"/>
      <c r="X3090" s="112"/>
      <c r="Y3090" s="112"/>
    </row>
    <row r="3091" spans="22:25" x14ac:dyDescent="0.2">
      <c r="V3091" s="112"/>
      <c r="X3091" s="112"/>
      <c r="Y3091" s="112"/>
    </row>
    <row r="3092" spans="22:25" x14ac:dyDescent="0.2">
      <c r="V3092" s="112"/>
      <c r="X3092" s="112"/>
      <c r="Y3092" s="112"/>
    </row>
    <row r="3093" spans="22:25" x14ac:dyDescent="0.2">
      <c r="V3093" s="112"/>
      <c r="X3093" s="112"/>
      <c r="Y3093" s="112"/>
    </row>
    <row r="3094" spans="22:25" x14ac:dyDescent="0.2">
      <c r="V3094" s="112"/>
      <c r="X3094" s="112"/>
      <c r="Y3094" s="112"/>
    </row>
    <row r="3095" spans="22:25" x14ac:dyDescent="0.2">
      <c r="V3095" s="112"/>
      <c r="X3095" s="112"/>
      <c r="Y3095" s="112"/>
    </row>
    <row r="3096" spans="22:25" x14ac:dyDescent="0.2">
      <c r="V3096" s="112"/>
      <c r="X3096" s="112"/>
      <c r="Y3096" s="112"/>
    </row>
    <row r="3097" spans="22:25" x14ac:dyDescent="0.2">
      <c r="V3097" s="112"/>
      <c r="X3097" s="112"/>
      <c r="Y3097" s="112"/>
    </row>
    <row r="3098" spans="22:25" x14ac:dyDescent="0.2">
      <c r="V3098" s="112"/>
      <c r="X3098" s="112"/>
      <c r="Y3098" s="112"/>
    </row>
    <row r="3099" spans="22:25" x14ac:dyDescent="0.2">
      <c r="V3099" s="112"/>
      <c r="X3099" s="112"/>
      <c r="Y3099" s="112"/>
    </row>
    <row r="3100" spans="22:25" x14ac:dyDescent="0.2">
      <c r="V3100" s="112"/>
      <c r="X3100" s="112"/>
      <c r="Y3100" s="112"/>
    </row>
    <row r="3101" spans="22:25" x14ac:dyDescent="0.2">
      <c r="V3101" s="112"/>
      <c r="X3101" s="112"/>
      <c r="Y3101" s="112"/>
    </row>
    <row r="3102" spans="22:25" x14ac:dyDescent="0.2">
      <c r="V3102" s="112"/>
      <c r="X3102" s="112"/>
      <c r="Y3102" s="112"/>
    </row>
    <row r="3103" spans="22:25" x14ac:dyDescent="0.2">
      <c r="V3103" s="112"/>
      <c r="X3103" s="112"/>
      <c r="Y3103" s="112"/>
    </row>
    <row r="3104" spans="22:25" x14ac:dyDescent="0.2">
      <c r="V3104" s="112"/>
      <c r="X3104" s="112"/>
      <c r="Y3104" s="112"/>
    </row>
    <row r="3105" spans="22:25" x14ac:dyDescent="0.2">
      <c r="V3105" s="112"/>
      <c r="X3105" s="112"/>
      <c r="Y3105" s="112"/>
    </row>
    <row r="3106" spans="22:25" x14ac:dyDescent="0.2">
      <c r="V3106" s="112"/>
      <c r="X3106" s="112"/>
      <c r="Y3106" s="112"/>
    </row>
    <row r="3107" spans="22:25" x14ac:dyDescent="0.2">
      <c r="V3107" s="112"/>
      <c r="X3107" s="112"/>
      <c r="Y3107" s="112"/>
    </row>
    <row r="3108" spans="22:25" x14ac:dyDescent="0.2">
      <c r="V3108" s="112"/>
      <c r="X3108" s="112"/>
      <c r="Y3108" s="112"/>
    </row>
    <row r="3109" spans="22:25" x14ac:dyDescent="0.2">
      <c r="V3109" s="112"/>
      <c r="X3109" s="112"/>
      <c r="Y3109" s="112"/>
    </row>
    <row r="3110" spans="22:25" x14ac:dyDescent="0.2">
      <c r="V3110" s="112"/>
      <c r="X3110" s="112"/>
      <c r="Y3110" s="112"/>
    </row>
    <row r="3111" spans="22:25" x14ac:dyDescent="0.2">
      <c r="V3111" s="112"/>
      <c r="X3111" s="112"/>
      <c r="Y3111" s="112"/>
    </row>
    <row r="3112" spans="22:25" x14ac:dyDescent="0.2">
      <c r="V3112" s="112"/>
      <c r="X3112" s="112"/>
      <c r="Y3112" s="112"/>
    </row>
    <row r="3113" spans="22:25" x14ac:dyDescent="0.2">
      <c r="V3113" s="112"/>
      <c r="X3113" s="112"/>
      <c r="Y3113" s="112"/>
    </row>
    <row r="3114" spans="22:25" x14ac:dyDescent="0.2">
      <c r="V3114" s="112"/>
      <c r="X3114" s="112"/>
      <c r="Y3114" s="112"/>
    </row>
    <row r="3115" spans="22:25" x14ac:dyDescent="0.2">
      <c r="V3115" s="112"/>
      <c r="X3115" s="112"/>
      <c r="Y3115" s="112"/>
    </row>
    <row r="3116" spans="22:25" x14ac:dyDescent="0.2">
      <c r="V3116" s="112"/>
      <c r="X3116" s="112"/>
      <c r="Y3116" s="112"/>
    </row>
    <row r="3117" spans="22:25" x14ac:dyDescent="0.2">
      <c r="V3117" s="112"/>
      <c r="X3117" s="112"/>
      <c r="Y3117" s="112"/>
    </row>
    <row r="3118" spans="22:25" x14ac:dyDescent="0.2">
      <c r="V3118" s="112"/>
      <c r="X3118" s="112"/>
      <c r="Y3118" s="112"/>
    </row>
    <row r="3119" spans="22:25" x14ac:dyDescent="0.2">
      <c r="V3119" s="112"/>
      <c r="X3119" s="112"/>
      <c r="Y3119" s="112"/>
    </row>
    <row r="3120" spans="22:25" x14ac:dyDescent="0.2">
      <c r="V3120" s="112"/>
      <c r="X3120" s="112"/>
      <c r="Y3120" s="112"/>
    </row>
    <row r="3121" spans="22:25" x14ac:dyDescent="0.2">
      <c r="V3121" s="112"/>
      <c r="X3121" s="112"/>
      <c r="Y3121" s="112"/>
    </row>
    <row r="3122" spans="22:25" x14ac:dyDescent="0.2">
      <c r="V3122" s="112"/>
      <c r="X3122" s="112"/>
      <c r="Y3122" s="112"/>
    </row>
    <row r="3123" spans="22:25" x14ac:dyDescent="0.2">
      <c r="V3123" s="112"/>
      <c r="X3123" s="112"/>
      <c r="Y3123" s="112"/>
    </row>
    <row r="3124" spans="22:25" x14ac:dyDescent="0.2">
      <c r="V3124" s="112"/>
      <c r="X3124" s="112"/>
      <c r="Y3124" s="112"/>
    </row>
    <row r="3125" spans="22:25" x14ac:dyDescent="0.2">
      <c r="V3125" s="112"/>
      <c r="X3125" s="112"/>
      <c r="Y3125" s="112"/>
    </row>
    <row r="3126" spans="22:25" x14ac:dyDescent="0.2">
      <c r="V3126" s="112"/>
      <c r="X3126" s="112"/>
      <c r="Y3126" s="112"/>
    </row>
    <row r="3127" spans="22:25" x14ac:dyDescent="0.2">
      <c r="V3127" s="112"/>
      <c r="X3127" s="112"/>
      <c r="Y3127" s="112"/>
    </row>
    <row r="3128" spans="22:25" x14ac:dyDescent="0.2">
      <c r="V3128" s="112"/>
      <c r="X3128" s="112"/>
      <c r="Y3128" s="112"/>
    </row>
    <row r="3129" spans="22:25" x14ac:dyDescent="0.2">
      <c r="V3129" s="112"/>
      <c r="X3129" s="112"/>
      <c r="Y3129" s="112"/>
    </row>
    <row r="3130" spans="22:25" x14ac:dyDescent="0.2">
      <c r="V3130" s="112"/>
      <c r="X3130" s="112"/>
      <c r="Y3130" s="112"/>
    </row>
    <row r="3131" spans="22:25" x14ac:dyDescent="0.2">
      <c r="V3131" s="112"/>
      <c r="X3131" s="112"/>
      <c r="Y3131" s="112"/>
    </row>
    <row r="3132" spans="22:25" x14ac:dyDescent="0.2">
      <c r="V3132" s="112"/>
      <c r="X3132" s="112"/>
      <c r="Y3132" s="112"/>
    </row>
    <row r="3133" spans="22:25" x14ac:dyDescent="0.2">
      <c r="V3133" s="112"/>
      <c r="X3133" s="112"/>
      <c r="Y3133" s="112"/>
    </row>
    <row r="3134" spans="22:25" x14ac:dyDescent="0.2">
      <c r="V3134" s="112"/>
      <c r="X3134" s="112"/>
      <c r="Y3134" s="112"/>
    </row>
    <row r="3135" spans="22:25" x14ac:dyDescent="0.2">
      <c r="V3135" s="112"/>
      <c r="X3135" s="112"/>
      <c r="Y3135" s="112"/>
    </row>
    <row r="3136" spans="22:25" x14ac:dyDescent="0.2">
      <c r="V3136" s="112"/>
      <c r="X3136" s="112"/>
      <c r="Y3136" s="112"/>
    </row>
    <row r="3137" spans="22:25" x14ac:dyDescent="0.2">
      <c r="V3137" s="112"/>
      <c r="X3137" s="112"/>
      <c r="Y3137" s="112"/>
    </row>
    <row r="3138" spans="22:25" x14ac:dyDescent="0.2">
      <c r="V3138" s="112"/>
      <c r="X3138" s="112"/>
      <c r="Y3138" s="112"/>
    </row>
    <row r="3139" spans="22:25" x14ac:dyDescent="0.2">
      <c r="V3139" s="112"/>
      <c r="X3139" s="112"/>
      <c r="Y3139" s="112"/>
    </row>
    <row r="3140" spans="22:25" x14ac:dyDescent="0.2">
      <c r="V3140" s="112"/>
      <c r="X3140" s="112"/>
      <c r="Y3140" s="112"/>
    </row>
    <row r="3141" spans="22:25" x14ac:dyDescent="0.2">
      <c r="V3141" s="112"/>
      <c r="X3141" s="112"/>
      <c r="Y3141" s="112"/>
    </row>
    <row r="3142" spans="22:25" x14ac:dyDescent="0.2">
      <c r="V3142" s="112"/>
      <c r="X3142" s="112"/>
      <c r="Y3142" s="112"/>
    </row>
    <row r="3143" spans="22:25" x14ac:dyDescent="0.2">
      <c r="V3143" s="112"/>
      <c r="X3143" s="112"/>
      <c r="Y3143" s="112"/>
    </row>
    <row r="3144" spans="22:25" x14ac:dyDescent="0.2">
      <c r="V3144" s="112"/>
      <c r="X3144" s="112"/>
      <c r="Y3144" s="112"/>
    </row>
    <row r="3145" spans="22:25" x14ac:dyDescent="0.2">
      <c r="V3145" s="112"/>
      <c r="X3145" s="112"/>
      <c r="Y3145" s="112"/>
    </row>
    <row r="3146" spans="22:25" x14ac:dyDescent="0.2">
      <c r="V3146" s="112"/>
      <c r="X3146" s="112"/>
      <c r="Y3146" s="112"/>
    </row>
    <row r="3147" spans="22:25" x14ac:dyDescent="0.2">
      <c r="V3147" s="112"/>
      <c r="X3147" s="112"/>
      <c r="Y3147" s="112"/>
    </row>
    <row r="3148" spans="22:25" x14ac:dyDescent="0.2">
      <c r="V3148" s="112"/>
      <c r="X3148" s="112"/>
      <c r="Y3148" s="112"/>
    </row>
    <row r="3149" spans="22:25" x14ac:dyDescent="0.2">
      <c r="V3149" s="112"/>
      <c r="X3149" s="112"/>
      <c r="Y3149" s="112"/>
    </row>
    <row r="3150" spans="22:25" x14ac:dyDescent="0.2">
      <c r="V3150" s="112"/>
      <c r="X3150" s="112"/>
      <c r="Y3150" s="112"/>
    </row>
    <row r="3151" spans="22:25" x14ac:dyDescent="0.2">
      <c r="V3151" s="112"/>
      <c r="X3151" s="112"/>
      <c r="Y3151" s="112"/>
    </row>
    <row r="3152" spans="22:25" x14ac:dyDescent="0.2">
      <c r="V3152" s="112"/>
      <c r="X3152" s="112"/>
      <c r="Y3152" s="112"/>
    </row>
    <row r="3153" spans="22:25" x14ac:dyDescent="0.2">
      <c r="V3153" s="112"/>
      <c r="X3153" s="112"/>
      <c r="Y3153" s="112"/>
    </row>
    <row r="3154" spans="22:25" x14ac:dyDescent="0.2">
      <c r="V3154" s="112"/>
      <c r="X3154" s="112"/>
      <c r="Y3154" s="112"/>
    </row>
    <row r="3155" spans="22:25" x14ac:dyDescent="0.2">
      <c r="V3155" s="112"/>
      <c r="X3155" s="112"/>
      <c r="Y3155" s="112"/>
    </row>
    <row r="3156" spans="22:25" x14ac:dyDescent="0.2">
      <c r="V3156" s="112"/>
      <c r="X3156" s="112"/>
      <c r="Y3156" s="112"/>
    </row>
    <row r="3157" spans="22:25" x14ac:dyDescent="0.2">
      <c r="V3157" s="112"/>
      <c r="X3157" s="112"/>
      <c r="Y3157" s="112"/>
    </row>
    <row r="3158" spans="22:25" x14ac:dyDescent="0.2">
      <c r="V3158" s="112"/>
      <c r="X3158" s="112"/>
      <c r="Y3158" s="112"/>
    </row>
    <row r="3159" spans="22:25" x14ac:dyDescent="0.2">
      <c r="V3159" s="112"/>
      <c r="X3159" s="112"/>
      <c r="Y3159" s="112"/>
    </row>
    <row r="3160" spans="22:25" x14ac:dyDescent="0.2">
      <c r="V3160" s="112"/>
      <c r="X3160" s="112"/>
      <c r="Y3160" s="112"/>
    </row>
    <row r="3161" spans="22:25" x14ac:dyDescent="0.2">
      <c r="V3161" s="112"/>
      <c r="X3161" s="112"/>
      <c r="Y3161" s="112"/>
    </row>
    <row r="3162" spans="22:25" x14ac:dyDescent="0.2">
      <c r="V3162" s="112"/>
      <c r="X3162" s="112"/>
      <c r="Y3162" s="112"/>
    </row>
    <row r="3163" spans="22:25" x14ac:dyDescent="0.2">
      <c r="V3163" s="112"/>
      <c r="X3163" s="112"/>
      <c r="Y3163" s="112"/>
    </row>
    <row r="3164" spans="22:25" x14ac:dyDescent="0.2">
      <c r="V3164" s="112"/>
      <c r="X3164" s="112"/>
      <c r="Y3164" s="112"/>
    </row>
    <row r="3165" spans="22:25" x14ac:dyDescent="0.2">
      <c r="V3165" s="112"/>
      <c r="X3165" s="112"/>
      <c r="Y3165" s="112"/>
    </row>
    <row r="3166" spans="22:25" x14ac:dyDescent="0.2">
      <c r="V3166" s="112"/>
      <c r="X3166" s="112"/>
      <c r="Y3166" s="112"/>
    </row>
    <row r="3167" spans="22:25" x14ac:dyDescent="0.2">
      <c r="V3167" s="112"/>
      <c r="X3167" s="112"/>
      <c r="Y3167" s="112"/>
    </row>
    <row r="3168" spans="22:25" x14ac:dyDescent="0.2">
      <c r="V3168" s="112"/>
      <c r="X3168" s="112"/>
      <c r="Y3168" s="112"/>
    </row>
    <row r="3169" spans="22:25" x14ac:dyDescent="0.2">
      <c r="V3169" s="112"/>
      <c r="X3169" s="112"/>
      <c r="Y3169" s="112"/>
    </row>
    <row r="3170" spans="22:25" x14ac:dyDescent="0.2">
      <c r="V3170" s="112"/>
      <c r="X3170" s="112"/>
      <c r="Y3170" s="112"/>
    </row>
    <row r="3171" spans="22:25" x14ac:dyDescent="0.2">
      <c r="V3171" s="112"/>
      <c r="X3171" s="112"/>
      <c r="Y3171" s="112"/>
    </row>
    <row r="3172" spans="22:25" x14ac:dyDescent="0.2">
      <c r="V3172" s="112"/>
      <c r="X3172" s="112"/>
      <c r="Y3172" s="112"/>
    </row>
    <row r="3173" spans="22:25" x14ac:dyDescent="0.2">
      <c r="V3173" s="112"/>
      <c r="X3173" s="112"/>
      <c r="Y3173" s="112"/>
    </row>
    <row r="3174" spans="22:25" x14ac:dyDescent="0.2">
      <c r="V3174" s="112"/>
      <c r="X3174" s="112"/>
      <c r="Y3174" s="112"/>
    </row>
    <row r="3175" spans="22:25" x14ac:dyDescent="0.2">
      <c r="V3175" s="112"/>
      <c r="X3175" s="112"/>
      <c r="Y3175" s="112"/>
    </row>
    <row r="3176" spans="22:25" x14ac:dyDescent="0.2">
      <c r="V3176" s="112"/>
      <c r="X3176" s="112"/>
      <c r="Y3176" s="112"/>
    </row>
    <row r="3177" spans="22:25" x14ac:dyDescent="0.2">
      <c r="V3177" s="112"/>
      <c r="X3177" s="112"/>
      <c r="Y3177" s="112"/>
    </row>
    <row r="3178" spans="22:25" x14ac:dyDescent="0.2">
      <c r="V3178" s="112"/>
      <c r="X3178" s="112"/>
      <c r="Y3178" s="112"/>
    </row>
    <row r="3179" spans="22:25" x14ac:dyDescent="0.2">
      <c r="V3179" s="112"/>
      <c r="X3179" s="112"/>
      <c r="Y3179" s="112"/>
    </row>
    <row r="3180" spans="22:25" x14ac:dyDescent="0.2">
      <c r="V3180" s="112"/>
      <c r="X3180" s="112"/>
      <c r="Y3180" s="112"/>
    </row>
    <row r="3181" spans="22:25" x14ac:dyDescent="0.2">
      <c r="V3181" s="112"/>
      <c r="X3181" s="112"/>
      <c r="Y3181" s="112"/>
    </row>
    <row r="3182" spans="22:25" x14ac:dyDescent="0.2">
      <c r="V3182" s="112"/>
      <c r="X3182" s="112"/>
      <c r="Y3182" s="112"/>
    </row>
    <row r="3183" spans="22:25" x14ac:dyDescent="0.2">
      <c r="V3183" s="112"/>
      <c r="X3183" s="112"/>
      <c r="Y3183" s="112"/>
    </row>
    <row r="3184" spans="22:25" x14ac:dyDescent="0.2">
      <c r="V3184" s="112"/>
      <c r="X3184" s="112"/>
      <c r="Y3184" s="112"/>
    </row>
    <row r="3185" spans="22:25" x14ac:dyDescent="0.2">
      <c r="V3185" s="112"/>
      <c r="X3185" s="112"/>
      <c r="Y3185" s="112"/>
    </row>
    <row r="3186" spans="22:25" x14ac:dyDescent="0.2">
      <c r="V3186" s="112"/>
      <c r="X3186" s="112"/>
      <c r="Y3186" s="112"/>
    </row>
    <row r="3187" spans="22:25" x14ac:dyDescent="0.2">
      <c r="V3187" s="112"/>
      <c r="X3187" s="112"/>
      <c r="Y3187" s="112"/>
    </row>
    <row r="3188" spans="22:25" x14ac:dyDescent="0.2">
      <c r="V3188" s="112"/>
      <c r="X3188" s="112"/>
      <c r="Y3188" s="112"/>
    </row>
    <row r="3189" spans="22:25" x14ac:dyDescent="0.2">
      <c r="V3189" s="112"/>
      <c r="X3189" s="112"/>
      <c r="Y3189" s="112"/>
    </row>
    <row r="3190" spans="22:25" x14ac:dyDescent="0.2">
      <c r="V3190" s="112"/>
      <c r="X3190" s="112"/>
      <c r="Y3190" s="112"/>
    </row>
    <row r="3191" spans="22:25" x14ac:dyDescent="0.2">
      <c r="V3191" s="112"/>
      <c r="X3191" s="112"/>
      <c r="Y3191" s="112"/>
    </row>
    <row r="3192" spans="22:25" x14ac:dyDescent="0.2">
      <c r="V3192" s="112"/>
      <c r="X3192" s="112"/>
      <c r="Y3192" s="112"/>
    </row>
    <row r="3193" spans="22:25" x14ac:dyDescent="0.2">
      <c r="V3193" s="112"/>
      <c r="X3193" s="112"/>
      <c r="Y3193" s="112"/>
    </row>
    <row r="3194" spans="22:25" x14ac:dyDescent="0.2">
      <c r="V3194" s="112"/>
      <c r="X3194" s="112"/>
      <c r="Y3194" s="112"/>
    </row>
    <row r="3195" spans="22:25" x14ac:dyDescent="0.2">
      <c r="V3195" s="112"/>
      <c r="X3195" s="112"/>
      <c r="Y3195" s="112"/>
    </row>
    <row r="3196" spans="22:25" x14ac:dyDescent="0.2">
      <c r="V3196" s="112"/>
      <c r="X3196" s="112"/>
      <c r="Y3196" s="112"/>
    </row>
    <row r="3197" spans="22:25" x14ac:dyDescent="0.2">
      <c r="V3197" s="112"/>
      <c r="X3197" s="112"/>
      <c r="Y3197" s="112"/>
    </row>
    <row r="3198" spans="22:25" x14ac:dyDescent="0.2">
      <c r="V3198" s="112"/>
      <c r="X3198" s="112"/>
      <c r="Y3198" s="112"/>
    </row>
    <row r="3199" spans="22:25" x14ac:dyDescent="0.2">
      <c r="V3199" s="112"/>
      <c r="X3199" s="112"/>
      <c r="Y3199" s="112"/>
    </row>
    <row r="3200" spans="22:25" x14ac:dyDescent="0.2">
      <c r="V3200" s="112"/>
      <c r="X3200" s="112"/>
      <c r="Y3200" s="112"/>
    </row>
    <row r="3201" spans="22:25" x14ac:dyDescent="0.2">
      <c r="V3201" s="112"/>
      <c r="X3201" s="112"/>
      <c r="Y3201" s="112"/>
    </row>
    <row r="3202" spans="22:25" x14ac:dyDescent="0.2">
      <c r="V3202" s="112"/>
      <c r="X3202" s="112"/>
      <c r="Y3202" s="112"/>
    </row>
    <row r="3203" spans="22:25" x14ac:dyDescent="0.2">
      <c r="V3203" s="112"/>
      <c r="X3203" s="112"/>
      <c r="Y3203" s="112"/>
    </row>
    <row r="3204" spans="22:25" x14ac:dyDescent="0.2">
      <c r="V3204" s="112"/>
      <c r="X3204" s="112"/>
      <c r="Y3204" s="112"/>
    </row>
    <row r="3205" spans="22:25" x14ac:dyDescent="0.2">
      <c r="V3205" s="112"/>
      <c r="X3205" s="112"/>
      <c r="Y3205" s="112"/>
    </row>
    <row r="3206" spans="22:25" x14ac:dyDescent="0.2">
      <c r="V3206" s="112"/>
      <c r="X3206" s="112"/>
      <c r="Y3206" s="112"/>
    </row>
    <row r="3207" spans="22:25" x14ac:dyDescent="0.2">
      <c r="V3207" s="112"/>
      <c r="X3207" s="112"/>
      <c r="Y3207" s="112"/>
    </row>
    <row r="3208" spans="22:25" x14ac:dyDescent="0.2">
      <c r="V3208" s="112"/>
      <c r="X3208" s="112"/>
      <c r="Y3208" s="112"/>
    </row>
    <row r="3209" spans="22:25" x14ac:dyDescent="0.2">
      <c r="V3209" s="112"/>
      <c r="X3209" s="112"/>
      <c r="Y3209" s="112"/>
    </row>
    <row r="3210" spans="22:25" x14ac:dyDescent="0.2">
      <c r="V3210" s="112"/>
      <c r="X3210" s="112"/>
      <c r="Y3210" s="112"/>
    </row>
    <row r="3211" spans="22:25" x14ac:dyDescent="0.2">
      <c r="V3211" s="112"/>
      <c r="X3211" s="112"/>
      <c r="Y3211" s="112"/>
    </row>
    <row r="3212" spans="22:25" x14ac:dyDescent="0.2">
      <c r="V3212" s="112"/>
      <c r="X3212" s="112"/>
      <c r="Y3212" s="112"/>
    </row>
    <row r="3213" spans="22:25" x14ac:dyDescent="0.2">
      <c r="V3213" s="112"/>
      <c r="X3213" s="112"/>
      <c r="Y3213" s="112"/>
    </row>
    <row r="3214" spans="22:25" x14ac:dyDescent="0.2">
      <c r="V3214" s="112"/>
      <c r="X3214" s="112"/>
      <c r="Y3214" s="112"/>
    </row>
    <row r="3215" spans="22:25" x14ac:dyDescent="0.2">
      <c r="V3215" s="112"/>
      <c r="X3215" s="112"/>
      <c r="Y3215" s="112"/>
    </row>
    <row r="3216" spans="22:25" x14ac:dyDescent="0.2">
      <c r="V3216" s="112"/>
      <c r="X3216" s="112"/>
      <c r="Y3216" s="112"/>
    </row>
    <row r="3217" spans="22:25" x14ac:dyDescent="0.2">
      <c r="V3217" s="112"/>
      <c r="X3217" s="112"/>
      <c r="Y3217" s="112"/>
    </row>
    <row r="3218" spans="22:25" x14ac:dyDescent="0.2">
      <c r="V3218" s="112"/>
      <c r="X3218" s="112"/>
      <c r="Y3218" s="112"/>
    </row>
    <row r="3219" spans="22:25" x14ac:dyDescent="0.2">
      <c r="V3219" s="112"/>
      <c r="X3219" s="112"/>
      <c r="Y3219" s="112"/>
    </row>
    <row r="3220" spans="22:25" x14ac:dyDescent="0.2">
      <c r="V3220" s="112"/>
      <c r="X3220" s="112"/>
      <c r="Y3220" s="112"/>
    </row>
    <row r="3221" spans="22:25" x14ac:dyDescent="0.2">
      <c r="V3221" s="112"/>
      <c r="X3221" s="112"/>
      <c r="Y3221" s="112"/>
    </row>
    <row r="3222" spans="22:25" x14ac:dyDescent="0.2">
      <c r="V3222" s="112"/>
      <c r="X3222" s="112"/>
      <c r="Y3222" s="112"/>
    </row>
    <row r="3223" spans="22:25" x14ac:dyDescent="0.2">
      <c r="V3223" s="112"/>
      <c r="X3223" s="112"/>
      <c r="Y3223" s="112"/>
    </row>
    <row r="3224" spans="22:25" x14ac:dyDescent="0.2">
      <c r="V3224" s="112"/>
      <c r="X3224" s="112"/>
      <c r="Y3224" s="112"/>
    </row>
    <row r="3225" spans="22:25" x14ac:dyDescent="0.2">
      <c r="V3225" s="112"/>
      <c r="X3225" s="112"/>
      <c r="Y3225" s="112"/>
    </row>
    <row r="3226" spans="22:25" x14ac:dyDescent="0.2">
      <c r="V3226" s="112"/>
      <c r="X3226" s="112"/>
      <c r="Y3226" s="112"/>
    </row>
    <row r="3227" spans="22:25" x14ac:dyDescent="0.2">
      <c r="V3227" s="112"/>
      <c r="X3227" s="112"/>
      <c r="Y3227" s="112"/>
    </row>
    <row r="3228" spans="22:25" x14ac:dyDescent="0.2">
      <c r="V3228" s="112"/>
      <c r="X3228" s="112"/>
      <c r="Y3228" s="112"/>
    </row>
    <row r="3229" spans="22:25" x14ac:dyDescent="0.2">
      <c r="V3229" s="112"/>
      <c r="X3229" s="112"/>
      <c r="Y3229" s="112"/>
    </row>
    <row r="3230" spans="22:25" x14ac:dyDescent="0.2">
      <c r="V3230" s="112"/>
      <c r="X3230" s="112"/>
      <c r="Y3230" s="112"/>
    </row>
    <row r="3231" spans="22:25" x14ac:dyDescent="0.2">
      <c r="V3231" s="112"/>
      <c r="X3231" s="112"/>
      <c r="Y3231" s="112"/>
    </row>
    <row r="3232" spans="22:25" x14ac:dyDescent="0.2">
      <c r="V3232" s="112"/>
      <c r="X3232" s="112"/>
      <c r="Y3232" s="112"/>
    </row>
    <row r="3233" spans="22:25" x14ac:dyDescent="0.2">
      <c r="V3233" s="112"/>
      <c r="X3233" s="112"/>
      <c r="Y3233" s="112"/>
    </row>
    <row r="3234" spans="22:25" x14ac:dyDescent="0.2">
      <c r="V3234" s="112"/>
      <c r="X3234" s="112"/>
      <c r="Y3234" s="112"/>
    </row>
    <row r="3235" spans="22:25" x14ac:dyDescent="0.2">
      <c r="V3235" s="112"/>
      <c r="X3235" s="112"/>
      <c r="Y3235" s="112"/>
    </row>
    <row r="3236" spans="22:25" x14ac:dyDescent="0.2">
      <c r="V3236" s="112"/>
      <c r="X3236" s="112"/>
      <c r="Y3236" s="112"/>
    </row>
    <row r="3237" spans="22:25" x14ac:dyDescent="0.2">
      <c r="V3237" s="112"/>
      <c r="X3237" s="112"/>
      <c r="Y3237" s="112"/>
    </row>
    <row r="3238" spans="22:25" x14ac:dyDescent="0.2">
      <c r="V3238" s="112"/>
      <c r="X3238" s="112"/>
      <c r="Y3238" s="112"/>
    </row>
    <row r="3239" spans="22:25" x14ac:dyDescent="0.2">
      <c r="V3239" s="112"/>
      <c r="X3239" s="112"/>
      <c r="Y3239" s="112"/>
    </row>
    <row r="3240" spans="22:25" x14ac:dyDescent="0.2">
      <c r="V3240" s="112"/>
      <c r="X3240" s="112"/>
      <c r="Y3240" s="112"/>
    </row>
    <row r="3241" spans="22:25" x14ac:dyDescent="0.2">
      <c r="V3241" s="112"/>
      <c r="X3241" s="112"/>
      <c r="Y3241" s="112"/>
    </row>
    <row r="3242" spans="22:25" x14ac:dyDescent="0.2">
      <c r="V3242" s="112"/>
      <c r="X3242" s="112"/>
      <c r="Y3242" s="112"/>
    </row>
    <row r="3243" spans="22:25" x14ac:dyDescent="0.2">
      <c r="V3243" s="112"/>
      <c r="X3243" s="112"/>
      <c r="Y3243" s="112"/>
    </row>
    <row r="3244" spans="22:25" x14ac:dyDescent="0.2">
      <c r="V3244" s="112"/>
      <c r="X3244" s="112"/>
      <c r="Y3244" s="112"/>
    </row>
    <row r="3245" spans="22:25" x14ac:dyDescent="0.2">
      <c r="V3245" s="112"/>
      <c r="X3245" s="112"/>
      <c r="Y3245" s="112"/>
    </row>
    <row r="3246" spans="22:25" x14ac:dyDescent="0.2">
      <c r="V3246" s="112"/>
      <c r="X3246" s="112"/>
      <c r="Y3246" s="112"/>
    </row>
    <row r="3247" spans="22:25" x14ac:dyDescent="0.2">
      <c r="V3247" s="112"/>
      <c r="X3247" s="112"/>
      <c r="Y3247" s="112"/>
    </row>
    <row r="3248" spans="22:25" x14ac:dyDescent="0.2">
      <c r="V3248" s="112"/>
      <c r="X3248" s="112"/>
      <c r="Y3248" s="112"/>
    </row>
    <row r="3249" spans="22:25" x14ac:dyDescent="0.2">
      <c r="V3249" s="112"/>
      <c r="X3249" s="112"/>
      <c r="Y3249" s="112"/>
    </row>
    <row r="3250" spans="22:25" x14ac:dyDescent="0.2">
      <c r="V3250" s="112"/>
      <c r="X3250" s="112"/>
      <c r="Y3250" s="112"/>
    </row>
    <row r="3251" spans="22:25" x14ac:dyDescent="0.2">
      <c r="V3251" s="112"/>
      <c r="X3251" s="112"/>
      <c r="Y3251" s="112"/>
    </row>
    <row r="3252" spans="22:25" x14ac:dyDescent="0.2">
      <c r="V3252" s="112"/>
      <c r="X3252" s="112"/>
      <c r="Y3252" s="112"/>
    </row>
    <row r="3253" spans="22:25" x14ac:dyDescent="0.2">
      <c r="V3253" s="112"/>
      <c r="X3253" s="112"/>
      <c r="Y3253" s="112"/>
    </row>
    <row r="3254" spans="22:25" x14ac:dyDescent="0.2">
      <c r="V3254" s="112"/>
      <c r="X3254" s="112"/>
      <c r="Y3254" s="112"/>
    </row>
    <row r="3255" spans="22:25" x14ac:dyDescent="0.2">
      <c r="V3255" s="112"/>
      <c r="X3255" s="112"/>
      <c r="Y3255" s="112"/>
    </row>
    <row r="3256" spans="22:25" x14ac:dyDescent="0.2">
      <c r="V3256" s="112"/>
      <c r="X3256" s="112"/>
      <c r="Y3256" s="112"/>
    </row>
    <row r="3257" spans="22:25" x14ac:dyDescent="0.2">
      <c r="V3257" s="112"/>
      <c r="X3257" s="112"/>
      <c r="Y3257" s="112"/>
    </row>
    <row r="3258" spans="22:25" x14ac:dyDescent="0.2">
      <c r="V3258" s="112"/>
      <c r="X3258" s="112"/>
      <c r="Y3258" s="112"/>
    </row>
    <row r="3259" spans="22:25" x14ac:dyDescent="0.2">
      <c r="V3259" s="112"/>
      <c r="X3259" s="112"/>
      <c r="Y3259" s="112"/>
    </row>
    <row r="3260" spans="22:25" x14ac:dyDescent="0.2">
      <c r="V3260" s="112"/>
      <c r="X3260" s="112"/>
      <c r="Y3260" s="112"/>
    </row>
    <row r="3261" spans="22:25" x14ac:dyDescent="0.2">
      <c r="V3261" s="112"/>
      <c r="X3261" s="112"/>
      <c r="Y3261" s="112"/>
    </row>
    <row r="3262" spans="22:25" x14ac:dyDescent="0.2">
      <c r="V3262" s="112"/>
      <c r="X3262" s="112"/>
      <c r="Y3262" s="112"/>
    </row>
    <row r="3263" spans="22:25" x14ac:dyDescent="0.2">
      <c r="V3263" s="112"/>
      <c r="X3263" s="112"/>
      <c r="Y3263" s="112"/>
    </row>
    <row r="3264" spans="22:25" x14ac:dyDescent="0.2">
      <c r="V3264" s="112"/>
      <c r="X3264" s="112"/>
      <c r="Y3264" s="112"/>
    </row>
    <row r="3265" spans="22:25" x14ac:dyDescent="0.2">
      <c r="V3265" s="112"/>
      <c r="X3265" s="112"/>
      <c r="Y3265" s="112"/>
    </row>
    <row r="3266" spans="22:25" x14ac:dyDescent="0.2">
      <c r="V3266" s="112"/>
      <c r="X3266" s="112"/>
      <c r="Y3266" s="112"/>
    </row>
    <row r="3267" spans="22:25" x14ac:dyDescent="0.2">
      <c r="V3267" s="112"/>
      <c r="X3267" s="112"/>
      <c r="Y3267" s="112"/>
    </row>
    <row r="3268" spans="22:25" x14ac:dyDescent="0.2">
      <c r="V3268" s="112"/>
      <c r="X3268" s="112"/>
      <c r="Y3268" s="112"/>
    </row>
    <row r="3269" spans="22:25" x14ac:dyDescent="0.2">
      <c r="V3269" s="112"/>
      <c r="X3269" s="112"/>
      <c r="Y3269" s="112"/>
    </row>
    <row r="3270" spans="22:25" x14ac:dyDescent="0.2">
      <c r="V3270" s="112"/>
      <c r="X3270" s="112"/>
      <c r="Y3270" s="112"/>
    </row>
    <row r="3271" spans="22:25" x14ac:dyDescent="0.2">
      <c r="V3271" s="112"/>
      <c r="X3271" s="112"/>
      <c r="Y3271" s="112"/>
    </row>
    <row r="3272" spans="22:25" x14ac:dyDescent="0.2">
      <c r="V3272" s="112"/>
      <c r="X3272" s="112"/>
      <c r="Y3272" s="112"/>
    </row>
    <row r="3273" spans="22:25" x14ac:dyDescent="0.2">
      <c r="V3273" s="112"/>
      <c r="X3273" s="112"/>
      <c r="Y3273" s="112"/>
    </row>
    <row r="3274" spans="22:25" x14ac:dyDescent="0.2">
      <c r="V3274" s="112"/>
      <c r="X3274" s="112"/>
      <c r="Y3274" s="112"/>
    </row>
    <row r="3275" spans="22:25" x14ac:dyDescent="0.2">
      <c r="V3275" s="112"/>
      <c r="X3275" s="112"/>
      <c r="Y3275" s="112"/>
    </row>
    <row r="3276" spans="22:25" x14ac:dyDescent="0.2">
      <c r="V3276" s="112"/>
      <c r="X3276" s="112"/>
      <c r="Y3276" s="112"/>
    </row>
    <row r="3277" spans="22:25" x14ac:dyDescent="0.2">
      <c r="V3277" s="112"/>
      <c r="X3277" s="112"/>
      <c r="Y3277" s="112"/>
    </row>
    <row r="3278" spans="22:25" x14ac:dyDescent="0.2">
      <c r="V3278" s="112"/>
      <c r="X3278" s="112"/>
      <c r="Y3278" s="112"/>
    </row>
    <row r="3279" spans="22:25" x14ac:dyDescent="0.2">
      <c r="V3279" s="112"/>
      <c r="X3279" s="112"/>
      <c r="Y3279" s="112"/>
    </row>
    <row r="3280" spans="22:25" x14ac:dyDescent="0.2">
      <c r="V3280" s="112"/>
      <c r="X3280" s="112"/>
      <c r="Y3280" s="112"/>
    </row>
    <row r="3281" spans="22:25" x14ac:dyDescent="0.2">
      <c r="V3281" s="112"/>
      <c r="X3281" s="112"/>
      <c r="Y3281" s="112"/>
    </row>
    <row r="3282" spans="22:25" x14ac:dyDescent="0.2">
      <c r="V3282" s="112"/>
      <c r="X3282" s="112"/>
      <c r="Y3282" s="112"/>
    </row>
    <row r="3283" spans="22:25" x14ac:dyDescent="0.2">
      <c r="V3283" s="112"/>
      <c r="X3283" s="112"/>
      <c r="Y3283" s="112"/>
    </row>
    <row r="3284" spans="22:25" x14ac:dyDescent="0.2">
      <c r="V3284" s="112"/>
      <c r="X3284" s="112"/>
      <c r="Y3284" s="112"/>
    </row>
    <row r="3285" spans="22:25" x14ac:dyDescent="0.2">
      <c r="V3285" s="112"/>
      <c r="X3285" s="112"/>
      <c r="Y3285" s="112"/>
    </row>
    <row r="3286" spans="22:25" x14ac:dyDescent="0.2">
      <c r="V3286" s="112"/>
      <c r="X3286" s="112"/>
      <c r="Y3286" s="112"/>
    </row>
    <row r="3287" spans="22:25" x14ac:dyDescent="0.2">
      <c r="V3287" s="112"/>
      <c r="X3287" s="112"/>
      <c r="Y3287" s="112"/>
    </row>
    <row r="3288" spans="22:25" x14ac:dyDescent="0.2">
      <c r="V3288" s="112"/>
      <c r="X3288" s="112"/>
      <c r="Y3288" s="112"/>
    </row>
    <row r="3289" spans="22:25" x14ac:dyDescent="0.2">
      <c r="V3289" s="112"/>
      <c r="X3289" s="112"/>
      <c r="Y3289" s="112"/>
    </row>
    <row r="3290" spans="22:25" x14ac:dyDescent="0.2">
      <c r="V3290" s="112"/>
      <c r="X3290" s="112"/>
      <c r="Y3290" s="112"/>
    </row>
    <row r="3291" spans="22:25" x14ac:dyDescent="0.2">
      <c r="V3291" s="112"/>
      <c r="X3291" s="112"/>
      <c r="Y3291" s="112"/>
    </row>
    <row r="3292" spans="22:25" x14ac:dyDescent="0.2">
      <c r="V3292" s="112"/>
      <c r="X3292" s="112"/>
      <c r="Y3292" s="112"/>
    </row>
    <row r="3293" spans="22:25" x14ac:dyDescent="0.2">
      <c r="V3293" s="112"/>
      <c r="X3293" s="112"/>
      <c r="Y3293" s="112"/>
    </row>
    <row r="3294" spans="22:25" x14ac:dyDescent="0.2">
      <c r="V3294" s="112"/>
      <c r="X3294" s="112"/>
      <c r="Y3294" s="112"/>
    </row>
    <row r="3295" spans="22:25" x14ac:dyDescent="0.2">
      <c r="V3295" s="112"/>
      <c r="X3295" s="112"/>
      <c r="Y3295" s="112"/>
    </row>
    <row r="3296" spans="22:25" x14ac:dyDescent="0.2">
      <c r="V3296" s="112"/>
      <c r="X3296" s="112"/>
      <c r="Y3296" s="112"/>
    </row>
    <row r="3297" spans="22:25" x14ac:dyDescent="0.2">
      <c r="V3297" s="112"/>
      <c r="X3297" s="112"/>
      <c r="Y3297" s="112"/>
    </row>
    <row r="3298" spans="22:25" x14ac:dyDescent="0.2">
      <c r="V3298" s="112"/>
      <c r="X3298" s="112"/>
      <c r="Y3298" s="112"/>
    </row>
    <row r="3299" spans="22:25" x14ac:dyDescent="0.2">
      <c r="V3299" s="112"/>
      <c r="X3299" s="112"/>
      <c r="Y3299" s="112"/>
    </row>
    <row r="3300" spans="22:25" x14ac:dyDescent="0.2">
      <c r="V3300" s="112"/>
      <c r="X3300" s="112"/>
      <c r="Y3300" s="112"/>
    </row>
    <row r="3301" spans="22:25" x14ac:dyDescent="0.2">
      <c r="V3301" s="112"/>
      <c r="X3301" s="112"/>
      <c r="Y3301" s="112"/>
    </row>
    <row r="3302" spans="22:25" x14ac:dyDescent="0.2">
      <c r="V3302" s="112"/>
      <c r="X3302" s="112"/>
      <c r="Y3302" s="112"/>
    </row>
    <row r="3303" spans="22:25" x14ac:dyDescent="0.2">
      <c r="V3303" s="112"/>
      <c r="X3303" s="112"/>
      <c r="Y3303" s="112"/>
    </row>
    <row r="3304" spans="22:25" x14ac:dyDescent="0.2">
      <c r="V3304" s="112"/>
      <c r="X3304" s="112"/>
      <c r="Y3304" s="112"/>
    </row>
    <row r="3305" spans="22:25" x14ac:dyDescent="0.2">
      <c r="V3305" s="112"/>
      <c r="X3305" s="112"/>
      <c r="Y3305" s="112"/>
    </row>
    <row r="3306" spans="22:25" x14ac:dyDescent="0.2">
      <c r="V3306" s="112"/>
      <c r="X3306" s="112"/>
      <c r="Y3306" s="112"/>
    </row>
    <row r="3307" spans="22:25" x14ac:dyDescent="0.2">
      <c r="V3307" s="112"/>
      <c r="X3307" s="112"/>
      <c r="Y3307" s="112"/>
    </row>
    <row r="3308" spans="22:25" x14ac:dyDescent="0.2">
      <c r="V3308" s="112"/>
      <c r="X3308" s="112"/>
      <c r="Y3308" s="112"/>
    </row>
    <row r="3309" spans="22:25" x14ac:dyDescent="0.2">
      <c r="V3309" s="112"/>
      <c r="X3309" s="112"/>
      <c r="Y3309" s="112"/>
    </row>
    <row r="3310" spans="22:25" x14ac:dyDescent="0.2">
      <c r="V3310" s="112"/>
      <c r="X3310" s="112"/>
      <c r="Y3310" s="112"/>
    </row>
    <row r="3311" spans="22:25" x14ac:dyDescent="0.2">
      <c r="V3311" s="112"/>
      <c r="X3311" s="112"/>
      <c r="Y3311" s="112"/>
    </row>
    <row r="3312" spans="22:25" x14ac:dyDescent="0.2">
      <c r="V3312" s="112"/>
      <c r="X3312" s="112"/>
      <c r="Y3312" s="112"/>
    </row>
    <row r="3313" spans="22:25" x14ac:dyDescent="0.2">
      <c r="V3313" s="112"/>
      <c r="X3313" s="112"/>
      <c r="Y3313" s="112"/>
    </row>
    <row r="3314" spans="22:25" x14ac:dyDescent="0.2">
      <c r="V3314" s="112"/>
      <c r="X3314" s="112"/>
      <c r="Y3314" s="112"/>
    </row>
    <row r="3315" spans="22:25" x14ac:dyDescent="0.2">
      <c r="V3315" s="112"/>
      <c r="X3315" s="112"/>
      <c r="Y3315" s="112"/>
    </row>
    <row r="3316" spans="22:25" x14ac:dyDescent="0.2">
      <c r="V3316" s="112"/>
      <c r="X3316" s="112"/>
      <c r="Y3316" s="112"/>
    </row>
    <row r="3317" spans="22:25" x14ac:dyDescent="0.2">
      <c r="V3317" s="112"/>
      <c r="X3317" s="112"/>
      <c r="Y3317" s="112"/>
    </row>
    <row r="3318" spans="22:25" x14ac:dyDescent="0.2">
      <c r="V3318" s="112"/>
      <c r="X3318" s="112"/>
      <c r="Y3318" s="112"/>
    </row>
    <row r="3319" spans="22:25" x14ac:dyDescent="0.2">
      <c r="V3319" s="112"/>
      <c r="X3319" s="112"/>
      <c r="Y3319" s="112"/>
    </row>
    <row r="3320" spans="22:25" x14ac:dyDescent="0.2">
      <c r="V3320" s="112"/>
      <c r="X3320" s="112"/>
      <c r="Y3320" s="112"/>
    </row>
    <row r="3321" spans="22:25" x14ac:dyDescent="0.2">
      <c r="V3321" s="112"/>
      <c r="X3321" s="112"/>
      <c r="Y3321" s="112"/>
    </row>
    <row r="3322" spans="22:25" x14ac:dyDescent="0.2">
      <c r="V3322" s="112"/>
      <c r="X3322" s="112"/>
      <c r="Y3322" s="112"/>
    </row>
    <row r="3323" spans="22:25" x14ac:dyDescent="0.2">
      <c r="V3323" s="112"/>
      <c r="X3323" s="112"/>
      <c r="Y3323" s="112"/>
    </row>
    <row r="3324" spans="22:25" x14ac:dyDescent="0.2">
      <c r="V3324" s="112"/>
      <c r="X3324" s="112"/>
      <c r="Y3324" s="112"/>
    </row>
    <row r="3325" spans="22:25" x14ac:dyDescent="0.2">
      <c r="V3325" s="112"/>
      <c r="X3325" s="112"/>
      <c r="Y3325" s="112"/>
    </row>
    <row r="3326" spans="22:25" x14ac:dyDescent="0.2">
      <c r="V3326" s="112"/>
      <c r="X3326" s="112"/>
      <c r="Y3326" s="112"/>
    </row>
    <row r="3327" spans="22:25" x14ac:dyDescent="0.2">
      <c r="V3327" s="112"/>
      <c r="X3327" s="112"/>
      <c r="Y3327" s="112"/>
    </row>
    <row r="3328" spans="22:25" x14ac:dyDescent="0.2">
      <c r="V3328" s="112"/>
      <c r="X3328" s="112"/>
      <c r="Y3328" s="112"/>
    </row>
    <row r="3329" spans="22:25" x14ac:dyDescent="0.2">
      <c r="V3329" s="112"/>
      <c r="X3329" s="112"/>
      <c r="Y3329" s="112"/>
    </row>
    <row r="3330" spans="22:25" x14ac:dyDescent="0.2">
      <c r="V3330" s="112"/>
      <c r="X3330" s="112"/>
      <c r="Y3330" s="112"/>
    </row>
    <row r="3331" spans="22:25" x14ac:dyDescent="0.2">
      <c r="V3331" s="112"/>
      <c r="X3331" s="112"/>
      <c r="Y3331" s="112"/>
    </row>
    <row r="3332" spans="22:25" x14ac:dyDescent="0.2">
      <c r="V3332" s="112"/>
      <c r="X3332" s="112"/>
      <c r="Y3332" s="112"/>
    </row>
    <row r="3333" spans="22:25" x14ac:dyDescent="0.2">
      <c r="V3333" s="112"/>
      <c r="X3333" s="112"/>
      <c r="Y3333" s="112"/>
    </row>
    <row r="3334" spans="22:25" x14ac:dyDescent="0.2">
      <c r="V3334" s="112"/>
      <c r="X3334" s="112"/>
      <c r="Y3334" s="112"/>
    </row>
    <row r="3335" spans="22:25" x14ac:dyDescent="0.2">
      <c r="V3335" s="112"/>
      <c r="X3335" s="112"/>
      <c r="Y3335" s="112"/>
    </row>
    <row r="3336" spans="22:25" x14ac:dyDescent="0.2">
      <c r="V3336" s="112"/>
      <c r="X3336" s="112"/>
      <c r="Y3336" s="112"/>
    </row>
    <row r="3337" spans="22:25" x14ac:dyDescent="0.2">
      <c r="V3337" s="112"/>
      <c r="X3337" s="112"/>
      <c r="Y3337" s="112"/>
    </row>
    <row r="3338" spans="22:25" x14ac:dyDescent="0.2">
      <c r="V3338" s="112"/>
      <c r="X3338" s="112"/>
      <c r="Y3338" s="112"/>
    </row>
    <row r="3339" spans="22:25" x14ac:dyDescent="0.2">
      <c r="V3339" s="112"/>
      <c r="X3339" s="112"/>
      <c r="Y3339" s="112"/>
    </row>
    <row r="3340" spans="22:25" x14ac:dyDescent="0.2">
      <c r="V3340" s="112"/>
      <c r="X3340" s="112"/>
      <c r="Y3340" s="112"/>
    </row>
    <row r="3341" spans="22:25" x14ac:dyDescent="0.2">
      <c r="V3341" s="112"/>
      <c r="X3341" s="112"/>
      <c r="Y3341" s="112"/>
    </row>
    <row r="3342" spans="22:25" x14ac:dyDescent="0.2">
      <c r="V3342" s="112"/>
      <c r="X3342" s="112"/>
      <c r="Y3342" s="112"/>
    </row>
    <row r="3343" spans="22:25" x14ac:dyDescent="0.2">
      <c r="V3343" s="112"/>
      <c r="X3343" s="112"/>
      <c r="Y3343" s="112"/>
    </row>
    <row r="3344" spans="22:25" x14ac:dyDescent="0.2">
      <c r="V3344" s="112"/>
      <c r="X3344" s="112"/>
      <c r="Y3344" s="112"/>
    </row>
    <row r="3345" spans="22:25" x14ac:dyDescent="0.2">
      <c r="V3345" s="112"/>
      <c r="X3345" s="112"/>
      <c r="Y3345" s="112"/>
    </row>
    <row r="3346" spans="22:25" x14ac:dyDescent="0.2">
      <c r="V3346" s="112"/>
      <c r="X3346" s="112"/>
      <c r="Y3346" s="112"/>
    </row>
    <row r="3347" spans="22:25" x14ac:dyDescent="0.2">
      <c r="V3347" s="112"/>
      <c r="X3347" s="112"/>
      <c r="Y3347" s="112"/>
    </row>
    <row r="3348" spans="22:25" x14ac:dyDescent="0.2">
      <c r="V3348" s="112"/>
      <c r="X3348" s="112"/>
      <c r="Y3348" s="112"/>
    </row>
    <row r="3349" spans="22:25" x14ac:dyDescent="0.2">
      <c r="V3349" s="112"/>
      <c r="X3349" s="112"/>
      <c r="Y3349" s="112"/>
    </row>
    <row r="3350" spans="22:25" x14ac:dyDescent="0.2">
      <c r="V3350" s="112"/>
      <c r="X3350" s="112"/>
      <c r="Y3350" s="112"/>
    </row>
    <row r="3351" spans="22:25" x14ac:dyDescent="0.2">
      <c r="V3351" s="112"/>
      <c r="X3351" s="112"/>
      <c r="Y3351" s="112"/>
    </row>
    <row r="3352" spans="22:25" x14ac:dyDescent="0.2">
      <c r="V3352" s="112"/>
      <c r="X3352" s="112"/>
      <c r="Y3352" s="112"/>
    </row>
    <row r="3353" spans="22:25" x14ac:dyDescent="0.2">
      <c r="V3353" s="112"/>
      <c r="X3353" s="112"/>
      <c r="Y3353" s="112"/>
    </row>
    <row r="3354" spans="22:25" x14ac:dyDescent="0.2">
      <c r="V3354" s="112"/>
      <c r="X3354" s="112"/>
      <c r="Y3354" s="112"/>
    </row>
    <row r="3355" spans="22:25" x14ac:dyDescent="0.2">
      <c r="V3355" s="112"/>
      <c r="X3355" s="112"/>
      <c r="Y3355" s="112"/>
    </row>
    <row r="3356" spans="22:25" x14ac:dyDescent="0.2">
      <c r="V3356" s="112"/>
      <c r="X3356" s="112"/>
      <c r="Y3356" s="112"/>
    </row>
    <row r="3357" spans="22:25" x14ac:dyDescent="0.2">
      <c r="V3357" s="112"/>
      <c r="X3357" s="112"/>
      <c r="Y3357" s="112"/>
    </row>
    <row r="3358" spans="22:25" x14ac:dyDescent="0.2">
      <c r="V3358" s="112"/>
      <c r="X3358" s="112"/>
      <c r="Y3358" s="112"/>
    </row>
    <row r="3359" spans="22:25" x14ac:dyDescent="0.2">
      <c r="V3359" s="112"/>
      <c r="X3359" s="112"/>
      <c r="Y3359" s="112"/>
    </row>
    <row r="3360" spans="22:25" x14ac:dyDescent="0.2">
      <c r="V3360" s="112"/>
      <c r="X3360" s="112"/>
      <c r="Y3360" s="112"/>
    </row>
    <row r="3361" spans="22:25" x14ac:dyDescent="0.2">
      <c r="V3361" s="112"/>
      <c r="X3361" s="112"/>
      <c r="Y3361" s="112"/>
    </row>
    <row r="3362" spans="22:25" x14ac:dyDescent="0.2">
      <c r="V3362" s="112"/>
      <c r="X3362" s="112"/>
      <c r="Y3362" s="112"/>
    </row>
    <row r="3363" spans="22:25" x14ac:dyDescent="0.2">
      <c r="V3363" s="112"/>
      <c r="X3363" s="112"/>
      <c r="Y3363" s="112"/>
    </row>
    <row r="3364" spans="22:25" x14ac:dyDescent="0.2">
      <c r="V3364" s="112"/>
      <c r="X3364" s="112"/>
      <c r="Y3364" s="112"/>
    </row>
    <row r="3365" spans="22:25" x14ac:dyDescent="0.2">
      <c r="V3365" s="112"/>
      <c r="X3365" s="112"/>
      <c r="Y3365" s="112"/>
    </row>
    <row r="3366" spans="22:25" x14ac:dyDescent="0.2">
      <c r="V3366" s="112"/>
      <c r="X3366" s="112"/>
      <c r="Y3366" s="112"/>
    </row>
    <row r="3367" spans="22:25" x14ac:dyDescent="0.2">
      <c r="V3367" s="112"/>
      <c r="X3367" s="112"/>
      <c r="Y3367" s="112"/>
    </row>
    <row r="3368" spans="22:25" x14ac:dyDescent="0.2">
      <c r="V3368" s="112"/>
      <c r="X3368" s="112"/>
      <c r="Y3368" s="112"/>
    </row>
    <row r="3369" spans="22:25" x14ac:dyDescent="0.2">
      <c r="V3369" s="112"/>
      <c r="X3369" s="112"/>
      <c r="Y3369" s="112"/>
    </row>
    <row r="3370" spans="22:25" x14ac:dyDescent="0.2">
      <c r="V3370" s="112"/>
      <c r="X3370" s="112"/>
      <c r="Y3370" s="112"/>
    </row>
    <row r="3371" spans="22:25" x14ac:dyDescent="0.2">
      <c r="V3371" s="112"/>
      <c r="X3371" s="112"/>
      <c r="Y3371" s="112"/>
    </row>
    <row r="3372" spans="22:25" x14ac:dyDescent="0.2">
      <c r="V3372" s="112"/>
      <c r="X3372" s="112"/>
      <c r="Y3372" s="112"/>
    </row>
    <row r="3373" spans="22:25" x14ac:dyDescent="0.2">
      <c r="V3373" s="112"/>
      <c r="X3373" s="112"/>
      <c r="Y3373" s="112"/>
    </row>
    <row r="3374" spans="22:25" x14ac:dyDescent="0.2">
      <c r="V3374" s="112"/>
      <c r="X3374" s="112"/>
      <c r="Y3374" s="112"/>
    </row>
    <row r="3375" spans="22:25" x14ac:dyDescent="0.2">
      <c r="V3375" s="112"/>
      <c r="X3375" s="112"/>
      <c r="Y3375" s="112"/>
    </row>
    <row r="3376" spans="22:25" x14ac:dyDescent="0.2">
      <c r="V3376" s="112"/>
      <c r="X3376" s="112"/>
      <c r="Y3376" s="112"/>
    </row>
    <row r="3377" spans="22:25" x14ac:dyDescent="0.2">
      <c r="V3377" s="112"/>
      <c r="X3377" s="112"/>
      <c r="Y3377" s="112"/>
    </row>
    <row r="3378" spans="22:25" x14ac:dyDescent="0.2">
      <c r="V3378" s="112"/>
      <c r="X3378" s="112"/>
      <c r="Y3378" s="112"/>
    </row>
    <row r="3379" spans="22:25" x14ac:dyDescent="0.2">
      <c r="V3379" s="112"/>
      <c r="X3379" s="112"/>
      <c r="Y3379" s="112"/>
    </row>
    <row r="3380" spans="22:25" x14ac:dyDescent="0.2">
      <c r="V3380" s="112"/>
      <c r="X3380" s="112"/>
      <c r="Y3380" s="112"/>
    </row>
    <row r="3381" spans="22:25" x14ac:dyDescent="0.2">
      <c r="V3381" s="112"/>
      <c r="X3381" s="112"/>
      <c r="Y3381" s="112"/>
    </row>
    <row r="3382" spans="22:25" x14ac:dyDescent="0.2">
      <c r="V3382" s="112"/>
      <c r="X3382" s="112"/>
      <c r="Y3382" s="112"/>
    </row>
    <row r="3383" spans="22:25" x14ac:dyDescent="0.2">
      <c r="V3383" s="112"/>
      <c r="X3383" s="112"/>
      <c r="Y3383" s="112"/>
    </row>
    <row r="3384" spans="22:25" x14ac:dyDescent="0.2">
      <c r="V3384" s="112"/>
      <c r="X3384" s="112"/>
      <c r="Y3384" s="112"/>
    </row>
    <row r="3385" spans="22:25" x14ac:dyDescent="0.2">
      <c r="V3385" s="112"/>
      <c r="X3385" s="112"/>
      <c r="Y3385" s="112"/>
    </row>
    <row r="3386" spans="22:25" x14ac:dyDescent="0.2">
      <c r="V3386" s="112"/>
      <c r="X3386" s="112"/>
      <c r="Y3386" s="112"/>
    </row>
    <row r="3387" spans="22:25" x14ac:dyDescent="0.2">
      <c r="V3387" s="112"/>
      <c r="X3387" s="112"/>
      <c r="Y3387" s="112"/>
    </row>
    <row r="3388" spans="22:25" x14ac:dyDescent="0.2">
      <c r="V3388" s="112"/>
      <c r="X3388" s="112"/>
      <c r="Y3388" s="112"/>
    </row>
    <row r="3389" spans="22:25" x14ac:dyDescent="0.2">
      <c r="V3389" s="112"/>
      <c r="X3389" s="112"/>
      <c r="Y3389" s="112"/>
    </row>
    <row r="3390" spans="22:25" x14ac:dyDescent="0.2">
      <c r="V3390" s="112"/>
      <c r="X3390" s="112"/>
      <c r="Y3390" s="112"/>
    </row>
    <row r="3391" spans="22:25" x14ac:dyDescent="0.2">
      <c r="V3391" s="112"/>
      <c r="X3391" s="112"/>
      <c r="Y3391" s="112"/>
    </row>
    <row r="3392" spans="22:25" x14ac:dyDescent="0.2">
      <c r="V3392" s="112"/>
      <c r="X3392" s="112"/>
      <c r="Y3392" s="112"/>
    </row>
    <row r="3393" spans="22:25" x14ac:dyDescent="0.2">
      <c r="V3393" s="112"/>
      <c r="X3393" s="112"/>
      <c r="Y3393" s="112"/>
    </row>
    <row r="3394" spans="22:25" x14ac:dyDescent="0.2">
      <c r="V3394" s="112"/>
      <c r="X3394" s="112"/>
      <c r="Y3394" s="112"/>
    </row>
    <row r="3395" spans="22:25" x14ac:dyDescent="0.2">
      <c r="V3395" s="112"/>
      <c r="X3395" s="112"/>
      <c r="Y3395" s="112"/>
    </row>
    <row r="3396" spans="22:25" x14ac:dyDescent="0.2">
      <c r="V3396" s="112"/>
      <c r="X3396" s="112"/>
      <c r="Y3396" s="112"/>
    </row>
    <row r="3397" spans="22:25" x14ac:dyDescent="0.2">
      <c r="V3397" s="112"/>
      <c r="X3397" s="112"/>
      <c r="Y3397" s="112"/>
    </row>
    <row r="3398" spans="22:25" x14ac:dyDescent="0.2">
      <c r="V3398" s="112"/>
      <c r="X3398" s="112"/>
      <c r="Y3398" s="112"/>
    </row>
    <row r="3399" spans="22:25" x14ac:dyDescent="0.2">
      <c r="V3399" s="112"/>
      <c r="X3399" s="112"/>
      <c r="Y3399" s="112"/>
    </row>
    <row r="3400" spans="22:25" x14ac:dyDescent="0.2">
      <c r="V3400" s="112"/>
      <c r="X3400" s="112"/>
      <c r="Y3400" s="112"/>
    </row>
    <row r="3401" spans="22:25" x14ac:dyDescent="0.2">
      <c r="V3401" s="112"/>
      <c r="X3401" s="112"/>
      <c r="Y3401" s="112"/>
    </row>
    <row r="3402" spans="22:25" x14ac:dyDescent="0.2">
      <c r="V3402" s="112"/>
      <c r="X3402" s="112"/>
      <c r="Y3402" s="112"/>
    </row>
    <row r="3403" spans="22:25" x14ac:dyDescent="0.2">
      <c r="V3403" s="112"/>
      <c r="X3403" s="112"/>
      <c r="Y3403" s="112"/>
    </row>
    <row r="3404" spans="22:25" x14ac:dyDescent="0.2">
      <c r="V3404" s="112"/>
      <c r="X3404" s="112"/>
      <c r="Y3404" s="112"/>
    </row>
    <row r="3405" spans="22:25" x14ac:dyDescent="0.2">
      <c r="V3405" s="112"/>
      <c r="X3405" s="112"/>
      <c r="Y3405" s="112"/>
    </row>
    <row r="3406" spans="22:25" x14ac:dyDescent="0.2">
      <c r="V3406" s="112"/>
      <c r="X3406" s="112"/>
      <c r="Y3406" s="112"/>
    </row>
    <row r="3407" spans="22:25" x14ac:dyDescent="0.2">
      <c r="V3407" s="112"/>
      <c r="X3407" s="112"/>
      <c r="Y3407" s="112"/>
    </row>
    <row r="3408" spans="22:25" x14ac:dyDescent="0.2">
      <c r="V3408" s="112"/>
      <c r="X3408" s="112"/>
      <c r="Y3408" s="112"/>
    </row>
    <row r="3409" spans="22:25" x14ac:dyDescent="0.2">
      <c r="V3409" s="112"/>
      <c r="X3409" s="112"/>
      <c r="Y3409" s="112"/>
    </row>
    <row r="3410" spans="22:25" x14ac:dyDescent="0.2">
      <c r="V3410" s="112"/>
      <c r="X3410" s="112"/>
      <c r="Y3410" s="112"/>
    </row>
    <row r="3411" spans="22:25" x14ac:dyDescent="0.2">
      <c r="V3411" s="112"/>
      <c r="X3411" s="112"/>
      <c r="Y3411" s="112"/>
    </row>
    <row r="3412" spans="22:25" x14ac:dyDescent="0.2">
      <c r="V3412" s="112"/>
      <c r="X3412" s="112"/>
      <c r="Y3412" s="112"/>
    </row>
    <row r="3413" spans="22:25" x14ac:dyDescent="0.2">
      <c r="V3413" s="112"/>
      <c r="X3413" s="112"/>
      <c r="Y3413" s="112"/>
    </row>
    <row r="3414" spans="22:25" x14ac:dyDescent="0.2">
      <c r="V3414" s="112"/>
      <c r="X3414" s="112"/>
      <c r="Y3414" s="112"/>
    </row>
    <row r="3415" spans="22:25" x14ac:dyDescent="0.2">
      <c r="V3415" s="112"/>
      <c r="X3415" s="112"/>
      <c r="Y3415" s="112"/>
    </row>
    <row r="3416" spans="22:25" x14ac:dyDescent="0.2">
      <c r="V3416" s="112"/>
      <c r="X3416" s="112"/>
      <c r="Y3416" s="112"/>
    </row>
    <row r="3417" spans="22:25" x14ac:dyDescent="0.2">
      <c r="V3417" s="112"/>
      <c r="X3417" s="112"/>
      <c r="Y3417" s="112"/>
    </row>
    <row r="3418" spans="22:25" x14ac:dyDescent="0.2">
      <c r="V3418" s="112"/>
      <c r="X3418" s="112"/>
      <c r="Y3418" s="112"/>
    </row>
    <row r="3419" spans="22:25" x14ac:dyDescent="0.2">
      <c r="V3419" s="112"/>
      <c r="X3419" s="112"/>
      <c r="Y3419" s="112"/>
    </row>
    <row r="3420" spans="22:25" x14ac:dyDescent="0.2">
      <c r="V3420" s="112"/>
      <c r="X3420" s="112"/>
      <c r="Y3420" s="112"/>
    </row>
    <row r="3421" spans="22:25" x14ac:dyDescent="0.2">
      <c r="V3421" s="112"/>
      <c r="X3421" s="112"/>
      <c r="Y3421" s="112"/>
    </row>
    <row r="3422" spans="22:25" x14ac:dyDescent="0.2">
      <c r="V3422" s="112"/>
      <c r="X3422" s="112"/>
      <c r="Y3422" s="112"/>
    </row>
    <row r="3423" spans="22:25" x14ac:dyDescent="0.2">
      <c r="V3423" s="112"/>
      <c r="X3423" s="112"/>
      <c r="Y3423" s="112"/>
    </row>
    <row r="3424" spans="22:25" x14ac:dyDescent="0.2">
      <c r="V3424" s="112"/>
      <c r="X3424" s="112"/>
      <c r="Y3424" s="112"/>
    </row>
    <row r="3425" spans="22:25" x14ac:dyDescent="0.2">
      <c r="V3425" s="112"/>
      <c r="X3425" s="112"/>
      <c r="Y3425" s="112"/>
    </row>
    <row r="3426" spans="22:25" x14ac:dyDescent="0.2">
      <c r="V3426" s="112"/>
      <c r="X3426" s="112"/>
      <c r="Y3426" s="112"/>
    </row>
    <row r="3427" spans="22:25" x14ac:dyDescent="0.2">
      <c r="V3427" s="112"/>
      <c r="X3427" s="112"/>
      <c r="Y3427" s="112"/>
    </row>
    <row r="3428" spans="22:25" x14ac:dyDescent="0.2">
      <c r="V3428" s="112"/>
      <c r="X3428" s="112"/>
      <c r="Y3428" s="112"/>
    </row>
    <row r="3429" spans="22:25" x14ac:dyDescent="0.2">
      <c r="V3429" s="112"/>
      <c r="X3429" s="112"/>
      <c r="Y3429" s="112"/>
    </row>
    <row r="3430" spans="22:25" x14ac:dyDescent="0.2">
      <c r="V3430" s="112"/>
      <c r="X3430" s="112"/>
      <c r="Y3430" s="112"/>
    </row>
    <row r="3431" spans="22:25" x14ac:dyDescent="0.2">
      <c r="V3431" s="112"/>
      <c r="X3431" s="112"/>
      <c r="Y3431" s="112"/>
    </row>
    <row r="3432" spans="22:25" x14ac:dyDescent="0.2">
      <c r="V3432" s="112"/>
      <c r="X3432" s="112"/>
      <c r="Y3432" s="112"/>
    </row>
    <row r="3433" spans="22:25" x14ac:dyDescent="0.2">
      <c r="V3433" s="112"/>
      <c r="X3433" s="112"/>
      <c r="Y3433" s="112"/>
    </row>
    <row r="3434" spans="22:25" x14ac:dyDescent="0.2">
      <c r="V3434" s="112"/>
      <c r="X3434" s="112"/>
      <c r="Y3434" s="112"/>
    </row>
    <row r="3435" spans="22:25" x14ac:dyDescent="0.2">
      <c r="V3435" s="112"/>
      <c r="X3435" s="112"/>
      <c r="Y3435" s="112"/>
    </row>
    <row r="3436" spans="22:25" x14ac:dyDescent="0.2">
      <c r="V3436" s="112"/>
      <c r="X3436" s="112"/>
      <c r="Y3436" s="112"/>
    </row>
    <row r="3437" spans="22:25" x14ac:dyDescent="0.2">
      <c r="V3437" s="112"/>
      <c r="X3437" s="112"/>
      <c r="Y3437" s="112"/>
    </row>
    <row r="3438" spans="22:25" x14ac:dyDescent="0.2">
      <c r="V3438" s="112"/>
      <c r="X3438" s="112"/>
      <c r="Y3438" s="112"/>
    </row>
    <row r="3439" spans="22:25" x14ac:dyDescent="0.2">
      <c r="V3439" s="112"/>
      <c r="X3439" s="112"/>
      <c r="Y3439" s="112"/>
    </row>
    <row r="3440" spans="22:25" x14ac:dyDescent="0.2">
      <c r="V3440" s="112"/>
      <c r="X3440" s="112"/>
      <c r="Y3440" s="112"/>
    </row>
    <row r="3441" spans="22:25" x14ac:dyDescent="0.2">
      <c r="V3441" s="112"/>
      <c r="X3441" s="112"/>
      <c r="Y3441" s="112"/>
    </row>
    <row r="3442" spans="22:25" x14ac:dyDescent="0.2">
      <c r="V3442" s="112"/>
      <c r="X3442" s="112"/>
      <c r="Y3442" s="112"/>
    </row>
    <row r="3443" spans="22:25" x14ac:dyDescent="0.2">
      <c r="V3443" s="112"/>
      <c r="X3443" s="112"/>
      <c r="Y3443" s="112"/>
    </row>
    <row r="3444" spans="22:25" x14ac:dyDescent="0.2">
      <c r="V3444" s="112"/>
      <c r="X3444" s="112"/>
      <c r="Y3444" s="112"/>
    </row>
    <row r="3445" spans="22:25" x14ac:dyDescent="0.2">
      <c r="V3445" s="112"/>
      <c r="X3445" s="112"/>
      <c r="Y3445" s="112"/>
    </row>
    <row r="3446" spans="22:25" x14ac:dyDescent="0.2">
      <c r="V3446" s="112"/>
      <c r="X3446" s="112"/>
      <c r="Y3446" s="112"/>
    </row>
    <row r="3447" spans="22:25" x14ac:dyDescent="0.2">
      <c r="V3447" s="112"/>
      <c r="X3447" s="112"/>
      <c r="Y3447" s="112"/>
    </row>
    <row r="3448" spans="22:25" x14ac:dyDescent="0.2">
      <c r="V3448" s="112"/>
      <c r="X3448" s="112"/>
      <c r="Y3448" s="112"/>
    </row>
    <row r="3449" spans="22:25" x14ac:dyDescent="0.2">
      <c r="V3449" s="112"/>
      <c r="X3449" s="112"/>
      <c r="Y3449" s="112"/>
    </row>
    <row r="3450" spans="22:25" x14ac:dyDescent="0.2">
      <c r="V3450" s="112"/>
      <c r="X3450" s="112"/>
      <c r="Y3450" s="112"/>
    </row>
    <row r="3451" spans="22:25" x14ac:dyDescent="0.2">
      <c r="V3451" s="112"/>
      <c r="X3451" s="112"/>
      <c r="Y3451" s="112"/>
    </row>
    <row r="3452" spans="22:25" x14ac:dyDescent="0.2">
      <c r="V3452" s="112"/>
      <c r="X3452" s="112"/>
      <c r="Y3452" s="112"/>
    </row>
    <row r="3453" spans="22:25" x14ac:dyDescent="0.2">
      <c r="V3453" s="112"/>
      <c r="X3453" s="112"/>
      <c r="Y3453" s="112"/>
    </row>
    <row r="3454" spans="22:25" x14ac:dyDescent="0.2">
      <c r="V3454" s="112"/>
      <c r="X3454" s="112"/>
      <c r="Y3454" s="112"/>
    </row>
    <row r="3455" spans="22:25" x14ac:dyDescent="0.2">
      <c r="V3455" s="112"/>
      <c r="X3455" s="112"/>
      <c r="Y3455" s="112"/>
    </row>
    <row r="3456" spans="22:25" x14ac:dyDescent="0.2">
      <c r="V3456" s="112"/>
      <c r="X3456" s="112"/>
      <c r="Y3456" s="112"/>
    </row>
    <row r="3457" spans="22:25" x14ac:dyDescent="0.2">
      <c r="V3457" s="112"/>
      <c r="X3457" s="112"/>
      <c r="Y3457" s="112"/>
    </row>
    <row r="3458" spans="22:25" x14ac:dyDescent="0.2">
      <c r="V3458" s="112"/>
      <c r="X3458" s="112"/>
      <c r="Y3458" s="112"/>
    </row>
    <row r="3459" spans="22:25" x14ac:dyDescent="0.2">
      <c r="V3459" s="112"/>
      <c r="X3459" s="112"/>
      <c r="Y3459" s="112"/>
    </row>
    <row r="3460" spans="22:25" x14ac:dyDescent="0.2">
      <c r="V3460" s="112"/>
      <c r="X3460" s="112"/>
      <c r="Y3460" s="112"/>
    </row>
    <row r="3461" spans="22:25" x14ac:dyDescent="0.2">
      <c r="V3461" s="112"/>
      <c r="X3461" s="112"/>
      <c r="Y3461" s="112"/>
    </row>
    <row r="3462" spans="22:25" x14ac:dyDescent="0.2">
      <c r="V3462" s="112"/>
      <c r="X3462" s="112"/>
      <c r="Y3462" s="112"/>
    </row>
    <row r="3463" spans="22:25" x14ac:dyDescent="0.2">
      <c r="V3463" s="112"/>
      <c r="X3463" s="112"/>
      <c r="Y3463" s="112"/>
    </row>
    <row r="3464" spans="22:25" x14ac:dyDescent="0.2">
      <c r="V3464" s="112"/>
      <c r="X3464" s="112"/>
      <c r="Y3464" s="112"/>
    </row>
    <row r="3465" spans="22:25" x14ac:dyDescent="0.2">
      <c r="V3465" s="112"/>
      <c r="X3465" s="112"/>
      <c r="Y3465" s="112"/>
    </row>
    <row r="3466" spans="22:25" x14ac:dyDescent="0.2">
      <c r="V3466" s="112"/>
      <c r="X3466" s="112"/>
      <c r="Y3466" s="112"/>
    </row>
    <row r="3467" spans="22:25" x14ac:dyDescent="0.2">
      <c r="V3467" s="112"/>
      <c r="X3467" s="112"/>
      <c r="Y3467" s="112"/>
    </row>
    <row r="3468" spans="22:25" x14ac:dyDescent="0.2">
      <c r="V3468" s="112"/>
      <c r="X3468" s="112"/>
      <c r="Y3468" s="112"/>
    </row>
    <row r="3469" spans="22:25" x14ac:dyDescent="0.2">
      <c r="V3469" s="112"/>
      <c r="X3469" s="112"/>
      <c r="Y3469" s="112"/>
    </row>
    <row r="3470" spans="22:25" x14ac:dyDescent="0.2">
      <c r="V3470" s="112"/>
      <c r="X3470" s="112"/>
      <c r="Y3470" s="112"/>
    </row>
    <row r="3471" spans="22:25" x14ac:dyDescent="0.2">
      <c r="V3471" s="112"/>
      <c r="X3471" s="112"/>
      <c r="Y3471" s="112"/>
    </row>
    <row r="3472" spans="22:25" x14ac:dyDescent="0.2">
      <c r="V3472" s="112"/>
      <c r="X3472" s="112"/>
      <c r="Y3472" s="112"/>
    </row>
    <row r="3473" spans="22:25" x14ac:dyDescent="0.2">
      <c r="V3473" s="112"/>
      <c r="X3473" s="112"/>
      <c r="Y3473" s="112"/>
    </row>
    <row r="3474" spans="22:25" x14ac:dyDescent="0.2">
      <c r="V3474" s="112"/>
      <c r="X3474" s="112"/>
      <c r="Y3474" s="112"/>
    </row>
    <row r="3475" spans="22:25" x14ac:dyDescent="0.2">
      <c r="V3475" s="112"/>
      <c r="X3475" s="112"/>
      <c r="Y3475" s="112"/>
    </row>
    <row r="3476" spans="22:25" x14ac:dyDescent="0.2">
      <c r="V3476" s="112"/>
      <c r="X3476" s="112"/>
      <c r="Y3476" s="112"/>
    </row>
    <row r="3477" spans="22:25" x14ac:dyDescent="0.2">
      <c r="V3477" s="112"/>
      <c r="X3477" s="112"/>
      <c r="Y3477" s="112"/>
    </row>
    <row r="3478" spans="22:25" x14ac:dyDescent="0.2">
      <c r="V3478" s="112"/>
      <c r="X3478" s="112"/>
      <c r="Y3478" s="112"/>
    </row>
    <row r="3479" spans="22:25" x14ac:dyDescent="0.2">
      <c r="V3479" s="112"/>
      <c r="X3479" s="112"/>
      <c r="Y3479" s="112"/>
    </row>
    <row r="3480" spans="22:25" x14ac:dyDescent="0.2">
      <c r="V3480" s="112"/>
      <c r="X3480" s="112"/>
      <c r="Y3480" s="112"/>
    </row>
    <row r="3481" spans="22:25" x14ac:dyDescent="0.2">
      <c r="V3481" s="112"/>
      <c r="X3481" s="112"/>
      <c r="Y3481" s="112"/>
    </row>
    <row r="3482" spans="22:25" x14ac:dyDescent="0.2">
      <c r="V3482" s="112"/>
      <c r="X3482" s="112"/>
      <c r="Y3482" s="112"/>
    </row>
    <row r="3483" spans="22:25" x14ac:dyDescent="0.2">
      <c r="V3483" s="112"/>
      <c r="X3483" s="112"/>
      <c r="Y3483" s="112"/>
    </row>
    <row r="3484" spans="22:25" x14ac:dyDescent="0.2">
      <c r="V3484" s="112"/>
      <c r="X3484" s="112"/>
      <c r="Y3484" s="112"/>
    </row>
    <row r="3485" spans="22:25" x14ac:dyDescent="0.2">
      <c r="V3485" s="112"/>
      <c r="X3485" s="112"/>
      <c r="Y3485" s="112"/>
    </row>
    <row r="3486" spans="22:25" x14ac:dyDescent="0.2">
      <c r="V3486" s="112"/>
      <c r="X3486" s="112"/>
      <c r="Y3486" s="112"/>
    </row>
    <row r="3487" spans="22:25" x14ac:dyDescent="0.2">
      <c r="V3487" s="112"/>
      <c r="X3487" s="112"/>
      <c r="Y3487" s="112"/>
    </row>
    <row r="3488" spans="22:25" x14ac:dyDescent="0.2">
      <c r="V3488" s="112"/>
      <c r="X3488" s="112"/>
      <c r="Y3488" s="112"/>
    </row>
    <row r="3489" spans="22:25" x14ac:dyDescent="0.2">
      <c r="V3489" s="112"/>
      <c r="X3489" s="112"/>
      <c r="Y3489" s="112"/>
    </row>
    <row r="3490" spans="22:25" x14ac:dyDescent="0.2">
      <c r="V3490" s="112"/>
      <c r="X3490" s="112"/>
      <c r="Y3490" s="112"/>
    </row>
    <row r="3491" spans="22:25" x14ac:dyDescent="0.2">
      <c r="V3491" s="112"/>
      <c r="X3491" s="112"/>
      <c r="Y3491" s="112"/>
    </row>
    <row r="3492" spans="22:25" x14ac:dyDescent="0.2">
      <c r="V3492" s="112"/>
      <c r="X3492" s="112"/>
      <c r="Y3492" s="112"/>
    </row>
    <row r="3493" spans="22:25" x14ac:dyDescent="0.2">
      <c r="V3493" s="112"/>
      <c r="X3493" s="112"/>
      <c r="Y3493" s="112"/>
    </row>
    <row r="3494" spans="22:25" x14ac:dyDescent="0.2">
      <c r="V3494" s="112"/>
      <c r="X3494" s="112"/>
      <c r="Y3494" s="112"/>
    </row>
    <row r="3495" spans="22:25" x14ac:dyDescent="0.2">
      <c r="V3495" s="112"/>
      <c r="X3495" s="112"/>
      <c r="Y3495" s="112"/>
    </row>
    <row r="3496" spans="22:25" x14ac:dyDescent="0.2">
      <c r="V3496" s="112"/>
      <c r="X3496" s="112"/>
      <c r="Y3496" s="112"/>
    </row>
    <row r="3497" spans="22:25" x14ac:dyDescent="0.2">
      <c r="V3497" s="112"/>
      <c r="X3497" s="112"/>
      <c r="Y3497" s="112"/>
    </row>
    <row r="3498" spans="22:25" x14ac:dyDescent="0.2">
      <c r="V3498" s="112"/>
      <c r="X3498" s="112"/>
      <c r="Y3498" s="112"/>
    </row>
    <row r="3499" spans="22:25" x14ac:dyDescent="0.2">
      <c r="V3499" s="112"/>
      <c r="X3499" s="112"/>
      <c r="Y3499" s="112"/>
    </row>
    <row r="3500" spans="22:25" x14ac:dyDescent="0.2">
      <c r="V3500" s="112"/>
      <c r="X3500" s="112"/>
      <c r="Y3500" s="112"/>
    </row>
    <row r="3501" spans="22:25" x14ac:dyDescent="0.2">
      <c r="V3501" s="112"/>
      <c r="X3501" s="112"/>
      <c r="Y3501" s="112"/>
    </row>
    <row r="3502" spans="22:25" x14ac:dyDescent="0.2">
      <c r="V3502" s="112"/>
      <c r="X3502" s="112"/>
      <c r="Y3502" s="112"/>
    </row>
    <row r="3503" spans="22:25" x14ac:dyDescent="0.2">
      <c r="V3503" s="112"/>
      <c r="X3503" s="112"/>
      <c r="Y3503" s="112"/>
    </row>
    <row r="3504" spans="22:25" x14ac:dyDescent="0.2">
      <c r="V3504" s="112"/>
      <c r="X3504" s="112"/>
      <c r="Y3504" s="112"/>
    </row>
    <row r="3505" spans="22:25" x14ac:dyDescent="0.2">
      <c r="V3505" s="112"/>
      <c r="X3505" s="112"/>
      <c r="Y3505" s="112"/>
    </row>
    <row r="3506" spans="22:25" x14ac:dyDescent="0.2">
      <c r="V3506" s="112"/>
      <c r="X3506" s="112"/>
      <c r="Y3506" s="112"/>
    </row>
    <row r="3507" spans="22:25" x14ac:dyDescent="0.2">
      <c r="V3507" s="112"/>
      <c r="X3507" s="112"/>
      <c r="Y3507" s="112"/>
    </row>
    <row r="3508" spans="22:25" x14ac:dyDescent="0.2">
      <c r="V3508" s="112"/>
      <c r="X3508" s="112"/>
      <c r="Y3508" s="112"/>
    </row>
    <row r="3509" spans="22:25" x14ac:dyDescent="0.2">
      <c r="V3509" s="112"/>
      <c r="X3509" s="112"/>
      <c r="Y3509" s="112"/>
    </row>
    <row r="3510" spans="22:25" x14ac:dyDescent="0.2">
      <c r="V3510" s="112"/>
      <c r="X3510" s="112"/>
      <c r="Y3510" s="112"/>
    </row>
    <row r="3511" spans="22:25" x14ac:dyDescent="0.2">
      <c r="V3511" s="112"/>
      <c r="X3511" s="112"/>
      <c r="Y3511" s="112"/>
    </row>
    <row r="3512" spans="22:25" x14ac:dyDescent="0.2">
      <c r="V3512" s="112"/>
      <c r="X3512" s="112"/>
      <c r="Y3512" s="112"/>
    </row>
    <row r="3513" spans="22:25" x14ac:dyDescent="0.2">
      <c r="V3513" s="112"/>
      <c r="X3513" s="112"/>
      <c r="Y3513" s="112"/>
    </row>
    <row r="3514" spans="22:25" x14ac:dyDescent="0.2">
      <c r="V3514" s="112"/>
      <c r="X3514" s="112"/>
      <c r="Y3514" s="112"/>
    </row>
    <row r="3515" spans="22:25" x14ac:dyDescent="0.2">
      <c r="V3515" s="112"/>
      <c r="X3515" s="112"/>
      <c r="Y3515" s="112"/>
    </row>
    <row r="3516" spans="22:25" x14ac:dyDescent="0.2">
      <c r="V3516" s="112"/>
      <c r="X3516" s="112"/>
      <c r="Y3516" s="112"/>
    </row>
    <row r="3517" spans="22:25" x14ac:dyDescent="0.2">
      <c r="V3517" s="112"/>
      <c r="X3517" s="112"/>
      <c r="Y3517" s="112"/>
    </row>
    <row r="3518" spans="22:25" x14ac:dyDescent="0.2">
      <c r="V3518" s="112"/>
      <c r="X3518" s="112"/>
      <c r="Y3518" s="112"/>
    </row>
    <row r="3519" spans="22:25" x14ac:dyDescent="0.2">
      <c r="V3519" s="112"/>
      <c r="X3519" s="112"/>
      <c r="Y3519" s="112"/>
    </row>
    <row r="3520" spans="22:25" x14ac:dyDescent="0.2">
      <c r="V3520" s="112"/>
      <c r="X3520" s="112"/>
      <c r="Y3520" s="112"/>
    </row>
    <row r="3521" spans="22:25" x14ac:dyDescent="0.2">
      <c r="V3521" s="112"/>
      <c r="X3521" s="112"/>
      <c r="Y3521" s="112"/>
    </row>
    <row r="3522" spans="22:25" x14ac:dyDescent="0.2">
      <c r="V3522" s="112"/>
      <c r="X3522" s="112"/>
      <c r="Y3522" s="112"/>
    </row>
    <row r="3523" spans="22:25" x14ac:dyDescent="0.2">
      <c r="V3523" s="112"/>
      <c r="X3523" s="112"/>
      <c r="Y3523" s="112"/>
    </row>
    <row r="3524" spans="22:25" x14ac:dyDescent="0.2">
      <c r="V3524" s="112"/>
      <c r="X3524" s="112"/>
      <c r="Y3524" s="112"/>
    </row>
    <row r="3525" spans="22:25" x14ac:dyDescent="0.2">
      <c r="V3525" s="112"/>
      <c r="X3525" s="112"/>
      <c r="Y3525" s="112"/>
    </row>
    <row r="3526" spans="22:25" x14ac:dyDescent="0.2">
      <c r="V3526" s="112"/>
      <c r="X3526" s="112"/>
      <c r="Y3526" s="112"/>
    </row>
    <row r="3527" spans="22:25" x14ac:dyDescent="0.2">
      <c r="V3527" s="112"/>
      <c r="X3527" s="112"/>
      <c r="Y3527" s="112"/>
    </row>
    <row r="3528" spans="22:25" x14ac:dyDescent="0.2">
      <c r="V3528" s="112"/>
      <c r="X3528" s="112"/>
      <c r="Y3528" s="112"/>
    </row>
    <row r="3529" spans="22:25" x14ac:dyDescent="0.2">
      <c r="V3529" s="112"/>
      <c r="X3529" s="112"/>
      <c r="Y3529" s="112"/>
    </row>
    <row r="3530" spans="22:25" x14ac:dyDescent="0.2">
      <c r="V3530" s="112"/>
      <c r="X3530" s="112"/>
      <c r="Y3530" s="112"/>
    </row>
    <row r="3531" spans="22:25" x14ac:dyDescent="0.2">
      <c r="V3531" s="112"/>
      <c r="X3531" s="112"/>
      <c r="Y3531" s="112"/>
    </row>
    <row r="3532" spans="22:25" x14ac:dyDescent="0.2">
      <c r="V3532" s="112"/>
      <c r="X3532" s="112"/>
      <c r="Y3532" s="112"/>
    </row>
    <row r="3533" spans="22:25" x14ac:dyDescent="0.2">
      <c r="V3533" s="112"/>
      <c r="X3533" s="112"/>
      <c r="Y3533" s="112"/>
    </row>
    <row r="3534" spans="22:25" x14ac:dyDescent="0.2">
      <c r="V3534" s="112"/>
      <c r="X3534" s="112"/>
      <c r="Y3534" s="112"/>
    </row>
    <row r="3535" spans="22:25" x14ac:dyDescent="0.2">
      <c r="V3535" s="112"/>
      <c r="X3535" s="112"/>
      <c r="Y3535" s="112"/>
    </row>
    <row r="3536" spans="22:25" x14ac:dyDescent="0.2">
      <c r="V3536" s="112"/>
      <c r="X3536" s="112"/>
      <c r="Y3536" s="112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84" customWidth="1"/>
    <col min="2" max="2" width="2.33203125" style="84" bestFit="1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bestFit="1" customWidth="1"/>
    <col min="15" max="15" width="7" style="84" bestFit="1" customWidth="1"/>
    <col min="16" max="16" width="9.33203125" style="84" bestFit="1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16384" width="9.33203125" style="84"/>
  </cols>
  <sheetData>
    <row r="1" spans="1:19" x14ac:dyDescent="0.2">
      <c r="E1" s="224" t="s">
        <v>97</v>
      </c>
      <c r="F1" s="225" t="s">
        <v>33</v>
      </c>
      <c r="N1" s="84" t="str">
        <f>_xll.qlInterpolation(,interpolator6M,_xll.ohFilter(E3:E21,M3:M21),_xll.ohFilter(L3:L21,M3:M21))</f>
        <v>obj_00443#0004</v>
      </c>
    </row>
    <row r="2" spans="1:19" ht="26.25" customHeight="1" x14ac:dyDescent="0.2">
      <c r="D2" s="171" t="str">
        <f>F1&amp;" Instruments"</f>
        <v>6M Instruments</v>
      </c>
      <c r="E2" s="171" t="s">
        <v>98</v>
      </c>
      <c r="F2" s="171" t="s">
        <v>99</v>
      </c>
      <c r="G2" s="171" t="s">
        <v>120</v>
      </c>
      <c r="H2" s="171" t="str">
        <f>F1&amp;" Market quote"</f>
        <v>6M Market quote</v>
      </c>
      <c r="I2" s="171" t="s">
        <v>121</v>
      </c>
      <c r="J2" s="171" t="s">
        <v>122</v>
      </c>
      <c r="K2" s="171" t="s">
        <v>123</v>
      </c>
      <c r="L2" s="171" t="s">
        <v>133</v>
      </c>
      <c r="M2" s="171" t="s">
        <v>76</v>
      </c>
      <c r="N2" s="171" t="s">
        <v>127</v>
      </c>
      <c r="O2" s="171" t="s">
        <v>136</v>
      </c>
      <c r="P2" s="171" t="s">
        <v>124</v>
      </c>
      <c r="R2" s="171" t="s">
        <v>98</v>
      </c>
      <c r="S2" s="171" t="s">
        <v>127</v>
      </c>
    </row>
    <row r="3" spans="1:19" ht="11.25" customHeight="1" x14ac:dyDescent="0.2">
      <c r="C3" s="150" t="str">
        <f>SUBSTITUTE(F1,"M","")</f>
        <v>6</v>
      </c>
      <c r="D3" s="215" t="str">
        <f>PROPER(Currency&amp;IborType)&amp;F1&amp;"LastFixing"&amp;QuoteSuffix</f>
        <v>Usdlibor6MLastFixing_Quote</v>
      </c>
      <c r="E3" s="216">
        <f>SettlementDate</f>
        <v>42369</v>
      </c>
      <c r="F3" s="216">
        <f>_xll.qlCalendarAdvance(Calendar,E3,$F$1,"mf",,Trigger)</f>
        <v>42551</v>
      </c>
      <c r="G3" s="217">
        <f>_xll.qlDayCounterYearFraction(DayCounter,E3,F3,,,Trigger)</f>
        <v>0.50555555555555554</v>
      </c>
      <c r="H3" s="218">
        <f>_xll.qlQuoteValue(D3,LastFixingsTrigger)</f>
        <v>8.2749999999999994E-3</v>
      </c>
      <c r="I3" s="219">
        <f>_xll.qlYieldTSDiscount(Discounting,E3,,AllTriggers)</f>
        <v>0.99996012451818017</v>
      </c>
      <c r="J3" s="219">
        <f>_xll.qlYieldTSDiscount(Discounting,F3,,AllTriggers)</f>
        <v>0.9977198315673238</v>
      </c>
      <c r="K3" s="218">
        <f>(I3/J3-1)/G3</f>
        <v>4.4414760073879728E-3</v>
      </c>
      <c r="L3" s="218">
        <f>H3-K3</f>
        <v>3.8335239926120266E-3</v>
      </c>
      <c r="M3" s="220" t="b">
        <v>1</v>
      </c>
      <c r="N3" s="221">
        <f>_xll.qlInterpolationInterpolate($N$1,E3,TRUE)</f>
        <v>3.8335239926120266E-3</v>
      </c>
      <c r="O3" s="222">
        <f>(L3-N3)*10000</f>
        <v>0</v>
      </c>
      <c r="P3" s="232">
        <f t="shared" ref="P3:P5" si="0">LN((1+H3*G3)/(1+K3*G3))</f>
        <v>1.9318501333026182E-3</v>
      </c>
      <c r="R3" s="228">
        <f>E3</f>
        <v>42369</v>
      </c>
      <c r="S3" s="230">
        <f>_xll.qlInterpolationInterpolate(B6Minterpolation,R3,TRUE)</f>
        <v>3.8335239926120266E-3</v>
      </c>
    </row>
    <row r="4" spans="1:19" ht="11.25" customHeight="1" x14ac:dyDescent="0.2">
      <c r="A4" s="84">
        <v>1</v>
      </c>
      <c r="B4" s="84" t="s">
        <v>28</v>
      </c>
      <c r="C4" s="84">
        <f>A4+SUBSTITUTE($F$1,"M","")</f>
        <v>7</v>
      </c>
      <c r="D4" s="212" t="str">
        <f t="shared" ref="D4:D21" si="1">Currency&amp;A4&amp;B4&amp;C4&amp;"F"&amp;QuoteSuffix</f>
        <v>USD1x7F_Quote</v>
      </c>
      <c r="E4" s="27">
        <f>_xll.qlCalendarAdvance("target",$E$3,A4&amp;"M","mf",,Trigger)</f>
        <v>42398</v>
      </c>
      <c r="F4" s="27">
        <f>_xll.qlCalendarAdvance(Calendar,E4,$F$1,"mf",,Trigger)</f>
        <v>42580</v>
      </c>
      <c r="G4" s="49">
        <f>_xll.qlDayCounterYearFraction(DayCounter,E4,F4,,,Trigger)</f>
        <v>0.50555555555555554</v>
      </c>
      <c r="H4" s="3">
        <f>_xll.qlQuoteValue(D4,AllTriggers)</f>
        <v>8.7100000000000007E-3</v>
      </c>
      <c r="I4" s="59">
        <f>_xll.qlYieldTSDiscount(Discounting,E4,,AllTriggers)</f>
        <v>0.99968677449654142</v>
      </c>
      <c r="J4" s="59">
        <f>_xll.qlYieldTSDiscount(Discounting,F4,,AllTriggers)</f>
        <v>0.99725847732985418</v>
      </c>
      <c r="K4" s="3">
        <f t="shared" ref="K4:K21" si="2">(I4/J4-1)/G4</f>
        <v>4.816429515582114E-3</v>
      </c>
      <c r="L4" s="58">
        <f t="shared" ref="L4:L21" si="3">H4-K4</f>
        <v>3.8935704844178867E-3</v>
      </c>
      <c r="M4" s="48" t="b">
        <f>IF(ISERROR(H4),FALSE,TRUE)</f>
        <v>1</v>
      </c>
      <c r="N4" s="3">
        <f>_xll.qlInterpolationInterpolate($N$1,E4,TRUE)</f>
        <v>3.8935704844178867E-3</v>
      </c>
      <c r="O4" s="74">
        <f t="shared" ref="O4:O21" si="4">(L4-N4)*10000</f>
        <v>0</v>
      </c>
      <c r="P4" s="226">
        <f t="shared" si="0"/>
        <v>1.9617093815585433E-3</v>
      </c>
      <c r="R4" s="27">
        <f>_xll.qlCalendarAdvance(Calendar,R3,"1D","f")</f>
        <v>42373</v>
      </c>
      <c r="S4" s="68">
        <f>_xll.qlInterpolationInterpolate(B6Minterpolation,R4,TRUE)</f>
        <v>3.8454948770421135E-3</v>
      </c>
    </row>
    <row r="5" spans="1:19" ht="11.25" customHeight="1" x14ac:dyDescent="0.2">
      <c r="A5" s="84">
        <v>2</v>
      </c>
      <c r="B5" s="84" t="s">
        <v>28</v>
      </c>
      <c r="C5" s="84">
        <f t="shared" ref="C5:C21" si="5">A5+SUBSTITUTE($F$1,"M","")</f>
        <v>8</v>
      </c>
      <c r="D5" s="212" t="str">
        <f t="shared" si="1"/>
        <v>USD2x8F_Quote</v>
      </c>
      <c r="E5" s="27">
        <f>_xll.qlCalendarAdvance("target",$E$3,A5&amp;"M","mf",,Trigger)</f>
        <v>42429</v>
      </c>
      <c r="F5" s="27">
        <f>_xll.qlCalendarAdvance(Calendar,E5,$F$1,"mf",,Trigger)</f>
        <v>42612</v>
      </c>
      <c r="G5" s="49">
        <f>_xll.qlDayCounterYearFraction(DayCounter,E5,F5,,,Trigger)</f>
        <v>0.5083333333333333</v>
      </c>
      <c r="H5" s="3">
        <f>_xll.qlQuoteValue(D5,AllTriggers)</f>
        <v>9.1900000000000003E-3</v>
      </c>
      <c r="I5" s="50">
        <f>_xll.qlYieldTSDiscount(Discounting,E5,,AllTriggers)</f>
        <v>0.99937053608941584</v>
      </c>
      <c r="J5" s="50">
        <f>_xll.qlYieldTSDiscount(Discounting,F5,,AllTriggers)</f>
        <v>0.99667512687418447</v>
      </c>
      <c r="K5" s="3">
        <f t="shared" si="2"/>
        <v>5.3201331254867611E-3</v>
      </c>
      <c r="L5" s="3">
        <f t="shared" si="3"/>
        <v>3.8698668745132392E-3</v>
      </c>
      <c r="M5" s="48" t="b">
        <f t="shared" ref="M5:M21" si="6">IF(ISERROR(H5),FALSE,TRUE)</f>
        <v>1</v>
      </c>
      <c r="N5" s="3">
        <f>_xll.qlInterpolationInterpolate($N$1,E5,TRUE)</f>
        <v>3.8698668745132392E-3</v>
      </c>
      <c r="O5" s="74">
        <f t="shared" si="4"/>
        <v>0</v>
      </c>
      <c r="P5" s="226">
        <f t="shared" si="0"/>
        <v>1.9599546601698731E-3</v>
      </c>
      <c r="R5" s="27">
        <f>_xll.qlCalendarAdvance(Calendar,R4,"1D","f")</f>
        <v>42374</v>
      </c>
      <c r="S5" s="68">
        <f>_xll.qlInterpolationInterpolate(B6Minterpolation,R5,TRUE)</f>
        <v>3.8484372989264774E-3</v>
      </c>
    </row>
    <row r="6" spans="1:19" ht="11.25" customHeight="1" x14ac:dyDescent="0.2">
      <c r="A6" s="84">
        <f>A5+1</f>
        <v>3</v>
      </c>
      <c r="B6" s="84" t="s">
        <v>28</v>
      </c>
      <c r="C6" s="84">
        <f t="shared" si="5"/>
        <v>9</v>
      </c>
      <c r="D6" s="212" t="str">
        <f t="shared" si="1"/>
        <v>USD3x9F_Quote</v>
      </c>
      <c r="E6" s="27">
        <f>_xll.qlCalendarAdvance("target",$E$3,A6&amp;"M","mf",,Trigger)</f>
        <v>42460</v>
      </c>
      <c r="F6" s="27">
        <f>_xll.qlCalendarAdvance(Calendar,E6,$F$1,"mf",,Trigger)</f>
        <v>42643</v>
      </c>
      <c r="G6" s="49">
        <f>_xll.qlDayCounterYearFraction(DayCounter,E6,F6,,,Trigger)</f>
        <v>0.5083333333333333</v>
      </c>
      <c r="H6" s="3">
        <f>_xll.qlQuoteValue(D6,AllTriggers)</f>
        <v>9.7000000000000003E-3</v>
      </c>
      <c r="I6" s="50">
        <f>_xll.qlYieldTSDiscount(Discounting,E6,,AllTriggers)</f>
        <v>0.9990118879961678</v>
      </c>
      <c r="J6" s="50">
        <f>_xll.qlYieldTSDiscount(Discounting,F6,,AllTriggers)</f>
        <v>0.99608350095019316</v>
      </c>
      <c r="K6" s="3">
        <f t="shared" si="2"/>
        <v>5.783412130029272E-3</v>
      </c>
      <c r="L6" s="3">
        <f t="shared" si="3"/>
        <v>3.9165878699707283E-3</v>
      </c>
      <c r="M6" s="48" t="b">
        <f t="shared" si="6"/>
        <v>1</v>
      </c>
      <c r="N6" s="3">
        <f>_xll.qlInterpolationInterpolate($N$1,E6,TRUE)</f>
        <v>3.9165878699707283E-3</v>
      </c>
      <c r="O6" s="74">
        <f t="shared" si="4"/>
        <v>0</v>
      </c>
      <c r="P6" s="226">
        <f t="shared" ref="P6:P21" si="7">LN((1+H6*G6)/(1+K6*G6))</f>
        <v>1.9831284808540343E-3</v>
      </c>
      <c r="R6" s="27">
        <f>_xll.qlCalendarAdvance(Calendar,R5,"1D","f")</f>
        <v>42375</v>
      </c>
      <c r="S6" s="68">
        <f>_xll.qlInterpolationInterpolate(B6Minterpolation,R6,TRUE)</f>
        <v>3.8513461879954025E-3</v>
      </c>
    </row>
    <row r="7" spans="1:19" ht="11.25" customHeight="1" x14ac:dyDescent="0.2">
      <c r="A7" s="84">
        <f t="shared" ref="A7:A21" si="8">A6+1</f>
        <v>4</v>
      </c>
      <c r="B7" s="84" t="s">
        <v>28</v>
      </c>
      <c r="C7" s="84">
        <f t="shared" si="5"/>
        <v>10</v>
      </c>
      <c r="D7" s="212" t="str">
        <f t="shared" si="1"/>
        <v>USD4x10F_Quote</v>
      </c>
      <c r="E7" s="27">
        <f>_xll.qlCalendarAdvance("target",$E$3,A7&amp;"M","mf",,Trigger)</f>
        <v>42489</v>
      </c>
      <c r="F7" s="27">
        <f>_xll.qlCalendarAdvance(Calendar,E7,$F$1,"mf",,Trigger)</f>
        <v>42674</v>
      </c>
      <c r="G7" s="49">
        <f>_xll.qlDayCounterYearFraction(DayCounter,E7,F7,,,Trigger)</f>
        <v>0.51388888888888884</v>
      </c>
      <c r="H7" s="3">
        <f>_xll.qlQuoteValue(D7,AllTriggers)</f>
        <v>1.0160000000000001E-2</v>
      </c>
      <c r="I7" s="50">
        <f>_xll.qlYieldTSDiscount(Discounting,E7,,AllTriggers)</f>
        <v>0.99861567609632995</v>
      </c>
      <c r="J7" s="50">
        <f>_xll.qlYieldTSDiscount(Discounting,F7,,AllTriggers)</f>
        <v>0.99541963125344413</v>
      </c>
      <c r="K7" s="3">
        <f t="shared" si="2"/>
        <v>6.2479484127148672E-3</v>
      </c>
      <c r="L7" s="3">
        <f t="shared" si="3"/>
        <v>3.9120515872851334E-3</v>
      </c>
      <c r="M7" s="48" t="b">
        <f t="shared" si="6"/>
        <v>1</v>
      </c>
      <c r="N7" s="3">
        <f>_xll.qlInterpolationInterpolate($N$1,E7,TRUE)</f>
        <v>3.9120515872851334E-3</v>
      </c>
      <c r="O7" s="74">
        <f t="shared" si="4"/>
        <v>0</v>
      </c>
      <c r="P7" s="226">
        <f t="shared" si="7"/>
        <v>2.0019205555647326E-3</v>
      </c>
      <c r="R7" s="27">
        <f>_xll.qlCalendarAdvance(Calendar,R6,"1D","f")</f>
        <v>42376</v>
      </c>
      <c r="S7" s="68">
        <f>_xll.qlInterpolationInterpolate(B6Minterpolation,R7,TRUE)</f>
        <v>3.8542148376858017E-3</v>
      </c>
    </row>
    <row r="8" spans="1:19" ht="11.25" customHeight="1" x14ac:dyDescent="0.2">
      <c r="A8" s="84">
        <f t="shared" si="8"/>
        <v>5</v>
      </c>
      <c r="B8" s="84" t="s">
        <v>28</v>
      </c>
      <c r="C8" s="84">
        <f t="shared" si="5"/>
        <v>11</v>
      </c>
      <c r="D8" s="212" t="str">
        <f t="shared" si="1"/>
        <v>USD5x11F_Quote</v>
      </c>
      <c r="E8" s="27">
        <f>_xll.qlCalendarAdvance("target",$E$3,A8&amp;"M","mf",,Trigger)</f>
        <v>42521</v>
      </c>
      <c r="F8" s="27">
        <f>_xll.qlCalendarAdvance(Calendar,E8,$F$1,"mf",,Trigger)</f>
        <v>42704</v>
      </c>
      <c r="G8" s="49">
        <f>_xll.qlDayCounterYearFraction(DayCounter,E8,F8,,,Trigger)</f>
        <v>0.5083333333333333</v>
      </c>
      <c r="H8" s="3">
        <f>_xll.qlQuoteValue(D8,AllTriggers)</f>
        <v>1.0629999999999999E-2</v>
      </c>
      <c r="I8" s="50">
        <f>_xll.qlYieldTSDiscount(Discounting,E8,,AllTriggers)</f>
        <v>0.99816874293523461</v>
      </c>
      <c r="J8" s="50">
        <f>_xll.qlYieldTSDiscount(Discounting,F8,,AllTriggers)</f>
        <v>0.99480005136016658</v>
      </c>
      <c r="K8" s="3">
        <f t="shared" si="2"/>
        <v>6.6615740891594272E-3</v>
      </c>
      <c r="L8" s="3">
        <f t="shared" si="3"/>
        <v>3.9684259108405716E-3</v>
      </c>
      <c r="M8" s="48" t="b">
        <f t="shared" si="6"/>
        <v>1</v>
      </c>
      <c r="N8" s="3">
        <f>_xll.qlInterpolationInterpolate($N$1,E8,TRUE)</f>
        <v>3.9684259108405716E-3</v>
      </c>
      <c r="O8" s="74">
        <f t="shared" si="4"/>
        <v>0</v>
      </c>
      <c r="P8" s="226">
        <f t="shared" si="7"/>
        <v>2.0084567988366024E-3</v>
      </c>
      <c r="R8" s="27">
        <f>_xll.qlCalendarAdvance(Calendar,R7,"1D","f")</f>
        <v>42377</v>
      </c>
      <c r="S8" s="68">
        <f>_xll.qlInterpolationInterpolate(B6Minterpolation,R8,TRUE)</f>
        <v>3.8570365414345867E-3</v>
      </c>
    </row>
    <row r="9" spans="1:19" ht="11.25" customHeight="1" x14ac:dyDescent="0.2">
      <c r="A9" s="84">
        <f t="shared" si="8"/>
        <v>6</v>
      </c>
      <c r="B9" s="84" t="s">
        <v>28</v>
      </c>
      <c r="C9" s="84">
        <f t="shared" si="5"/>
        <v>12</v>
      </c>
      <c r="D9" s="212" t="str">
        <f t="shared" si="1"/>
        <v>USD6x12F_Quote</v>
      </c>
      <c r="E9" s="27">
        <f>_xll.qlCalendarAdvance("target",$E$3,A9&amp;"M","mf",,Trigger)</f>
        <v>42551</v>
      </c>
      <c r="F9" s="27">
        <f>_xll.qlCalendarAdvance(Calendar,E9,$F$1,"mf",,Trigger)</f>
        <v>42734</v>
      </c>
      <c r="G9" s="49">
        <f>_xll.qlDayCounterYearFraction(DayCounter,E9,F9,,,Trigger)</f>
        <v>0.5083333333333333</v>
      </c>
      <c r="H9" s="3">
        <f>_xll.qlQuoteValue(D9,AllTriggers)</f>
        <v>1.1089999999999999E-2</v>
      </c>
      <c r="I9" s="50">
        <f>_xll.qlYieldTSDiscount(Discounting,E9,,AllTriggers)</f>
        <v>0.9977198315673238</v>
      </c>
      <c r="J9" s="50">
        <f>_xll.qlYieldTSDiscount(Discounting,F9,,AllTriggers)</f>
        <v>0.99409970395916814</v>
      </c>
      <c r="K9" s="3">
        <f t="shared" si="2"/>
        <v>7.163831232907837E-3</v>
      </c>
      <c r="L9" s="3">
        <f t="shared" si="3"/>
        <v>3.9261687670921622E-3</v>
      </c>
      <c r="M9" s="48" t="b">
        <f t="shared" si="6"/>
        <v>1</v>
      </c>
      <c r="N9" s="3">
        <f>_xll.qlInterpolationInterpolate($N$1,E9,TRUE)</f>
        <v>3.9261687670921622E-3</v>
      </c>
      <c r="O9" s="74">
        <f t="shared" si="4"/>
        <v>0</v>
      </c>
      <c r="P9" s="226">
        <f t="shared" si="7"/>
        <v>1.9865863151003662E-3</v>
      </c>
      <c r="R9" s="27">
        <f>_xll.qlCalendarAdvance(Calendar,R8,"1D","f")</f>
        <v>42380</v>
      </c>
      <c r="S9" s="68">
        <f>_xll.qlInterpolationInterpolate(B6Minterpolation,R9,TRUE)</f>
        <v>3.8651529114003802E-3</v>
      </c>
    </row>
    <row r="10" spans="1:19" ht="11.25" customHeight="1" x14ac:dyDescent="0.2">
      <c r="A10" s="84">
        <f t="shared" si="8"/>
        <v>7</v>
      </c>
      <c r="B10" s="84" t="s">
        <v>28</v>
      </c>
      <c r="C10" s="84">
        <f t="shared" si="5"/>
        <v>13</v>
      </c>
      <c r="D10" s="212" t="str">
        <f t="shared" si="1"/>
        <v>USD7x13F_Quote</v>
      </c>
      <c r="E10" s="27">
        <f>_xll.qlCalendarAdvance("target",$E$3,A10&amp;"M","mf",,Trigger)</f>
        <v>42580</v>
      </c>
      <c r="F10" s="27">
        <f>_xll.qlCalendarAdvance(Calendar,E10,$F$1,"mf",,Trigger)</f>
        <v>42765</v>
      </c>
      <c r="G10" s="49">
        <f>_xll.qlDayCounterYearFraction(DayCounter,E10,F10,,,Trigger)</f>
        <v>0.51388888888888884</v>
      </c>
      <c r="H10" s="3">
        <f>_xll.qlQuoteValue(D10,AllTriggers)</f>
        <v>1.157E-2</v>
      </c>
      <c r="I10" s="50">
        <f>_xll.qlYieldTSDiscount(Discounting,E10,,AllTriggers)</f>
        <v>0.99725847732985418</v>
      </c>
      <c r="J10" s="50">
        <f>_xll.qlYieldTSDiscount(Discounting,F10,,AllTriggers)</f>
        <v>0.99333606560998855</v>
      </c>
      <c r="K10" s="3">
        <f t="shared" si="2"/>
        <v>7.6840069024537022E-3</v>
      </c>
      <c r="L10" s="3">
        <f t="shared" si="3"/>
        <v>3.8859930975462982E-3</v>
      </c>
      <c r="M10" s="48" t="b">
        <f t="shared" si="6"/>
        <v>1</v>
      </c>
      <c r="N10" s="3">
        <f>_xll.qlInterpolationInterpolate($N$1,E10,TRUE)</f>
        <v>3.8859930975462982E-3</v>
      </c>
      <c r="O10" s="74">
        <f t="shared" si="4"/>
        <v>0</v>
      </c>
      <c r="P10" s="226">
        <f t="shared" si="7"/>
        <v>1.9871385403796293E-3</v>
      </c>
      <c r="R10" s="27">
        <f>_xll.qlCalendarAdvance(Calendar,R9,"1D","f")</f>
        <v>42381</v>
      </c>
      <c r="S10" s="68">
        <f>_xll.qlInterpolationInterpolate(B6Minterpolation,R10,TRUE)</f>
        <v>3.8677197657518321E-3</v>
      </c>
    </row>
    <row r="11" spans="1:19" ht="11.25" customHeight="1" x14ac:dyDescent="0.2">
      <c r="A11" s="84">
        <f t="shared" si="8"/>
        <v>8</v>
      </c>
      <c r="B11" s="84" t="s">
        <v>28</v>
      </c>
      <c r="C11" s="84">
        <f t="shared" si="5"/>
        <v>14</v>
      </c>
      <c r="D11" s="212" t="str">
        <f t="shared" si="1"/>
        <v>USD8x14F_Quote</v>
      </c>
      <c r="E11" s="27">
        <f>_xll.qlCalendarAdvance("target",$E$3,A11&amp;"M","mf",,Trigger)</f>
        <v>42613</v>
      </c>
      <c r="F11" s="27">
        <f>_xll.qlCalendarAdvance(Calendar,E11,$F$1,"mf",,Trigger)</f>
        <v>42794</v>
      </c>
      <c r="G11" s="49">
        <f>_xll.qlDayCounterYearFraction(DayCounter,E11,F11,,,Trigger)</f>
        <v>0.50277777777777777</v>
      </c>
      <c r="H11" s="3">
        <f>_xll.qlQuoteValue(D11,AllTriggers)</f>
        <v>1.2070000000000001E-2</v>
      </c>
      <c r="I11" s="50">
        <f>_xll.qlYieldTSDiscount(Discounting,E11,,AllTriggers)</f>
        <v>0.99665654922135349</v>
      </c>
      <c r="J11" s="50">
        <f>_xll.qlYieldTSDiscount(Discounting,F11,,AllTriggers)</f>
        <v>0.99259621402549536</v>
      </c>
      <c r="K11" s="3">
        <f t="shared" si="2"/>
        <v>8.1360423254992383E-3</v>
      </c>
      <c r="L11" s="3">
        <f t="shared" si="3"/>
        <v>3.9339576745007626E-3</v>
      </c>
      <c r="M11" s="48" t="b">
        <f t="shared" si="6"/>
        <v>1</v>
      </c>
      <c r="N11" s="3">
        <f>_xll.qlInterpolationInterpolate($N$1,E11,TRUE)</f>
        <v>3.9339576745007626E-3</v>
      </c>
      <c r="O11" s="74">
        <f t="shared" si="4"/>
        <v>0</v>
      </c>
      <c r="P11" s="226">
        <f t="shared" si="7"/>
        <v>1.9679109852566989E-3</v>
      </c>
      <c r="R11" s="27">
        <f>_xll.qlCalendarAdvance(Calendar,R10,"1D","f")</f>
        <v>42382</v>
      </c>
      <c r="S11" s="68">
        <f>_xll.qlInterpolationInterpolate(B6Minterpolation,R11,TRUE)</f>
        <v>3.8702061413462313E-3</v>
      </c>
    </row>
    <row r="12" spans="1:19" ht="11.25" customHeight="1" x14ac:dyDescent="0.2">
      <c r="A12" s="84">
        <f t="shared" si="8"/>
        <v>9</v>
      </c>
      <c r="B12" s="84" t="s">
        <v>28</v>
      </c>
      <c r="C12" s="84">
        <f t="shared" si="5"/>
        <v>15</v>
      </c>
      <c r="D12" s="212" t="str">
        <f t="shared" si="1"/>
        <v>USD9x15F_Quote</v>
      </c>
      <c r="E12" s="27">
        <f>_xll.qlCalendarAdvance("target",$E$3,A12&amp;"M","mf",,Trigger)</f>
        <v>42643</v>
      </c>
      <c r="F12" s="27">
        <f>_xll.qlCalendarAdvance(Calendar,E12,$F$1,"mf",,Trigger)</f>
        <v>42824</v>
      </c>
      <c r="G12" s="49">
        <f>_xll.qlDayCounterYearFraction(DayCounter,E12,F12,,,Trigger)</f>
        <v>0.50277777777777777</v>
      </c>
      <c r="H12" s="3">
        <f>_xll.qlQuoteValue(D12,AllTriggers)</f>
        <v>1.2580000000000001E-2</v>
      </c>
      <c r="I12" s="50">
        <f>_xll.qlYieldTSDiscount(Discounting,E12,,AllTriggers)</f>
        <v>0.99608350095019316</v>
      </c>
      <c r="J12" s="50">
        <f>_xll.qlYieldTSDiscount(Discounting,F12,,AllTriggers)</f>
        <v>0.99179403397263044</v>
      </c>
      <c r="K12" s="3">
        <f t="shared" si="2"/>
        <v>8.6021252777516086E-3</v>
      </c>
      <c r="L12" s="3">
        <f t="shared" si="3"/>
        <v>3.9778747222483923E-3</v>
      </c>
      <c r="M12" s="48" t="b">
        <f t="shared" si="6"/>
        <v>1</v>
      </c>
      <c r="N12" s="3">
        <f>_xll.qlInterpolationInterpolate($N$1,E12,TRUE)</f>
        <v>3.9778747222483923E-3</v>
      </c>
      <c r="O12" s="74">
        <f t="shared" si="4"/>
        <v>0</v>
      </c>
      <c r="P12" s="226">
        <f t="shared" si="7"/>
        <v>1.9893942459850988E-3</v>
      </c>
      <c r="R12" s="27">
        <f>_xll.qlCalendarAdvance(Calendar,R11,"1D","f")</f>
        <v>42383</v>
      </c>
      <c r="S12" s="68">
        <f>_xll.qlInterpolationInterpolate(B6Minterpolation,R12,TRUE)</f>
        <v>3.8726053316204901E-3</v>
      </c>
    </row>
    <row r="13" spans="1:19" ht="11.25" customHeight="1" x14ac:dyDescent="0.2">
      <c r="A13" s="84">
        <f t="shared" si="8"/>
        <v>10</v>
      </c>
      <c r="B13" s="84" t="s">
        <v>28</v>
      </c>
      <c r="C13" s="84">
        <f t="shared" si="5"/>
        <v>16</v>
      </c>
      <c r="D13" s="212" t="str">
        <f t="shared" si="1"/>
        <v>USD10x16F_Quote</v>
      </c>
      <c r="E13" s="27">
        <f>_xll.qlCalendarAdvance("target",$E$3,A13&amp;"M","mf",,Trigger)</f>
        <v>42674</v>
      </c>
      <c r="F13" s="27">
        <f>_xll.qlCalendarAdvance(Calendar,E13,$F$1,"mf",,Trigger)</f>
        <v>42853</v>
      </c>
      <c r="G13" s="49">
        <f>_xll.qlDayCounterYearFraction(DayCounter,E13,F13,,,Trigger)</f>
        <v>0.49722222222222223</v>
      </c>
      <c r="H13" s="3">
        <f>_xll.qlQuoteValue(D13,AllTriggers)</f>
        <v>1.3100000000000001E-2</v>
      </c>
      <c r="I13" s="50">
        <f>_xll.qlYieldTSDiscount(Discounting,E13,,AllTriggers)</f>
        <v>0.99541963125344413</v>
      </c>
      <c r="J13" s="50">
        <f>_xll.qlYieldTSDiscount(Discounting,F13,,AllTriggers)</f>
        <v>0.99097491749326538</v>
      </c>
      <c r="K13" s="3">
        <f t="shared" si="2"/>
        <v>9.0204998823061062E-3</v>
      </c>
      <c r="L13" s="3">
        <f t="shared" si="3"/>
        <v>4.0795001176938944E-3</v>
      </c>
      <c r="M13" s="48" t="b">
        <f t="shared" si="6"/>
        <v>1</v>
      </c>
      <c r="N13" s="3">
        <f>_xll.qlInterpolationInterpolate($N$1,E13,TRUE)</f>
        <v>4.0795001176938944E-3</v>
      </c>
      <c r="O13" s="74">
        <f t="shared" si="4"/>
        <v>0</v>
      </c>
      <c r="P13" s="226">
        <f t="shared" si="7"/>
        <v>2.0173247222580676E-3</v>
      </c>
      <c r="R13" s="27">
        <f>_xll.qlCalendarAdvance(Calendar,R12,"1D","f")</f>
        <v>42384</v>
      </c>
      <c r="S13" s="68">
        <f>_xll.qlInterpolationInterpolate(B6Minterpolation,R13,TRUE)</f>
        <v>3.8749106300115209E-3</v>
      </c>
    </row>
    <row r="14" spans="1:19" ht="11.25" customHeight="1" x14ac:dyDescent="0.2">
      <c r="A14" s="84">
        <f t="shared" si="8"/>
        <v>11</v>
      </c>
      <c r="B14" s="84" t="s">
        <v>28</v>
      </c>
      <c r="C14" s="84">
        <f t="shared" si="5"/>
        <v>17</v>
      </c>
      <c r="D14" s="212" t="str">
        <f t="shared" si="1"/>
        <v>USD11x17F_Quote</v>
      </c>
      <c r="E14" s="27">
        <f>_xll.qlCalendarAdvance("target",$E$3,A14&amp;"M","mf",,Trigger)</f>
        <v>42704</v>
      </c>
      <c r="F14" s="27">
        <f>_xll.qlCalendarAdvance(Calendar,E14,$F$1,"mf",,Trigger)</f>
        <v>42885</v>
      </c>
      <c r="G14" s="49">
        <f>_xll.qlDayCounterYearFraction(DayCounter,E14,F14,,,Trigger)</f>
        <v>0.50277777777777777</v>
      </c>
      <c r="H14" s="3" t="e">
        <f>_xll.qlQuoteValue(D14,AllTriggers)</f>
        <v>#NUM!</v>
      </c>
      <c r="I14" s="50">
        <f>_xll.qlYieldTSDiscount(Discounting,E14,,AllTriggers)</f>
        <v>0.99480005136016658</v>
      </c>
      <c r="J14" s="50">
        <f>_xll.qlYieldTSDiscount(Discounting,F14,,AllTriggers)</f>
        <v>0.99002235274222372</v>
      </c>
      <c r="K14" s="3">
        <f t="shared" si="2"/>
        <v>9.5983741777573781E-3</v>
      </c>
      <c r="L14" s="3" t="e">
        <f t="shared" si="3"/>
        <v>#NUM!</v>
      </c>
      <c r="M14" s="48" t="b">
        <f t="shared" si="6"/>
        <v>0</v>
      </c>
      <c r="N14" s="3">
        <f>_xll.qlInterpolationInterpolate($N$1,E14,TRUE)</f>
        <v>4.0779199807730801E-3</v>
      </c>
      <c r="O14" s="74" t="e">
        <f t="shared" si="4"/>
        <v>#NUM!</v>
      </c>
      <c r="P14" s="226" t="e">
        <f t="shared" si="7"/>
        <v>#NUM!</v>
      </c>
      <c r="R14" s="27">
        <f>_xll.qlCalendarAdvance(Calendar,R13,"1D","f")</f>
        <v>42387</v>
      </c>
      <c r="S14" s="68">
        <f>_xll.qlInterpolationInterpolate(B6Minterpolation,R14,TRUE)</f>
        <v>3.8811961082543677E-3</v>
      </c>
    </row>
    <row r="15" spans="1:19" ht="11.25" customHeight="1" x14ac:dyDescent="0.2">
      <c r="A15" s="84">
        <f t="shared" si="8"/>
        <v>12</v>
      </c>
      <c r="B15" s="84" t="s">
        <v>28</v>
      </c>
      <c r="C15" s="84">
        <f t="shared" si="5"/>
        <v>18</v>
      </c>
      <c r="D15" s="212" t="str">
        <f t="shared" si="1"/>
        <v>USD12x18F_Quote</v>
      </c>
      <c r="E15" s="27">
        <f>_xll.qlCalendarAdvance("target",$E$3,A15&amp;"M","mf",,Trigger)</f>
        <v>42734</v>
      </c>
      <c r="F15" s="27">
        <f>_xll.qlCalendarAdvance(Calendar,E15,$F$1,"mf",,Trigger)</f>
        <v>42916</v>
      </c>
      <c r="G15" s="49">
        <f>_xll.qlDayCounterYearFraction(DayCounter,E15,F15,,,Trigger)</f>
        <v>0.50555555555555554</v>
      </c>
      <c r="H15" s="3">
        <f>_xll.qlQuoteValue(D15,AllTriggers)</f>
        <v>1.4110000000000001E-2</v>
      </c>
      <c r="I15" s="50">
        <f>_xll.qlYieldTSDiscount(Discounting,E15,,AllTriggers)</f>
        <v>0.99409970395916814</v>
      </c>
      <c r="J15" s="50">
        <f>_xll.qlYieldTSDiscount(Discounting,F15,,AllTriggers)</f>
        <v>0.98905463285113115</v>
      </c>
      <c r="K15" s="3">
        <f t="shared" si="2"/>
        <v>1.0089696970139807E-2</v>
      </c>
      <c r="L15" s="3">
        <f t="shared" si="3"/>
        <v>4.0203030298601936E-3</v>
      </c>
      <c r="M15" s="48" t="b">
        <f t="shared" si="6"/>
        <v>1</v>
      </c>
      <c r="N15" s="3">
        <f>_xll.qlInterpolationInterpolate($N$1,E15,TRUE)</f>
        <v>4.0203030298601936E-3</v>
      </c>
      <c r="O15" s="74">
        <f t="shared" si="4"/>
        <v>0</v>
      </c>
      <c r="P15" s="226">
        <f t="shared" si="7"/>
        <v>2.0201297948322454E-3</v>
      </c>
      <c r="R15" s="27">
        <f>_xll.qlCalendarAdvance(Calendar,R14,"1D","f")</f>
        <v>42388</v>
      </c>
      <c r="S15" s="68">
        <f>_xll.qlInterpolationInterpolate(B6Minterpolation,R15,TRUE)</f>
        <v>3.8830587734816091E-3</v>
      </c>
    </row>
    <row r="16" spans="1:19" ht="11.25" customHeight="1" x14ac:dyDescent="0.2">
      <c r="A16" s="84">
        <f t="shared" si="8"/>
        <v>13</v>
      </c>
      <c r="B16" s="84" t="s">
        <v>28</v>
      </c>
      <c r="C16" s="84">
        <f t="shared" si="5"/>
        <v>19</v>
      </c>
      <c r="D16" s="212" t="str">
        <f t="shared" si="1"/>
        <v>USD13x19F_Quote</v>
      </c>
      <c r="E16" s="27">
        <f>_xll.qlCalendarAdvance("target",$E$3,A16&amp;"M","mf",,Trigger)</f>
        <v>42766</v>
      </c>
      <c r="F16" s="27">
        <f>_xll.qlCalendarAdvance(Calendar,E16,$F$1,"mf",,Trigger)</f>
        <v>42947</v>
      </c>
      <c r="G16" s="49">
        <f>_xll.qlDayCounterYearFraction(DayCounter,E16,F16,,,Trigger)</f>
        <v>0.50277777777777777</v>
      </c>
      <c r="H16" s="3">
        <f>_xll.qlQuoteValue(D16,AllTriggers)</f>
        <v>1.4590000000000001E-2</v>
      </c>
      <c r="I16" s="50">
        <f>_xll.qlYieldTSDiscount(Discounting,E16,,AllTriggers)</f>
        <v>0.99331102490278078</v>
      </c>
      <c r="J16" s="50">
        <f>_xll.qlYieldTSDiscount(Discounting,F16,,AllTriggers)</f>
        <v>0.98804799415066258</v>
      </c>
      <c r="K16" s="3">
        <f t="shared" si="2"/>
        <v>1.0594532381293587E-2</v>
      </c>
      <c r="L16" s="3">
        <f t="shared" si="3"/>
        <v>3.9954676187064133E-3</v>
      </c>
      <c r="M16" s="48" t="b">
        <f t="shared" si="6"/>
        <v>1</v>
      </c>
      <c r="N16" s="3">
        <f>_xll.qlInterpolationInterpolate($N$1,E16,TRUE)</f>
        <v>3.9954676187064133E-3</v>
      </c>
      <c r="O16" s="74">
        <f t="shared" si="4"/>
        <v>0</v>
      </c>
      <c r="P16" s="226">
        <f t="shared" si="7"/>
        <v>1.9961948650903481E-3</v>
      </c>
      <c r="R16" s="27">
        <f>_xll.qlCalendarAdvance(Calendar,R15,"1D","f")</f>
        <v>42389</v>
      </c>
      <c r="S16" s="68">
        <f>_xll.qlInterpolationInterpolate(B6Minterpolation,R16,TRUE)</f>
        <v>3.8847940140101841E-3</v>
      </c>
    </row>
    <row r="17" spans="1:19" ht="11.25" customHeight="1" x14ac:dyDescent="0.2">
      <c r="A17" s="84">
        <f t="shared" si="8"/>
        <v>14</v>
      </c>
      <c r="B17" s="84" t="s">
        <v>28</v>
      </c>
      <c r="C17" s="84">
        <f t="shared" si="5"/>
        <v>20</v>
      </c>
      <c r="D17" s="212" t="str">
        <f t="shared" si="1"/>
        <v>USD14x20F_Quote</v>
      </c>
      <c r="E17" s="27">
        <f>_xll.qlCalendarAdvance("target",$E$3,A17&amp;"M","mf",,Trigger)</f>
        <v>42794</v>
      </c>
      <c r="F17" s="27">
        <f>_xll.qlCalendarAdvance(Calendar,E17,$F$1,"mf",,Trigger)</f>
        <v>42976</v>
      </c>
      <c r="G17" s="49">
        <f>_xll.qlDayCounterYearFraction(DayCounter,E17,F17,,,Trigger)</f>
        <v>0.50555555555555554</v>
      </c>
      <c r="H17" s="3" t="e">
        <f>_xll.qlQuoteValue(D17,AllTriggers)</f>
        <v>#NUM!</v>
      </c>
      <c r="I17" s="50">
        <f>_xll.qlYieldTSDiscount(Discounting,E17,,AllTriggers)</f>
        <v>0.99259621402549536</v>
      </c>
      <c r="J17" s="50">
        <f>_xll.qlYieldTSDiscount(Discounting,F17,,AllTriggers)</f>
        <v>0.98708085624997732</v>
      </c>
      <c r="K17" s="3">
        <f t="shared" si="2"/>
        <v>1.105228495472535E-2</v>
      </c>
      <c r="L17" s="3" t="e">
        <f t="shared" si="3"/>
        <v>#NUM!</v>
      </c>
      <c r="M17" s="48" t="b">
        <f t="shared" si="6"/>
        <v>0</v>
      </c>
      <c r="N17" s="3">
        <f>_xll.qlInterpolationInterpolate($N$1,E17,TRUE)</f>
        <v>4.0008696177381946E-3</v>
      </c>
      <c r="O17" s="74" t="e">
        <f t="shared" si="4"/>
        <v>#NUM!</v>
      </c>
      <c r="P17" s="226" t="e">
        <f t="shared" si="7"/>
        <v>#NUM!</v>
      </c>
      <c r="R17" s="27">
        <f>_xll.qlCalendarAdvance(Calendar,R16,"1D","f")</f>
        <v>42390</v>
      </c>
      <c r="S17" s="68">
        <f>_xll.qlInterpolationInterpolate(B6Minterpolation,R17,TRUE)</f>
        <v>3.8863951232770044E-3</v>
      </c>
    </row>
    <row r="18" spans="1:19" ht="11.25" customHeight="1" x14ac:dyDescent="0.2">
      <c r="A18" s="84">
        <f t="shared" si="8"/>
        <v>15</v>
      </c>
      <c r="B18" s="84" t="s">
        <v>28</v>
      </c>
      <c r="C18" s="84">
        <f t="shared" si="5"/>
        <v>21</v>
      </c>
      <c r="D18" s="212" t="str">
        <f t="shared" si="1"/>
        <v>USD15x21F_Quote</v>
      </c>
      <c r="E18" s="27">
        <f>_xll.qlCalendarAdvance("target",$E$3,A18&amp;"M","mf",,Trigger)</f>
        <v>42825</v>
      </c>
      <c r="F18" s="27">
        <f>_xll.qlCalendarAdvance(Calendar,E18,$F$1,"mf",,Trigger)</f>
        <v>43007</v>
      </c>
      <c r="G18" s="49">
        <f>_xll.qlDayCounterYearFraction(DayCounter,E18,F18,,,Trigger)</f>
        <v>0.50555555555555554</v>
      </c>
      <c r="H18" s="3" t="e">
        <f>_xll.qlQuoteValue(D18,AllTriggers)</f>
        <v>#NUM!</v>
      </c>
      <c r="I18" s="50">
        <f>_xll.qlYieldTSDiscount(Discounting,E18,,AllTriggers)</f>
        <v>0.99176652302594492</v>
      </c>
      <c r="J18" s="50">
        <f>_xll.qlYieldTSDiscount(Discounting,F18,,AllTriggers)</f>
        <v>0.98603165966881101</v>
      </c>
      <c r="K18" s="3">
        <f t="shared" si="2"/>
        <v>1.1504382896969109E-2</v>
      </c>
      <c r="L18" s="3" t="e">
        <f t="shared" si="3"/>
        <v>#NUM!</v>
      </c>
      <c r="M18" s="48" t="b">
        <f t="shared" si="6"/>
        <v>0</v>
      </c>
      <c r="N18" s="3">
        <f>_xll.qlInterpolationInterpolate($N$1,E18,TRUE)</f>
        <v>4.0263744355295301E-3</v>
      </c>
      <c r="O18" s="74" t="e">
        <f t="shared" si="4"/>
        <v>#NUM!</v>
      </c>
      <c r="P18" s="226" t="e">
        <f t="shared" si="7"/>
        <v>#NUM!</v>
      </c>
      <c r="R18" s="27">
        <f>_xll.qlCalendarAdvance(Calendar,R17,"1D","f")</f>
        <v>42391</v>
      </c>
      <c r="S18" s="68">
        <f>_xll.qlInterpolationInterpolate(B6Minterpolation,R18,TRUE)</f>
        <v>3.8878553947189831E-3</v>
      </c>
    </row>
    <row r="19" spans="1:19" ht="11.25" customHeight="1" x14ac:dyDescent="0.2">
      <c r="A19" s="84">
        <f t="shared" si="8"/>
        <v>16</v>
      </c>
      <c r="B19" s="84" t="s">
        <v>28</v>
      </c>
      <c r="C19" s="84">
        <f t="shared" si="5"/>
        <v>22</v>
      </c>
      <c r="D19" s="212" t="str">
        <f t="shared" si="1"/>
        <v>USD16x22F_Quote</v>
      </c>
      <c r="E19" s="27">
        <f>_xll.qlCalendarAdvance("target",$E$3,A19&amp;"M","mf",,Trigger)</f>
        <v>42853</v>
      </c>
      <c r="F19" s="27">
        <f>_xll.qlCalendarAdvance(Calendar,E19,$F$1,"mf",,Trigger)</f>
        <v>43038</v>
      </c>
      <c r="G19" s="49">
        <f>_xll.qlDayCounterYearFraction(DayCounter,E19,F19,,,Trigger)</f>
        <v>0.51388888888888884</v>
      </c>
      <c r="H19" s="3" t="e">
        <f>_xll.qlQuoteValue(D19,AllTriggers)</f>
        <v>#NUM!</v>
      </c>
      <c r="I19" s="50">
        <f>_xll.qlYieldTSDiscount(Discounting,E19,,AllTriggers)</f>
        <v>0.99097491749326538</v>
      </c>
      <c r="J19" s="50">
        <f>_xll.qlYieldTSDiscount(Discounting,F19,,AllTriggers)</f>
        <v>0.984974694946257</v>
      </c>
      <c r="K19" s="3">
        <f t="shared" si="2"/>
        <v>1.185422204248748E-2</v>
      </c>
      <c r="L19" s="3" t="e">
        <f t="shared" si="3"/>
        <v>#NUM!</v>
      </c>
      <c r="M19" s="48" t="b">
        <f t="shared" si="6"/>
        <v>0</v>
      </c>
      <c r="N19" s="3">
        <f>_xll.qlInterpolationInterpolate($N$1,E19,TRUE)</f>
        <v>4.0628191788163572E-3</v>
      </c>
      <c r="O19" s="74" t="e">
        <f t="shared" si="4"/>
        <v>#NUM!</v>
      </c>
      <c r="P19" s="226" t="e">
        <f t="shared" si="7"/>
        <v>#NUM!</v>
      </c>
      <c r="R19" s="27">
        <f>_xll.qlCalendarAdvance(Calendar,R18,"1D","f")</f>
        <v>42394</v>
      </c>
      <c r="S19" s="68">
        <f>_xll.qlInterpolationInterpolate(B6Minterpolation,R19,TRUE)</f>
        <v>3.891324116464989E-3</v>
      </c>
    </row>
    <row r="20" spans="1:19" ht="11.25" customHeight="1" x14ac:dyDescent="0.2">
      <c r="A20" s="84">
        <f t="shared" si="8"/>
        <v>17</v>
      </c>
      <c r="B20" s="84" t="s">
        <v>28</v>
      </c>
      <c r="C20" s="84">
        <f t="shared" si="5"/>
        <v>23</v>
      </c>
      <c r="D20" s="212" t="str">
        <f t="shared" si="1"/>
        <v>USD17x23F_Quote</v>
      </c>
      <c r="E20" s="27">
        <f>_xll.qlCalendarAdvance("target",$E$3,A20&amp;"M","mf",,Trigger)</f>
        <v>42886</v>
      </c>
      <c r="F20" s="27">
        <f>_xll.qlCalendarAdvance(Calendar,E20,$F$1,"mf",,Trigger)</f>
        <v>43069</v>
      </c>
      <c r="G20" s="49">
        <f>_xll.qlDayCounterYearFraction(DayCounter,E20,F20,,,Trigger)</f>
        <v>0.5083333333333333</v>
      </c>
      <c r="H20" s="3" t="e">
        <f>_xll.qlQuoteValue(D20,AllTriggers)</f>
        <v>#NUM!</v>
      </c>
      <c r="I20" s="50">
        <f>_xll.qlYieldTSDiscount(Discounting,E20,,AllTriggers)</f>
        <v>0.98999180503406492</v>
      </c>
      <c r="J20" s="50">
        <f>_xll.qlYieldTSDiscount(Discounting,F20,,AllTriggers)</f>
        <v>0.98390199438253922</v>
      </c>
      <c r="K20" s="3">
        <f t="shared" si="2"/>
        <v>1.2175964118833501E-2</v>
      </c>
      <c r="L20" s="3" t="e">
        <f t="shared" si="3"/>
        <v>#NUM!</v>
      </c>
      <c r="M20" s="48" t="b">
        <f t="shared" si="6"/>
        <v>0</v>
      </c>
      <c r="N20" s="3">
        <f>_xll.qlInterpolationInterpolate($N$1,E20,TRUE)</f>
        <v>4.116663991505851E-3</v>
      </c>
      <c r="O20" s="74" t="e">
        <f t="shared" si="4"/>
        <v>#NUM!</v>
      </c>
      <c r="P20" s="226" t="e">
        <f t="shared" si="7"/>
        <v>#NUM!</v>
      </c>
      <c r="R20" s="27">
        <f>_xll.qlCalendarAdvance(Calendar,R19,"1D","f")</f>
        <v>42395</v>
      </c>
      <c r="S20" s="68">
        <f>_xll.qlInterpolationInterpolate(B6Minterpolation,R20,TRUE)</f>
        <v>3.892153970976722E-3</v>
      </c>
    </row>
    <row r="21" spans="1:19" ht="11.25" customHeight="1" x14ac:dyDescent="0.2">
      <c r="A21" s="84">
        <f t="shared" si="8"/>
        <v>18</v>
      </c>
      <c r="B21" s="84" t="s">
        <v>28</v>
      </c>
      <c r="C21" s="84">
        <f t="shared" si="5"/>
        <v>24</v>
      </c>
      <c r="D21" s="213" t="str">
        <f t="shared" si="1"/>
        <v>USD18x24F_Quote</v>
      </c>
      <c r="E21" s="71">
        <f>_xll.qlCalendarAdvance("target",$E$3,A21&amp;"M","mf",,Trigger)</f>
        <v>42916</v>
      </c>
      <c r="F21" s="71">
        <f>_xll.qlCalendarAdvance(Calendar,E21,$F$1,"mf",,Trigger)</f>
        <v>43098</v>
      </c>
      <c r="G21" s="72">
        <f>_xll.qlDayCounterYearFraction(DayCounter,E21,F21,,,Trigger)</f>
        <v>0.50555555555555554</v>
      </c>
      <c r="H21" s="60">
        <f>_xll.qlQuoteValue(D21,AllTriggers)</f>
        <v>1.661E-2</v>
      </c>
      <c r="I21" s="61">
        <f>_xll.qlYieldTSDiscount(Discounting,E21,,AllTriggers)</f>
        <v>0.98905463285113115</v>
      </c>
      <c r="J21" s="61">
        <f>_xll.qlYieldTSDiscount(Discounting,F21,,AllTriggers)</f>
        <v>0.98287362035188675</v>
      </c>
      <c r="K21" s="60">
        <f t="shared" si="2"/>
        <v>1.2439217328426011E-2</v>
      </c>
      <c r="L21" s="60">
        <f t="shared" si="3"/>
        <v>4.1707826715739887E-3</v>
      </c>
      <c r="M21" s="73" t="b">
        <f t="shared" si="6"/>
        <v>1</v>
      </c>
      <c r="N21" s="60">
        <f>_xll.qlInterpolationInterpolate($N$1,E21,TRUE)</f>
        <v>4.1707826715739887E-3</v>
      </c>
      <c r="O21" s="80">
        <f t="shared" si="4"/>
        <v>0</v>
      </c>
      <c r="P21" s="231">
        <f t="shared" si="7"/>
        <v>2.0931928127975964E-3</v>
      </c>
      <c r="R21" s="27">
        <f>_xll.qlCalendarAdvance(Calendar,R20,"1D","f")</f>
        <v>42396</v>
      </c>
      <c r="S21" s="68">
        <f>_xll.qlInterpolationInterpolate(B6Minterpolation,R21,TRUE)</f>
        <v>3.8928094548481744E-3</v>
      </c>
    </row>
    <row r="22" spans="1:19" ht="11.25" customHeight="1" x14ac:dyDescent="0.2">
      <c r="E22" s="147"/>
      <c r="F22" s="147"/>
      <c r="G22" s="147"/>
      <c r="H22" s="112"/>
      <c r="I22" s="86"/>
      <c r="J22" s="86"/>
      <c r="K22" s="112"/>
      <c r="L22" s="112"/>
      <c r="O22" s="86"/>
      <c r="P22" s="86"/>
      <c r="R22" s="27">
        <f>_xll.qlCalendarAdvance(Calendar,R21,"1D","f")</f>
        <v>42397</v>
      </c>
      <c r="S22" s="68">
        <f>_xll.qlInterpolationInterpolate(B6Minterpolation,R22,TRUE)</f>
        <v>3.8932838615162585E-3</v>
      </c>
    </row>
    <row r="23" spans="1:19" ht="11.25" customHeight="1" x14ac:dyDescent="0.2">
      <c r="E23" s="147"/>
      <c r="F23" s="147"/>
      <c r="G23" s="147"/>
      <c r="H23" s="112"/>
      <c r="K23" s="112"/>
      <c r="L23" s="112"/>
      <c r="P23" s="86"/>
      <c r="R23" s="27">
        <f>_xll.qlCalendarAdvance(Calendar,R22,"1D","f")</f>
        <v>42398</v>
      </c>
      <c r="S23" s="68">
        <f>_xll.qlInterpolationInterpolate(B6Minterpolation,R23,TRUE)</f>
        <v>3.8935704844178867E-3</v>
      </c>
    </row>
    <row r="24" spans="1:19" ht="11.25" customHeight="1" x14ac:dyDescent="0.2">
      <c r="E24" s="147"/>
      <c r="F24" s="147"/>
      <c r="G24" s="147"/>
      <c r="H24" s="112"/>
      <c r="K24" s="112"/>
      <c r="L24" s="112"/>
      <c r="R24" s="27">
        <f>_xll.qlCalendarAdvance(Calendar,R23,"1D","f")</f>
        <v>42401</v>
      </c>
      <c r="S24" s="68">
        <f>_xll.qlInterpolationInterpolate(B6Minterpolation,R24,TRUE)</f>
        <v>3.8933246268046699E-3</v>
      </c>
    </row>
    <row r="25" spans="1:19" ht="11.25" customHeight="1" x14ac:dyDescent="0.2">
      <c r="E25" s="147"/>
      <c r="F25" s="147"/>
      <c r="G25" s="147"/>
      <c r="H25" s="112"/>
      <c r="K25" s="112"/>
      <c r="L25" s="112"/>
      <c r="R25" s="27">
        <f>_xll.qlCalendarAdvance(Calendar,R24,"1D","f")</f>
        <v>42402</v>
      </c>
      <c r="S25" s="68">
        <f>_xll.qlInterpolationInterpolate(B6Minterpolation,R25,TRUE)</f>
        <v>3.8929136990364841E-3</v>
      </c>
    </row>
    <row r="26" spans="1:19" ht="11.25" customHeight="1" x14ac:dyDescent="0.2">
      <c r="E26" s="147"/>
      <c r="F26" s="147"/>
      <c r="G26" s="147"/>
      <c r="H26" s="112"/>
      <c r="K26" s="112"/>
      <c r="L26" s="112"/>
      <c r="R26" s="27">
        <f>_xll.qlCalendarAdvance(Calendar,R25,"1D","f")</f>
        <v>42403</v>
      </c>
      <c r="S26" s="68">
        <f>_xll.qlInterpolationInterpolate(B6Minterpolation,R26,TRUE)</f>
        <v>3.8923597141633033E-3</v>
      </c>
    </row>
    <row r="27" spans="1:19" ht="11.25" customHeight="1" x14ac:dyDescent="0.2">
      <c r="E27" s="147"/>
      <c r="F27" s="147"/>
      <c r="G27" s="147"/>
      <c r="H27" s="112"/>
      <c r="K27" s="112"/>
      <c r="L27" s="112"/>
      <c r="R27" s="27">
        <f>_xll.qlCalendarAdvance(Calendar,R26,"1D","f")</f>
        <v>42404</v>
      </c>
      <c r="S27" s="68">
        <f>_xll.qlInterpolationInterpolate(B6Minterpolation,R27,TRUE)</f>
        <v>3.8916755304912658E-3</v>
      </c>
    </row>
    <row r="28" spans="1:19" ht="11.25" customHeight="1" x14ac:dyDescent="0.2">
      <c r="E28" s="147"/>
      <c r="F28" s="147"/>
      <c r="G28" s="147"/>
      <c r="H28" s="112"/>
      <c r="K28" s="112"/>
      <c r="L28" s="112"/>
      <c r="R28" s="27">
        <f>_xll.qlCalendarAdvance(Calendar,R27,"1D","f")</f>
        <v>42405</v>
      </c>
      <c r="S28" s="68">
        <f>_xll.qlInterpolationInterpolate(B6Minterpolation,R28,TRUE)</f>
        <v>3.8908740063265078E-3</v>
      </c>
    </row>
    <row r="29" spans="1:19" ht="11.25" customHeight="1" x14ac:dyDescent="0.2">
      <c r="E29" s="147"/>
      <c r="F29" s="147"/>
      <c r="G29" s="147"/>
      <c r="H29" s="112"/>
      <c r="K29" s="112"/>
      <c r="L29" s="112"/>
      <c r="R29" s="27">
        <f>_xll.qlCalendarAdvance(Calendar,R28,"1D","f")</f>
        <v>42408</v>
      </c>
      <c r="S29" s="68">
        <f>_xll.qlInterpolationInterpolate(B6Minterpolation,R29,TRUE)</f>
        <v>3.8878939739372862E-3</v>
      </c>
    </row>
    <row r="30" spans="1:19" ht="11.25" customHeight="1" x14ac:dyDescent="0.2">
      <c r="E30" s="147"/>
      <c r="F30" s="147"/>
      <c r="G30" s="147"/>
      <c r="H30" s="112"/>
      <c r="K30" s="112"/>
      <c r="L30" s="112"/>
      <c r="R30" s="27">
        <f>_xll.qlCalendarAdvance(Calendar,R29,"1D","f")</f>
        <v>42409</v>
      </c>
      <c r="S30" s="68">
        <f>_xll.qlInterpolationInterpolate(B6Minterpolation,R30,TRUE)</f>
        <v>3.8867516708630209E-3</v>
      </c>
    </row>
    <row r="31" spans="1:19" ht="11.25" customHeight="1" x14ac:dyDescent="0.2">
      <c r="E31" s="147"/>
      <c r="F31" s="147"/>
      <c r="G31" s="147"/>
      <c r="H31" s="112"/>
      <c r="K31" s="112"/>
      <c r="L31" s="112"/>
      <c r="R31" s="27">
        <f>_xll.qlCalendarAdvance(Calendar,R30,"1D","f")</f>
        <v>42410</v>
      </c>
      <c r="S31" s="68">
        <f>_xll.qlInterpolationInterpolate(B6Minterpolation,R31,TRUE)</f>
        <v>3.885556318826722E-3</v>
      </c>
    </row>
    <row r="32" spans="1:19" ht="11.25" customHeight="1" x14ac:dyDescent="0.2">
      <c r="E32" s="147"/>
      <c r="F32" s="147"/>
      <c r="G32" s="147"/>
      <c r="H32" s="112"/>
      <c r="K32" s="112"/>
      <c r="L32" s="112"/>
      <c r="R32" s="27">
        <f>_xll.qlCalendarAdvance(Calendar,R31,"1D","f")</f>
        <v>42411</v>
      </c>
      <c r="S32" s="68">
        <f>_xll.qlInterpolationInterpolate(B6Minterpolation,R32,TRUE)</f>
        <v>3.8843207761345266E-3</v>
      </c>
    </row>
    <row r="33" spans="5:19" ht="11.25" customHeight="1" x14ac:dyDescent="0.2">
      <c r="E33" s="147"/>
      <c r="F33" s="147"/>
      <c r="G33" s="147"/>
      <c r="H33" s="112"/>
      <c r="K33" s="112"/>
      <c r="L33" s="112"/>
      <c r="R33" s="27">
        <f>_xll.qlCalendarAdvance(Calendar,R32,"1D","f")</f>
        <v>42412</v>
      </c>
      <c r="S33" s="68">
        <f>_xll.qlInterpolationInterpolate(B6Minterpolation,R33,TRUE)</f>
        <v>3.8830579010925722E-3</v>
      </c>
    </row>
    <row r="34" spans="5:19" ht="11.25" customHeight="1" x14ac:dyDescent="0.2">
      <c r="E34" s="147"/>
      <c r="F34" s="147"/>
      <c r="G34" s="147"/>
      <c r="H34" s="112"/>
      <c r="K34" s="112"/>
      <c r="L34" s="112"/>
      <c r="R34" s="27">
        <f>_xll.qlCalendarAdvance(Calendar,R33,"1D","f")</f>
        <v>42415</v>
      </c>
      <c r="S34" s="68">
        <f>_xll.qlInterpolationInterpolate(B6Minterpolation,R34,TRUE)</f>
        <v>3.8792338649295275E-3</v>
      </c>
    </row>
    <row r="35" spans="5:19" ht="11.25" customHeight="1" x14ac:dyDescent="0.2">
      <c r="E35" s="147"/>
      <c r="F35" s="147"/>
      <c r="G35" s="147"/>
      <c r="H35" s="112"/>
      <c r="K35" s="112"/>
      <c r="L35" s="112"/>
      <c r="R35" s="27">
        <f>_xll.qlCalendarAdvance(Calendar,R34,"1D","f")</f>
        <v>42416</v>
      </c>
      <c r="S35" s="68">
        <f>_xll.qlInterpolationInterpolate(B6Minterpolation,R35,TRUE)</f>
        <v>3.8779902435499094E-3</v>
      </c>
    </row>
    <row r="36" spans="5:19" ht="11.25" customHeight="1" x14ac:dyDescent="0.2">
      <c r="E36" s="147"/>
      <c r="F36" s="147"/>
      <c r="G36" s="147"/>
      <c r="H36" s="112"/>
      <c r="K36" s="112"/>
      <c r="L36" s="112"/>
      <c r="R36" s="27">
        <f>_xll.qlCalendarAdvance(Calendar,R35,"1D","f")</f>
        <v>42417</v>
      </c>
      <c r="S36" s="68">
        <f>_xll.qlInterpolationInterpolate(B6Minterpolation,R36,TRUE)</f>
        <v>3.8767835813512189E-3</v>
      </c>
    </row>
    <row r="37" spans="5:19" ht="11.25" customHeight="1" x14ac:dyDescent="0.2">
      <c r="E37" s="147"/>
      <c r="F37" s="147"/>
      <c r="G37" s="147"/>
      <c r="H37" s="112"/>
      <c r="K37" s="112"/>
      <c r="L37" s="112"/>
      <c r="R37" s="27">
        <f>_xll.qlCalendarAdvance(Calendar,R36,"1D","f")</f>
        <v>42418</v>
      </c>
      <c r="S37" s="68">
        <f>_xll.qlInterpolationInterpolate(B6Minterpolation,R37,TRUE)</f>
        <v>3.8756267366395931E-3</v>
      </c>
    </row>
    <row r="38" spans="5:19" ht="11.25" customHeight="1" x14ac:dyDescent="0.2">
      <c r="E38" s="147"/>
      <c r="F38" s="147"/>
      <c r="G38" s="147"/>
      <c r="H38" s="112"/>
      <c r="K38" s="112"/>
      <c r="L38" s="112"/>
      <c r="R38" s="27">
        <f>_xll.qlCalendarAdvance(Calendar,R37,"1D","f")</f>
        <v>42419</v>
      </c>
      <c r="S38" s="68">
        <f>_xll.qlInterpolationInterpolate(B6Minterpolation,R38,TRUE)</f>
        <v>3.8745325677211691E-3</v>
      </c>
    </row>
    <row r="39" spans="5:19" ht="11.25" customHeight="1" x14ac:dyDescent="0.2">
      <c r="E39" s="147"/>
      <c r="F39" s="147"/>
      <c r="G39" s="147"/>
      <c r="H39" s="112"/>
      <c r="K39" s="112"/>
      <c r="L39" s="112"/>
      <c r="R39" s="27">
        <f>_xll.qlCalendarAdvance(Calendar,R38,"1D","f")</f>
        <v>42422</v>
      </c>
      <c r="S39" s="68">
        <f>_xll.qlInterpolationInterpolate(B6Minterpolation,R39,TRUE)</f>
        <v>3.8717546987864821E-3</v>
      </c>
    </row>
    <row r="40" spans="5:19" ht="11.25" customHeight="1" x14ac:dyDescent="0.2">
      <c r="E40" s="147"/>
      <c r="F40" s="147"/>
      <c r="G40" s="147"/>
      <c r="H40" s="112"/>
      <c r="K40" s="112"/>
      <c r="L40" s="112"/>
      <c r="R40" s="27">
        <f>_xll.qlCalendarAdvance(Calendar,R39,"1D","f")</f>
        <v>42423</v>
      </c>
      <c r="S40" s="68">
        <f>_xll.qlInterpolationInterpolate(B6Minterpolation,R40,TRUE)</f>
        <v>3.8710398161022385E-3</v>
      </c>
    </row>
    <row r="41" spans="5:19" ht="11.25" customHeight="1" x14ac:dyDescent="0.2">
      <c r="E41" s="147"/>
      <c r="F41" s="147"/>
      <c r="G41" s="147"/>
      <c r="H41" s="112"/>
      <c r="K41" s="112"/>
      <c r="L41" s="112"/>
      <c r="R41" s="27">
        <f>_xll.qlCalendarAdvance(Calendar,R40,"1D","f")</f>
        <v>42424</v>
      </c>
      <c r="S41" s="68">
        <f>_xll.qlInterpolationInterpolate(B6Minterpolation,R41,TRUE)</f>
        <v>3.8704519007418834E-3</v>
      </c>
    </row>
    <row r="42" spans="5:19" ht="11.25" customHeight="1" x14ac:dyDescent="0.2">
      <c r="E42" s="147"/>
      <c r="F42" s="147"/>
      <c r="G42" s="147"/>
      <c r="H42" s="112"/>
      <c r="K42" s="112"/>
      <c r="L42" s="112"/>
      <c r="R42" s="27">
        <f>_xll.qlCalendarAdvance(Calendar,R41,"1D","f")</f>
        <v>42425</v>
      </c>
      <c r="S42" s="68">
        <f>_xll.qlInterpolationInterpolate(B6Minterpolation,R42,TRUE)</f>
        <v>3.8700038110115543E-3</v>
      </c>
    </row>
    <row r="43" spans="5:19" ht="11.25" customHeight="1" x14ac:dyDescent="0.2">
      <c r="E43" s="147"/>
      <c r="F43" s="147"/>
      <c r="G43" s="147"/>
      <c r="H43" s="112"/>
      <c r="K43" s="112"/>
      <c r="L43" s="112"/>
      <c r="R43" s="27">
        <f>_xll.qlCalendarAdvance(Calendar,R42,"1D","f")</f>
        <v>42426</v>
      </c>
      <c r="S43" s="68">
        <f>_xll.qlInterpolationInterpolate(B6Minterpolation,R43,TRUE)</f>
        <v>3.8697084052173878E-3</v>
      </c>
    </row>
    <row r="44" spans="5:19" ht="11.25" customHeight="1" x14ac:dyDescent="0.2">
      <c r="E44" s="147"/>
      <c r="F44" s="147"/>
      <c r="G44" s="147"/>
      <c r="H44" s="112"/>
      <c r="K44" s="112"/>
      <c r="L44" s="112"/>
      <c r="R44" s="27">
        <f>_xll.qlCalendarAdvance(Calendar,R43,"1D","f")</f>
        <v>42429</v>
      </c>
      <c r="S44" s="68">
        <f>_xll.qlInterpolationInterpolate(B6Minterpolation,R44,TRUE)</f>
        <v>3.8698668745132392E-3</v>
      </c>
    </row>
    <row r="45" spans="5:19" ht="11.25" customHeight="1" x14ac:dyDescent="0.2">
      <c r="E45" s="147"/>
      <c r="F45" s="147"/>
      <c r="G45" s="147"/>
      <c r="H45" s="112"/>
      <c r="K45" s="112"/>
      <c r="L45" s="112"/>
      <c r="R45" s="27">
        <f>_xll.qlCalendarAdvance(Calendar,R44,"1D","f")</f>
        <v>42430</v>
      </c>
      <c r="S45" s="68">
        <f>_xll.qlInterpolationInterpolate(B6Minterpolation,R45,TRUE)</f>
        <v>3.8703130876790591E-3</v>
      </c>
    </row>
    <row r="46" spans="5:19" ht="11.25" customHeight="1" x14ac:dyDescent="0.2">
      <c r="E46" s="147"/>
      <c r="F46" s="147"/>
      <c r="G46" s="147"/>
      <c r="H46" s="112"/>
      <c r="K46" s="112"/>
      <c r="L46" s="112"/>
      <c r="R46" s="27">
        <f>_xll.qlCalendarAdvance(Calendar,R45,"1D","f")</f>
        <v>42431</v>
      </c>
      <c r="S46" s="68">
        <f>_xll.qlInterpolationInterpolate(B6Minterpolation,R46,TRUE)</f>
        <v>3.870963125328075E-3</v>
      </c>
    </row>
    <row r="47" spans="5:19" ht="11.25" customHeight="1" x14ac:dyDescent="0.2">
      <c r="E47" s="147"/>
      <c r="F47" s="147"/>
      <c r="G47" s="147"/>
      <c r="H47" s="112"/>
      <c r="K47" s="112"/>
      <c r="L47" s="112"/>
      <c r="R47" s="27">
        <f>_xll.qlCalendarAdvance(Calendar,R46,"1D","f")</f>
        <v>42432</v>
      </c>
      <c r="S47" s="68">
        <f>_xll.qlInterpolationInterpolate(B6Minterpolation,R47,TRUE)</f>
        <v>3.8718032188290591E-3</v>
      </c>
    </row>
    <row r="48" spans="5:19" ht="11.25" customHeight="1" x14ac:dyDescent="0.2">
      <c r="E48" s="147"/>
      <c r="F48" s="147"/>
      <c r="G48" s="147"/>
      <c r="H48" s="112"/>
      <c r="K48" s="112"/>
      <c r="L48" s="112"/>
      <c r="R48" s="27">
        <f>_xll.qlCalendarAdvance(Calendar,R47,"1D","f")</f>
        <v>42433</v>
      </c>
      <c r="S48" s="68">
        <f>_xll.qlInterpolationInterpolate(B6Minterpolation,R48,TRUE)</f>
        <v>3.8728195995507836E-3</v>
      </c>
    </row>
    <row r="49" spans="5:19" ht="11.25" customHeight="1" x14ac:dyDescent="0.2">
      <c r="E49" s="147"/>
      <c r="F49" s="147"/>
      <c r="G49" s="147"/>
      <c r="H49" s="112"/>
      <c r="K49" s="112"/>
      <c r="L49" s="112"/>
      <c r="R49" s="27">
        <f>_xll.qlCalendarAdvance(Calendar,R48,"1D","f")</f>
        <v>42436</v>
      </c>
      <c r="S49" s="68">
        <f>_xll.qlInterpolationInterpolate(B6Minterpolation,R49,TRUE)</f>
        <v>3.8767887787281214E-3</v>
      </c>
    </row>
    <row r="50" spans="5:19" ht="11.25" customHeight="1" x14ac:dyDescent="0.2">
      <c r="E50" s="147"/>
      <c r="F50" s="147"/>
      <c r="G50" s="147"/>
      <c r="H50" s="112"/>
      <c r="K50" s="112"/>
      <c r="L50" s="112"/>
      <c r="R50" s="27">
        <f>_xll.qlCalendarAdvance(Calendar,R49,"1D","f")</f>
        <v>42437</v>
      </c>
      <c r="S50" s="68">
        <f>_xll.qlInterpolationInterpolate(B6Minterpolation,R50,TRUE)</f>
        <v>3.8783726220205294E-3</v>
      </c>
    </row>
    <row r="51" spans="5:19" ht="11.25" customHeight="1" x14ac:dyDescent="0.2">
      <c r="E51" s="147"/>
      <c r="F51" s="147"/>
      <c r="G51" s="147"/>
      <c r="H51" s="112"/>
      <c r="K51" s="112"/>
      <c r="L51" s="112"/>
      <c r="R51" s="27">
        <f>_xll.qlCalendarAdvance(Calendar,R50,"1D","f")</f>
        <v>42438</v>
      </c>
      <c r="S51" s="68">
        <f>_xll.qlInterpolationInterpolate(B6Minterpolation,R51,TRUE)</f>
        <v>3.8800639093775386E-3</v>
      </c>
    </row>
    <row r="52" spans="5:19" ht="11.25" customHeight="1" x14ac:dyDescent="0.2">
      <c r="E52" s="147"/>
      <c r="F52" s="147"/>
      <c r="G52" s="147"/>
      <c r="H52" s="112"/>
      <c r="K52" s="112"/>
      <c r="L52" s="112"/>
      <c r="R52" s="27">
        <f>_xll.qlCalendarAdvance(Calendar,R51,"1D","f")</f>
        <v>42439</v>
      </c>
      <c r="S52" s="68">
        <f>_xll.qlInterpolationInterpolate(B6Minterpolation,R52,TRUE)</f>
        <v>3.881848872167921E-3</v>
      </c>
    </row>
    <row r="53" spans="5:19" x14ac:dyDescent="0.2">
      <c r="R53" s="27">
        <f>_xll.qlCalendarAdvance(Calendar,R52,"1D","f")</f>
        <v>42440</v>
      </c>
      <c r="S53" s="68">
        <f>_xll.qlInterpolationInterpolate(B6Minterpolation,R53,TRUE)</f>
        <v>3.8837137417604491E-3</v>
      </c>
    </row>
    <row r="54" spans="5:19" x14ac:dyDescent="0.2">
      <c r="R54" s="27">
        <f>_xll.qlCalendarAdvance(Calendar,R53,"1D","f")</f>
        <v>42443</v>
      </c>
      <c r="S54" s="68">
        <f>_xll.qlInterpolationInterpolate(B6Minterpolation,R54,TRUE)</f>
        <v>3.8896501050386285E-3</v>
      </c>
    </row>
    <row r="55" spans="5:19" x14ac:dyDescent="0.2">
      <c r="R55" s="27">
        <f>_xll.qlCalendarAdvance(Calendar,R54,"1D","f")</f>
        <v>42444</v>
      </c>
      <c r="S55" s="68">
        <f>_xll.qlInterpolationInterpolate(B6Minterpolation,R55,TRUE)</f>
        <v>3.8916969155274607E-3</v>
      </c>
    </row>
    <row r="56" spans="5:19" x14ac:dyDescent="0.2">
      <c r="R56" s="27">
        <f>_xll.qlCalendarAdvance(Calendar,R55,"1D","f")</f>
        <v>42445</v>
      </c>
      <c r="S56" s="68">
        <f>_xll.qlInterpolationInterpolate(B6Minterpolation,R56,TRUE)</f>
        <v>3.8937547896622992E-3</v>
      </c>
    </row>
    <row r="57" spans="5:19" x14ac:dyDescent="0.2">
      <c r="R57" s="27">
        <f>_xll.qlCalendarAdvance(Calendar,R56,"1D","f")</f>
        <v>42446</v>
      </c>
      <c r="S57" s="68">
        <f>_xll.qlInterpolationInterpolate(B6Minterpolation,R57,TRUE)</f>
        <v>3.8958099588119167E-3</v>
      </c>
    </row>
    <row r="58" spans="5:19" x14ac:dyDescent="0.2">
      <c r="R58" s="27">
        <f>_xll.qlCalendarAdvance(Calendar,R57,"1D","f")</f>
        <v>42447</v>
      </c>
      <c r="S58" s="68">
        <f>_xll.qlInterpolationInterpolate(B6Minterpolation,R58,TRUE)</f>
        <v>3.8978486543450844E-3</v>
      </c>
    </row>
    <row r="59" spans="5:19" x14ac:dyDescent="0.2">
      <c r="R59" s="27">
        <f>_xll.qlCalendarAdvance(Calendar,R58,"1D","f")</f>
        <v>42450</v>
      </c>
      <c r="S59" s="68">
        <f>_xll.qlInterpolationInterpolate(B6Minterpolation,R59,TRUE)</f>
        <v>3.9037282129336152E-3</v>
      </c>
    </row>
    <row r="60" spans="5:19" x14ac:dyDescent="0.2">
      <c r="R60" s="27">
        <f>_xll.qlCalendarAdvance(Calendar,R59,"1D","f")</f>
        <v>42451</v>
      </c>
      <c r="S60" s="68">
        <f>_xll.qlInterpolationInterpolate(B6Minterpolation,R60,TRUE)</f>
        <v>3.9055633276887077E-3</v>
      </c>
    </row>
    <row r="61" spans="5:19" x14ac:dyDescent="0.2">
      <c r="R61" s="27">
        <f>_xll.qlCalendarAdvance(Calendar,R60,"1D","f")</f>
        <v>42452</v>
      </c>
      <c r="S61" s="68">
        <f>_xll.qlInterpolationInterpolate(B6Minterpolation,R61,TRUE)</f>
        <v>3.9073131256712121E-3</v>
      </c>
    </row>
    <row r="62" spans="5:19" x14ac:dyDescent="0.2">
      <c r="R62" s="27">
        <f>_xll.qlCalendarAdvance(Calendar,R61,"1D","f")</f>
        <v>42453</v>
      </c>
      <c r="S62" s="68">
        <f>_xll.qlInterpolationInterpolate(B6Minterpolation,R62,TRUE)</f>
        <v>3.9089638382499006E-3</v>
      </c>
    </row>
    <row r="63" spans="5:19" x14ac:dyDescent="0.2">
      <c r="R63" s="27">
        <f>_xll.qlCalendarAdvance(Calendar,R62,"1D","f")</f>
        <v>42458</v>
      </c>
      <c r="S63" s="68">
        <f>_xll.qlInterpolationInterpolate(B6Minterpolation,R63,TRUE)</f>
        <v>3.9152492179931253E-3</v>
      </c>
    </row>
    <row r="64" spans="5:19" x14ac:dyDescent="0.2">
      <c r="R64" s="27">
        <f>_xll.qlCalendarAdvance(Calendar,R63,"1D","f")</f>
        <v>42459</v>
      </c>
      <c r="S64" s="68">
        <f>_xll.qlInterpolationInterpolate(B6Minterpolation,R64,TRUE)</f>
        <v>3.9160162768931321E-3</v>
      </c>
    </row>
    <row r="65" spans="18:19" x14ac:dyDescent="0.2">
      <c r="R65" s="27">
        <f>_xll.qlCalendarAdvance(Calendar,R64,"1D","f")</f>
        <v>42460</v>
      </c>
      <c r="S65" s="68">
        <f>_xll.qlInterpolationInterpolate(B6Minterpolation,R65,TRUE)</f>
        <v>3.9165878699707283E-3</v>
      </c>
    </row>
    <row r="66" spans="18:19" x14ac:dyDescent="0.2">
      <c r="R66" s="27">
        <f>_xll.qlCalendarAdvance(Calendar,R65,"1D","f")</f>
        <v>42461</v>
      </c>
      <c r="S66" s="68">
        <f>_xll.qlInterpolationInterpolate(B6Minterpolation,R66,TRUE)</f>
        <v>3.91699390158755E-3</v>
      </c>
    </row>
    <row r="67" spans="18:19" x14ac:dyDescent="0.2">
      <c r="R67" s="27">
        <f>_xll.qlCalendarAdvance(Calendar,R66,"1D","f")</f>
        <v>42464</v>
      </c>
      <c r="S67" s="68">
        <f>_xll.qlInterpolationInterpolate(B6Minterpolation,R67,TRUE)</f>
        <v>3.9175245512452642E-3</v>
      </c>
    </row>
    <row r="68" spans="18:19" x14ac:dyDescent="0.2">
      <c r="R68" s="27">
        <f>_xll.qlCalendarAdvance(Calendar,R67,"1D","f")</f>
        <v>42465</v>
      </c>
      <c r="S68" s="68">
        <f>_xll.qlInterpolationInterpolate(B6Minterpolation,R68,TRUE)</f>
        <v>3.9175020455990729E-3</v>
      </c>
    </row>
    <row r="69" spans="18:19" x14ac:dyDescent="0.2">
      <c r="R69" s="27">
        <f>_xll.qlCalendarAdvance(Calendar,R68,"1D","f")</f>
        <v>42466</v>
      </c>
      <c r="S69" s="68">
        <f>_xll.qlInterpolationInterpolate(B6Minterpolation,R69,TRUE)</f>
        <v>3.9173947252862436E-3</v>
      </c>
    </row>
    <row r="70" spans="18:19" x14ac:dyDescent="0.2">
      <c r="R70" s="27">
        <f>_xll.qlCalendarAdvance(Calendar,R69,"1D","f")</f>
        <v>42467</v>
      </c>
      <c r="S70" s="68">
        <f>_xll.qlInterpolationInterpolate(B6Minterpolation,R70,TRUE)</f>
        <v>3.9172115181664233E-3</v>
      </c>
    </row>
    <row r="71" spans="18:19" x14ac:dyDescent="0.2">
      <c r="R71" s="27">
        <f>_xll.qlCalendarAdvance(Calendar,R70,"1D","f")</f>
        <v>42468</v>
      </c>
      <c r="S71" s="68">
        <f>_xll.qlInterpolationInterpolate(B6Minterpolation,R71,TRUE)</f>
        <v>3.9169613520992569E-3</v>
      </c>
    </row>
    <row r="72" spans="18:19" x14ac:dyDescent="0.2">
      <c r="R72" s="27">
        <f>_xll.qlCalendarAdvance(Calendar,R71,"1D","f")</f>
        <v>42471</v>
      </c>
      <c r="S72" s="68">
        <f>_xll.qlInterpolationInterpolate(B6Minterpolation,R72,TRUE)</f>
        <v>3.915898378810144E-3</v>
      </c>
    </row>
    <row r="73" spans="18:19" x14ac:dyDescent="0.2">
      <c r="R73" s="27">
        <f>_xll.qlCalendarAdvance(Calendar,R72,"1D","f")</f>
        <v>42472</v>
      </c>
      <c r="S73" s="68">
        <f>_xll.qlInterpolationInterpolate(B6Minterpolation,R73,TRUE)</f>
        <v>3.9154696555500548E-3</v>
      </c>
    </row>
    <row r="74" spans="18:19" x14ac:dyDescent="0.2">
      <c r="R74" s="27">
        <f>_xll.qlCalendarAdvance(Calendar,R73,"1D","f")</f>
        <v>42473</v>
      </c>
      <c r="S74" s="68">
        <f>_xll.qlInterpolationInterpolate(B6Minterpolation,R74,TRUE)</f>
        <v>3.9150186126408514E-3</v>
      </c>
    </row>
    <row r="75" spans="18:19" x14ac:dyDescent="0.2">
      <c r="R75" s="27">
        <f>_xll.qlCalendarAdvance(Calendar,R74,"1D","f")</f>
        <v>42474</v>
      </c>
      <c r="S75" s="68">
        <f>_xll.qlInterpolationInterpolate(B6Minterpolation,R75,TRUE)</f>
        <v>3.914554177942179E-3</v>
      </c>
    </row>
    <row r="76" spans="18:19" x14ac:dyDescent="0.2">
      <c r="R76" s="27">
        <f>_xll.qlCalendarAdvance(Calendar,R75,"1D","f")</f>
        <v>42475</v>
      </c>
      <c r="S76" s="68">
        <f>_xll.qlInterpolationInterpolate(B6Minterpolation,R76,TRUE)</f>
        <v>3.9140852793136827E-3</v>
      </c>
    </row>
    <row r="77" spans="18:19" x14ac:dyDescent="0.2">
      <c r="R77" s="27">
        <f>_xll.qlCalendarAdvance(Calendar,R76,"1D","f")</f>
        <v>42478</v>
      </c>
      <c r="S77" s="68">
        <f>_xll.qlInterpolationInterpolate(B6Minterpolation,R77,TRUE)</f>
        <v>3.9127410784457178E-3</v>
      </c>
    </row>
    <row r="78" spans="18:19" x14ac:dyDescent="0.2">
      <c r="R78" s="27">
        <f>_xll.qlCalendarAdvance(Calendar,R77,"1D","f")</f>
        <v>42479</v>
      </c>
      <c r="S78" s="68">
        <f>_xll.qlInterpolationInterpolate(B6Minterpolation,R78,TRUE)</f>
        <v>3.9123436026943913E-3</v>
      </c>
    </row>
    <row r="79" spans="18:19" x14ac:dyDescent="0.2">
      <c r="R79" s="27">
        <f>_xll.qlCalendarAdvance(Calendar,R78,"1D","f")</f>
        <v>42480</v>
      </c>
      <c r="S79" s="68">
        <f>_xll.qlInterpolationInterpolate(B6Minterpolation,R79,TRUE)</f>
        <v>3.9119863023114711E-3</v>
      </c>
    </row>
    <row r="80" spans="18:19" x14ac:dyDescent="0.2">
      <c r="R80" s="27">
        <f>_xll.qlCalendarAdvance(Calendar,R79,"1D","f")</f>
        <v>42481</v>
      </c>
      <c r="S80" s="68">
        <f>_xll.qlInterpolationInterpolate(B6Minterpolation,R80,TRUE)</f>
        <v>3.9116781051566048E-3</v>
      </c>
    </row>
    <row r="81" spans="18:19" x14ac:dyDescent="0.2">
      <c r="R81" s="27">
        <f>_xll.qlCalendarAdvance(Calendar,R80,"1D","f")</f>
        <v>42482</v>
      </c>
      <c r="S81" s="68">
        <f>_xll.qlInterpolationInterpolate(B6Minterpolation,R81,TRUE)</f>
        <v>3.9114279390894385E-3</v>
      </c>
    </row>
    <row r="82" spans="18:19" x14ac:dyDescent="0.2">
      <c r="R82" s="27">
        <f>_xll.qlCalendarAdvance(Calendar,R81,"1D","f")</f>
        <v>42485</v>
      </c>
      <c r="S82" s="68">
        <f>_xll.qlInterpolationInterpolate(B6Minterpolation,R82,TRUE)</f>
        <v>3.9111149060105975E-3</v>
      </c>
    </row>
    <row r="83" spans="18:19" x14ac:dyDescent="0.2">
      <c r="R83" s="27">
        <f>_xll.qlCalendarAdvance(Calendar,R82,"1D","f")</f>
        <v>42486</v>
      </c>
      <c r="S83" s="68">
        <f>_xll.qlInterpolationInterpolate(B6Minterpolation,R83,TRUE)</f>
        <v>3.9111861428906903E-3</v>
      </c>
    </row>
    <row r="84" spans="18:19" x14ac:dyDescent="0.2">
      <c r="R84" s="27">
        <f>_xll.qlCalendarAdvance(Calendar,R83,"1D","f")</f>
        <v>42487</v>
      </c>
      <c r="S84" s="68">
        <f>_xll.qlInterpolationInterpolate(B6Minterpolation,R84,TRUE)</f>
        <v>3.911360050156713E-3</v>
      </c>
    </row>
    <row r="85" spans="18:19" x14ac:dyDescent="0.2">
      <c r="R85" s="27">
        <f>_xll.qlCalendarAdvance(Calendar,R84,"1D","f")</f>
        <v>42488</v>
      </c>
      <c r="S85" s="68">
        <f>_xll.qlInterpolationInterpolate(B6Minterpolation,R85,TRUE)</f>
        <v>3.9116455556683118E-3</v>
      </c>
    </row>
    <row r="86" spans="18:19" x14ac:dyDescent="0.2">
      <c r="R86" s="27">
        <f>_xll.qlCalendarAdvance(Calendar,R85,"1D","f")</f>
        <v>42489</v>
      </c>
      <c r="S86" s="68">
        <f>_xll.qlInterpolationInterpolate(B6Minterpolation,R86,TRUE)</f>
        <v>3.9120515872851334E-3</v>
      </c>
    </row>
    <row r="87" spans="18:19" x14ac:dyDescent="0.2">
      <c r="R87" s="27">
        <f>_xll.qlCalendarAdvance(Calendar,R86,"1D","f")</f>
        <v>42493</v>
      </c>
      <c r="S87" s="68">
        <f>_xll.qlInterpolationInterpolate(B6Minterpolation,R87,TRUE)</f>
        <v>3.9157464362953361E-3</v>
      </c>
    </row>
    <row r="88" spans="18:19" x14ac:dyDescent="0.2">
      <c r="R88" s="27">
        <f>_xll.qlCalendarAdvance(Calendar,R87,"1D","f")</f>
        <v>42494</v>
      </c>
      <c r="S88" s="68">
        <f>_xll.qlInterpolationInterpolate(B6Minterpolation,R88,TRUE)</f>
        <v>3.9171728237423313E-3</v>
      </c>
    </row>
    <row r="89" spans="18:19" x14ac:dyDescent="0.2">
      <c r="R89" s="27">
        <f>_xll.qlCalendarAdvance(Calendar,R88,"1D","f")</f>
        <v>42495</v>
      </c>
      <c r="S89" s="68">
        <f>_xll.qlInterpolationInterpolate(B6Minterpolation,R89,TRUE)</f>
        <v>3.9187689003824955E-3</v>
      </c>
    </row>
    <row r="90" spans="18:19" x14ac:dyDescent="0.2">
      <c r="R90" s="27">
        <f>_xll.qlCalendarAdvance(Calendar,R89,"1D","f")</f>
        <v>42496</v>
      </c>
      <c r="S90" s="68">
        <f>_xll.qlInterpolationInterpolate(B6Minterpolation,R90,TRUE)</f>
        <v>3.9205189757735249E-3</v>
      </c>
    </row>
    <row r="91" spans="18:19" x14ac:dyDescent="0.2">
      <c r="R91" s="27">
        <f>_xll.qlCalendarAdvance(Calendar,R90,"1D","f")</f>
        <v>42499</v>
      </c>
      <c r="S91" s="68">
        <f>_xll.qlInterpolationInterpolate(B6Minterpolation,R91,TRUE)</f>
        <v>3.9265362900287619E-3</v>
      </c>
    </row>
    <row r="92" spans="18:19" x14ac:dyDescent="0.2">
      <c r="R92" s="27">
        <f>_xll.qlCalendarAdvance(Calendar,R91,"1D","f")</f>
        <v>42500</v>
      </c>
      <c r="S92" s="68">
        <f>_xll.qlInterpolationInterpolate(B6Minterpolation,R92,TRUE)</f>
        <v>3.9287454560002098E-3</v>
      </c>
    </row>
    <row r="93" spans="18:19" x14ac:dyDescent="0.2">
      <c r="R93" s="27">
        <f>_xll.qlCalendarAdvance(Calendar,R92,"1D","f")</f>
        <v>42501</v>
      </c>
      <c r="S93" s="68">
        <f>_xll.qlInterpolationInterpolate(B6Minterpolation,R93,TRUE)</f>
        <v>3.9310301685110014E-3</v>
      </c>
    </row>
    <row r="94" spans="18:19" x14ac:dyDescent="0.2">
      <c r="R94" s="27">
        <f>_xll.qlCalendarAdvance(Calendar,R93,"1D","f")</f>
        <v>42502</v>
      </c>
      <c r="S94" s="68">
        <f>_xll.qlInterpolationInterpolate(B6Minterpolation,R94,TRUE)</f>
        <v>3.9333747371188329E-3</v>
      </c>
    </row>
    <row r="95" spans="18:19" x14ac:dyDescent="0.2">
      <c r="R95" s="27">
        <f>_xll.qlCalendarAdvance(Calendar,R94,"1D","f")</f>
        <v>42503</v>
      </c>
      <c r="S95" s="68">
        <f>_xll.qlInterpolationInterpolate(B6Minterpolation,R95,TRUE)</f>
        <v>3.9357634713814002E-3</v>
      </c>
    </row>
    <row r="96" spans="18:19" x14ac:dyDescent="0.2">
      <c r="R96" s="27">
        <f>_xll.qlCalendarAdvance(Calendar,R95,"1D","f")</f>
        <v>42506</v>
      </c>
      <c r="S96" s="68">
        <f>_xll.qlInterpolationInterpolate(B6Minterpolation,R96,TRUE)</f>
        <v>3.9430377636744717E-3</v>
      </c>
    </row>
    <row r="97" spans="18:19" x14ac:dyDescent="0.2">
      <c r="R97" s="27">
        <f>_xll.qlCalendarAdvance(Calendar,R96,"1D","f")</f>
        <v>42507</v>
      </c>
      <c r="S97" s="68">
        <f>_xll.qlInterpolationInterpolate(B6Minterpolation,R97,TRUE)</f>
        <v>3.9454462561329387E-3</v>
      </c>
    </row>
    <row r="98" spans="18:19" x14ac:dyDescent="0.2">
      <c r="R98" s="27">
        <f>_xll.qlCalendarAdvance(Calendar,R97,"1D","f")</f>
        <v>42508</v>
      </c>
      <c r="S98" s="68">
        <f>_xll.qlInterpolationInterpolate(B6Minterpolation,R98,TRUE)</f>
        <v>3.9478204620346201E-3</v>
      </c>
    </row>
    <row r="99" spans="18:19" x14ac:dyDescent="0.2">
      <c r="R99" s="27">
        <f>_xll.qlCalendarAdvance(Calendar,R98,"1D","f")</f>
        <v>42509</v>
      </c>
      <c r="S99" s="68">
        <f>_xll.qlInterpolationInterpolate(B6Minterpolation,R99,TRUE)</f>
        <v>3.950144690937212E-3</v>
      </c>
    </row>
    <row r="100" spans="18:19" x14ac:dyDescent="0.2">
      <c r="R100" s="27">
        <f>_xll.qlCalendarAdvance(Calendar,R99,"1D","f")</f>
        <v>42510</v>
      </c>
      <c r="S100" s="68">
        <f>_xll.qlInterpolationInterpolate(B6Minterpolation,R100,TRUE)</f>
        <v>3.9524032523984096E-3</v>
      </c>
    </row>
    <row r="101" spans="18:19" x14ac:dyDescent="0.2">
      <c r="R101" s="27">
        <f>_xll.qlCalendarAdvance(Calendar,R100,"1D","f")</f>
        <v>42513</v>
      </c>
      <c r="S101" s="68">
        <f>_xll.qlInterpolationInterpolate(B6Minterpolation,R101,TRUE)</f>
        <v>3.9586280277105965E-3</v>
      </c>
    </row>
    <row r="102" spans="18:19" x14ac:dyDescent="0.2">
      <c r="R102" s="27">
        <f>_xll.qlCalendarAdvance(Calendar,R101,"1D","f")</f>
        <v>42514</v>
      </c>
      <c r="S102" s="68">
        <f>_xll.qlInterpolationInterpolate(B6Minterpolation,R102,TRUE)</f>
        <v>3.9604670149831758E-3</v>
      </c>
    </row>
    <row r="103" spans="18:19" x14ac:dyDescent="0.2">
      <c r="R103" s="27">
        <f>_xll.qlCalendarAdvance(Calendar,R102,"1D","f")</f>
        <v>42515</v>
      </c>
      <c r="S103" s="68">
        <f>_xll.qlInterpolationInterpolate(B6Minterpolation,R103,TRUE)</f>
        <v>3.9621618826028394E-3</v>
      </c>
    </row>
    <row r="104" spans="18:19" x14ac:dyDescent="0.2">
      <c r="R104" s="27">
        <f>_xll.qlCalendarAdvance(Calendar,R103,"1D","f")</f>
        <v>42516</v>
      </c>
      <c r="S104" s="68">
        <f>_xll.qlInterpolationInterpolate(B6Minterpolation,R104,TRUE)</f>
        <v>3.9636969401272842E-3</v>
      </c>
    </row>
    <row r="105" spans="18:19" x14ac:dyDescent="0.2">
      <c r="R105" s="27">
        <f>_xll.qlCalendarAdvance(Calendar,R104,"1D","f")</f>
        <v>42517</v>
      </c>
      <c r="S105" s="68">
        <f>_xll.qlInterpolationInterpolate(B6Minterpolation,R105,TRUE)</f>
        <v>3.9650564971142064E-3</v>
      </c>
    </row>
    <row r="106" spans="18:19" x14ac:dyDescent="0.2">
      <c r="R106" s="27">
        <f>_xll.qlCalendarAdvance(Calendar,R105,"1D","f")</f>
        <v>42521</v>
      </c>
      <c r="S106" s="68">
        <f>_xll.qlInterpolationInterpolate(B6Minterpolation,R106,TRUE)</f>
        <v>3.9684259108405716E-3</v>
      </c>
    </row>
    <row r="107" spans="18:19" x14ac:dyDescent="0.2">
      <c r="R107" s="27">
        <f>_xll.qlCalendarAdvance(Calendar,R106,"1D","f")</f>
        <v>42522</v>
      </c>
      <c r="S107" s="68">
        <f>_xll.qlInterpolationInterpolate(B6Minterpolation,R107,TRUE)</f>
        <v>3.9687133926107742E-3</v>
      </c>
    </row>
    <row r="108" spans="18:19" x14ac:dyDescent="0.2">
      <c r="R108" s="27">
        <f>_xll.qlCalendarAdvance(Calendar,R107,"1D","f")</f>
        <v>42523</v>
      </c>
      <c r="S108" s="68">
        <f>_xll.qlInterpolationInterpolate(B6Minterpolation,R108,TRUE)</f>
        <v>3.9688273027285803E-3</v>
      </c>
    </row>
    <row r="109" spans="18:19" x14ac:dyDescent="0.2">
      <c r="R109" s="27">
        <f>_xll.qlCalendarAdvance(Calendar,R108,"1D","f")</f>
        <v>42524</v>
      </c>
      <c r="S109" s="68">
        <f>_xll.qlInterpolationInterpolate(B6Minterpolation,R109,TRUE)</f>
        <v>3.9687737057437292E-3</v>
      </c>
    </row>
    <row r="110" spans="18:19" x14ac:dyDescent="0.2">
      <c r="R110" s="27">
        <f>_xll.qlCalendarAdvance(Calendar,R109,"1D","f")</f>
        <v>42527</v>
      </c>
      <c r="S110" s="68">
        <f>_xll.qlInterpolationInterpolate(B6Minterpolation,R110,TRUE)</f>
        <v>3.9676685176706127E-3</v>
      </c>
    </row>
    <row r="111" spans="18:19" x14ac:dyDescent="0.2">
      <c r="R111" s="27">
        <f>_xll.qlCalendarAdvance(Calendar,R110,"1D","f")</f>
        <v>42528</v>
      </c>
      <c r="S111" s="68">
        <f>_xll.qlInterpolationInterpolate(B6Minterpolation,R111,TRUE)</f>
        <v>3.967005537772514E-3</v>
      </c>
    </row>
    <row r="112" spans="18:19" x14ac:dyDescent="0.2">
      <c r="R112" s="27">
        <f>_xll.qlCalendarAdvance(Calendar,R111,"1D","f")</f>
        <v>42529</v>
      </c>
      <c r="S112" s="68">
        <f>_xll.qlInterpolationInterpolate(B6Minterpolation,R112,TRUE)</f>
        <v>3.9662053735204494E-3</v>
      </c>
    </row>
    <row r="113" spans="18:19" x14ac:dyDescent="0.2">
      <c r="R113" s="27">
        <f>_xll.qlCalendarAdvance(Calendar,R112,"1D","f")</f>
        <v>42530</v>
      </c>
      <c r="S113" s="68">
        <f>_xll.qlInterpolationInterpolate(B6Minterpolation,R113,TRUE)</f>
        <v>3.9652740894641578E-3</v>
      </c>
    </row>
    <row r="114" spans="18:19" x14ac:dyDescent="0.2">
      <c r="R114" s="27">
        <f>_xll.qlCalendarAdvance(Calendar,R113,"1D","f")</f>
        <v>42531</v>
      </c>
      <c r="S114" s="68">
        <f>_xll.qlInterpolationInterpolate(B6Minterpolation,R114,TRUE)</f>
        <v>3.9642177501533768E-3</v>
      </c>
    </row>
    <row r="115" spans="18:19" x14ac:dyDescent="0.2">
      <c r="R115" s="27">
        <f>_xll.qlCalendarAdvance(Calendar,R114,"1D","f")</f>
        <v>42534</v>
      </c>
      <c r="S115" s="68">
        <f>_xll.qlInterpolationInterpolate(B6Minterpolation,R115,TRUE)</f>
        <v>3.9603590461914839E-3</v>
      </c>
    </row>
    <row r="116" spans="18:19" x14ac:dyDescent="0.2">
      <c r="R116" s="27">
        <f>_xll.qlCalendarAdvance(Calendar,R115,"1D","f")</f>
        <v>42535</v>
      </c>
      <c r="S116" s="68">
        <f>_xll.qlInterpolationInterpolate(B6Minterpolation,R116,TRUE)</f>
        <v>3.9588631313601302E-3</v>
      </c>
    </row>
    <row r="117" spans="18:19" x14ac:dyDescent="0.2">
      <c r="R117" s="27">
        <f>_xll.qlCalendarAdvance(Calendar,R116,"1D","f")</f>
        <v>42536</v>
      </c>
      <c r="S117" s="68">
        <f>_xll.qlInterpolationInterpolate(B6Minterpolation,R117,TRUE)</f>
        <v>3.9572724840229801E-3</v>
      </c>
    </row>
    <row r="118" spans="18:19" x14ac:dyDescent="0.2">
      <c r="R118" s="27">
        <f>_xll.qlCalendarAdvance(Calendar,R117,"1D","f")</f>
        <v>42537</v>
      </c>
      <c r="S118" s="68">
        <f>_xll.qlInterpolationInterpolate(B6Minterpolation,R118,TRUE)</f>
        <v>3.9555931687297709E-3</v>
      </c>
    </row>
    <row r="119" spans="18:19" x14ac:dyDescent="0.2">
      <c r="R119" s="27">
        <f>_xll.qlCalendarAdvance(Calendar,R118,"1D","f")</f>
        <v>42538</v>
      </c>
      <c r="S119" s="68">
        <f>_xll.qlInterpolationInterpolate(B6Minterpolation,R119,TRUE)</f>
        <v>3.953831250030241E-3</v>
      </c>
    </row>
    <row r="120" spans="18:19" x14ac:dyDescent="0.2">
      <c r="R120" s="27">
        <f>_xll.qlCalendarAdvance(Calendar,R119,"1D","f")</f>
        <v>42541</v>
      </c>
      <c r="S120" s="68">
        <f>_xll.qlInterpolationInterpolate(B6Minterpolation,R120,TRUE)</f>
        <v>3.9481105189911134E-3</v>
      </c>
    </row>
    <row r="121" spans="18:19" x14ac:dyDescent="0.2">
      <c r="R121" s="27">
        <f>_xll.qlCalendarAdvance(Calendar,R120,"1D","f")</f>
        <v>42542</v>
      </c>
      <c r="S121" s="68">
        <f>_xll.qlInterpolationInterpolate(B6Minterpolation,R121,TRUE)</f>
        <v>3.9460788321636865E-3</v>
      </c>
    </row>
    <row r="122" spans="18:19" x14ac:dyDescent="0.2">
      <c r="R122" s="27">
        <f>_xll.qlCalendarAdvance(Calendar,R121,"1D","f")</f>
        <v>42543</v>
      </c>
      <c r="S122" s="68">
        <f>_xll.qlInterpolationInterpolate(B6Minterpolation,R122,TRUE)</f>
        <v>3.9439948646786301E-3</v>
      </c>
    </row>
    <row r="123" spans="18:19" x14ac:dyDescent="0.2">
      <c r="R123" s="27">
        <f>_xll.qlCalendarAdvance(Calendar,R122,"1D","f")</f>
        <v>42544</v>
      </c>
      <c r="S123" s="68">
        <f>_xll.qlInterpolationInterpolate(B6Minterpolation,R123,TRUE)</f>
        <v>3.9418646810856842E-3</v>
      </c>
    </row>
    <row r="124" spans="18:19" x14ac:dyDescent="0.2">
      <c r="R124" s="27">
        <f>_xll.qlCalendarAdvance(Calendar,R123,"1D","f")</f>
        <v>42545</v>
      </c>
      <c r="S124" s="68">
        <f>_xll.qlInterpolationInterpolate(B6Minterpolation,R124,TRUE)</f>
        <v>3.9396943459345862E-3</v>
      </c>
    </row>
    <row r="125" spans="18:19" x14ac:dyDescent="0.2">
      <c r="R125" s="27">
        <f>_xll.qlCalendarAdvance(Calendar,R124,"1D","f")</f>
        <v>42548</v>
      </c>
      <c r="S125" s="68">
        <f>_xll.qlInterpolationInterpolate(B6Minterpolation,R125,TRUE)</f>
        <v>3.9330030766297659E-3</v>
      </c>
    </row>
    <row r="126" spans="18:19" x14ac:dyDescent="0.2">
      <c r="R126" s="27">
        <f>_xll.qlCalendarAdvance(Calendar,R125,"1D","f")</f>
        <v>42549</v>
      </c>
      <c r="S126" s="68">
        <f>_xll.qlInterpolationInterpolate(B6Minterpolation,R126,TRUE)</f>
        <v>3.9307327807434449E-3</v>
      </c>
    </row>
    <row r="127" spans="18:19" x14ac:dyDescent="0.2">
      <c r="R127" s="27">
        <f>_xll.qlCalendarAdvance(Calendar,R126,"1D","f")</f>
        <v>42550</v>
      </c>
      <c r="S127" s="68">
        <f>_xll.qlInterpolationInterpolate(B6Minterpolation,R127,TRUE)</f>
        <v>3.9284526560476648E-3</v>
      </c>
    </row>
    <row r="128" spans="18:19" x14ac:dyDescent="0.2">
      <c r="R128" s="27">
        <f>_xll.qlCalendarAdvance(Calendar,R127,"1D","f")</f>
        <v>42551</v>
      </c>
      <c r="S128" s="68">
        <f>_xll.qlInterpolationInterpolate(B6Minterpolation,R128,TRUE)</f>
        <v>3.9261687670921622E-3</v>
      </c>
    </row>
    <row r="129" spans="18:19" x14ac:dyDescent="0.2">
      <c r="R129" s="27">
        <f>_xll.qlCalendarAdvance(Calendar,R128,"1D","f")</f>
        <v>42552</v>
      </c>
      <c r="S129" s="68">
        <f>_xll.qlInterpolationInterpolate(B6Minterpolation,R129,TRUE)</f>
        <v>3.9238997826275572E-3</v>
      </c>
    </row>
    <row r="130" spans="18:19" x14ac:dyDescent="0.2">
      <c r="R130" s="27">
        <f>_xll.qlCalendarAdvance(Calendar,R129,"1D","f")</f>
        <v>42555</v>
      </c>
      <c r="S130" s="68">
        <f>_xll.qlInterpolationInterpolate(B6Minterpolation,R130,TRUE)</f>
        <v>3.9172978051813506E-3</v>
      </c>
    </row>
    <row r="131" spans="18:19" x14ac:dyDescent="0.2">
      <c r="R131" s="27">
        <f>_xll.qlCalendarAdvance(Calendar,R130,"1D","f")</f>
        <v>42556</v>
      </c>
      <c r="S131" s="68">
        <f>_xll.qlInterpolationInterpolate(B6Minterpolation,R131,TRUE)</f>
        <v>3.9151770524724324E-3</v>
      </c>
    </row>
    <row r="132" spans="18:19" x14ac:dyDescent="0.2">
      <c r="R132" s="27">
        <f>_xll.qlCalendarAdvance(Calendar,R131,"1D","f")</f>
        <v>42557</v>
      </c>
      <c r="S132" s="68">
        <f>_xll.qlInterpolationInterpolate(B6Minterpolation,R132,TRUE)</f>
        <v>3.9131020435453964E-3</v>
      </c>
    </row>
    <row r="133" spans="18:19" x14ac:dyDescent="0.2">
      <c r="R133" s="27">
        <f>_xll.qlCalendarAdvance(Calendar,R132,"1D","f")</f>
        <v>42558</v>
      </c>
      <c r="S133" s="68">
        <f>_xll.qlInterpolationInterpolate(B6Minterpolation,R133,TRUE)</f>
        <v>3.911076252737425E-3</v>
      </c>
    </row>
    <row r="134" spans="18:19" x14ac:dyDescent="0.2">
      <c r="R134" s="27">
        <f>_xll.qlCalendarAdvance(Calendar,R133,"1D","f")</f>
        <v>42559</v>
      </c>
      <c r="S134" s="68">
        <f>_xll.qlInterpolationInterpolate(B6Minterpolation,R134,TRUE)</f>
        <v>3.9091031543857053E-3</v>
      </c>
    </row>
    <row r="135" spans="18:19" x14ac:dyDescent="0.2">
      <c r="R135" s="27">
        <f>_xll.qlCalendarAdvance(Calendar,R134,"1D","f")</f>
        <v>42562</v>
      </c>
      <c r="S135" s="68">
        <f>_xll.qlInterpolationInterpolate(B6Minterpolation,R135,TRUE)</f>
        <v>3.903534757439884E-3</v>
      </c>
    </row>
    <row r="136" spans="18:19" x14ac:dyDescent="0.2">
      <c r="R136" s="27">
        <f>_xll.qlCalendarAdvance(Calendar,R135,"1D","f")</f>
        <v>42563</v>
      </c>
      <c r="S136" s="68">
        <f>_xll.qlInterpolationInterpolate(B6Minterpolation,R136,TRUE)</f>
        <v>3.9018071722850042E-3</v>
      </c>
    </row>
    <row r="137" spans="18:19" x14ac:dyDescent="0.2">
      <c r="R137" s="27">
        <f>_xll.qlCalendarAdvance(Calendar,R136,"1D","f")</f>
        <v>42564</v>
      </c>
      <c r="S137" s="68">
        <f>_xll.qlInterpolationInterpolate(B6Minterpolation,R137,TRUE)</f>
        <v>3.9001496512722947E-3</v>
      </c>
    </row>
    <row r="138" spans="18:19" x14ac:dyDescent="0.2">
      <c r="R138" s="27">
        <f>_xll.qlCalendarAdvance(Calendar,R137,"1D","f")</f>
        <v>42565</v>
      </c>
      <c r="S138" s="68">
        <f>_xll.qlInterpolationInterpolate(B6Minterpolation,R138,TRUE)</f>
        <v>3.8985656687389398E-3</v>
      </c>
    </row>
    <row r="139" spans="18:19" x14ac:dyDescent="0.2">
      <c r="R139" s="27">
        <f>_xll.qlCalendarAdvance(Calendar,R138,"1D","f")</f>
        <v>42566</v>
      </c>
      <c r="S139" s="68">
        <f>_xll.qlInterpolationInterpolate(B6Minterpolation,R139,TRUE)</f>
        <v>3.8970586990221229E-3</v>
      </c>
    </row>
    <row r="140" spans="18:19" x14ac:dyDescent="0.2">
      <c r="R140" s="27">
        <f>_xll.qlCalendarAdvance(Calendar,R139,"1D","f")</f>
        <v>42569</v>
      </c>
      <c r="S140" s="68">
        <f>_xll.qlInterpolationInterpolate(B6Minterpolation,R140,TRUE)</f>
        <v>3.8930346101427441E-3</v>
      </c>
    </row>
    <row r="141" spans="18:19" x14ac:dyDescent="0.2">
      <c r="R141" s="27">
        <f>_xll.qlCalendarAdvance(Calendar,R140,"1D","f")</f>
        <v>42570</v>
      </c>
      <c r="S141" s="68">
        <f>_xll.qlInterpolationInterpolate(B6Minterpolation,R141,TRUE)</f>
        <v>3.8918704350639215E-3</v>
      </c>
    </row>
    <row r="142" spans="18:19" x14ac:dyDescent="0.2">
      <c r="R142" s="27">
        <f>_xll.qlCalendarAdvance(Calendar,R141,"1D","f")</f>
        <v>42571</v>
      </c>
      <c r="S142" s="68">
        <f>_xll.qlInterpolationInterpolate(B6Minterpolation,R142,TRUE)</f>
        <v>3.8908006444875578E-3</v>
      </c>
    </row>
    <row r="143" spans="18:19" x14ac:dyDescent="0.2">
      <c r="R143" s="27">
        <f>_xll.qlCalendarAdvance(Calendar,R142,"1D","f")</f>
        <v>42572</v>
      </c>
      <c r="S143" s="68">
        <f>_xll.qlInterpolationInterpolate(B6Minterpolation,R143,TRUE)</f>
        <v>3.8898287127508372E-3</v>
      </c>
    </row>
    <row r="144" spans="18:19" x14ac:dyDescent="0.2">
      <c r="R144" s="27">
        <f>_xll.qlCalendarAdvance(Calendar,R143,"1D","f")</f>
        <v>42573</v>
      </c>
      <c r="S144" s="68">
        <f>_xll.qlInterpolationInterpolate(B6Minterpolation,R144,TRUE)</f>
        <v>3.8889581141909432E-3</v>
      </c>
    </row>
    <row r="145" spans="18:19" x14ac:dyDescent="0.2">
      <c r="R145" s="27">
        <f>_xll.qlCalendarAdvance(Calendar,R144,"1D","f")</f>
        <v>42576</v>
      </c>
      <c r="S145" s="68">
        <f>_xll.qlInterpolationInterpolate(B6Minterpolation,R145,TRUE)</f>
        <v>3.8869890609440627E-3</v>
      </c>
    </row>
    <row r="146" spans="18:19" x14ac:dyDescent="0.2">
      <c r="R146" s="27">
        <f>_xll.qlCalendarAdvance(Calendar,R145,"1D","f")</f>
        <v>42577</v>
      </c>
      <c r="S146" s="68">
        <f>_xll.qlInterpolationInterpolate(B6Minterpolation,R146,TRUE)</f>
        <v>3.8865585384633169E-3</v>
      </c>
    </row>
    <row r="147" spans="18:19" x14ac:dyDescent="0.2">
      <c r="R147" s="27">
        <f>_xll.qlCalendarAdvance(Calendar,R146,"1D","f")</f>
        <v>42578</v>
      </c>
      <c r="S147" s="68">
        <f>_xll.qlInterpolationInterpolate(B6Minterpolation,R147,TRUE)</f>
        <v>3.8862467208453182E-3</v>
      </c>
    </row>
    <row r="148" spans="18:19" x14ac:dyDescent="0.2">
      <c r="R148" s="27">
        <f>_xll.qlCalendarAdvance(Calendar,R147,"1D","f")</f>
        <v>42579</v>
      </c>
      <c r="S148" s="68">
        <f>_xll.qlInterpolationInterpolate(B6Minterpolation,R148,TRUE)</f>
        <v>3.8860570824272504E-3</v>
      </c>
    </row>
    <row r="149" spans="18:19" x14ac:dyDescent="0.2">
      <c r="R149" s="27">
        <f>_xll.qlCalendarAdvance(Calendar,R148,"1D","f")</f>
        <v>42580</v>
      </c>
      <c r="S149" s="68">
        <f>_xll.qlInterpolationInterpolate(B6Minterpolation,R149,TRUE)</f>
        <v>3.8859930975462982E-3</v>
      </c>
    </row>
    <row r="150" spans="18:19" x14ac:dyDescent="0.2">
      <c r="R150" s="27">
        <f>_xll.qlCalendarAdvance(Calendar,R149,"1D","f")</f>
        <v>42583</v>
      </c>
      <c r="S150" s="68">
        <f>_xll.qlInterpolationInterpolate(B6Minterpolation,R150,TRUE)</f>
        <v>3.886749693631745E-3</v>
      </c>
    </row>
    <row r="151" spans="18:19" x14ac:dyDescent="0.2">
      <c r="R151" s="27">
        <f>_xll.qlCalendarAdvance(Calendar,R150,"1D","f")</f>
        <v>42584</v>
      </c>
      <c r="S151" s="68">
        <f>_xll.qlInterpolationInterpolate(B6Minterpolation,R151,TRUE)</f>
        <v>3.8873168123872101E-3</v>
      </c>
    </row>
    <row r="152" spans="18:19" x14ac:dyDescent="0.2">
      <c r="R152" s="27">
        <f>_xll.qlCalendarAdvance(Calendar,R151,"1D","f")</f>
        <v>42585</v>
      </c>
      <c r="S152" s="68">
        <f>_xll.qlInterpolationInterpolate(B6Minterpolation,R152,TRUE)</f>
        <v>3.8880280506312405E-3</v>
      </c>
    </row>
    <row r="153" spans="18:19" x14ac:dyDescent="0.2">
      <c r="R153" s="27">
        <f>_xll.qlCalendarAdvance(Calendar,R152,"1D","f")</f>
        <v>42586</v>
      </c>
      <c r="S153" s="68">
        <f>_xll.qlInterpolationInterpolate(B6Minterpolation,R153,TRUE)</f>
        <v>3.88887540403888E-3</v>
      </c>
    </row>
    <row r="154" spans="18:19" x14ac:dyDescent="0.2">
      <c r="R154" s="27">
        <f>_xll.qlCalendarAdvance(Calendar,R153,"1D","f")</f>
        <v>42587</v>
      </c>
      <c r="S154" s="68">
        <f>_xll.qlInterpolationInterpolate(B6Minterpolation,R154,TRUE)</f>
        <v>3.8898508682851732E-3</v>
      </c>
    </row>
    <row r="155" spans="18:19" x14ac:dyDescent="0.2">
      <c r="R155" s="27">
        <f>_xll.qlCalendarAdvance(Calendar,R154,"1D","f")</f>
        <v>42590</v>
      </c>
      <c r="S155" s="68">
        <f>_xll.qlInterpolationInterpolate(B6Minterpolation,R155,TRUE)</f>
        <v>3.8934658828064135E-3</v>
      </c>
    </row>
    <row r="156" spans="18:19" x14ac:dyDescent="0.2">
      <c r="R156" s="27">
        <f>_xll.qlCalendarAdvance(Calendar,R155,"1D","f")</f>
        <v>42591</v>
      </c>
      <c r="S156" s="68">
        <f>_xll.qlInterpolationInterpolate(B6Minterpolation,R156,TRUE)</f>
        <v>3.8948737471577615E-3</v>
      </c>
    </row>
    <row r="157" spans="18:19" x14ac:dyDescent="0.2">
      <c r="R157" s="27">
        <f>_xll.qlCalendarAdvance(Calendar,R156,"1D","f")</f>
        <v>42592</v>
      </c>
      <c r="S157" s="68">
        <f>_xll.qlInterpolationInterpolate(B6Minterpolation,R157,TRUE)</f>
        <v>3.8963697007229838E-3</v>
      </c>
    </row>
    <row r="158" spans="18:19" x14ac:dyDescent="0.2">
      <c r="R158" s="27">
        <f>_xll.qlCalendarAdvance(Calendar,R157,"1D","f")</f>
        <v>42593</v>
      </c>
      <c r="S158" s="68">
        <f>_xll.qlInterpolationInterpolate(B6Minterpolation,R158,TRUE)</f>
        <v>3.8979457391771239E-3</v>
      </c>
    </row>
    <row r="159" spans="18:19" x14ac:dyDescent="0.2">
      <c r="R159" s="27">
        <f>_xll.qlCalendarAdvance(Calendar,R158,"1D","f")</f>
        <v>42594</v>
      </c>
      <c r="S159" s="68">
        <f>_xll.qlInterpolationInterpolate(B6Minterpolation,R159,TRUE)</f>
        <v>3.8995938581952269E-3</v>
      </c>
    </row>
    <row r="160" spans="18:19" x14ac:dyDescent="0.2">
      <c r="R160" s="27">
        <f>_xll.qlCalendarAdvance(Calendar,R159,"1D","f")</f>
        <v>42597</v>
      </c>
      <c r="S160" s="68">
        <f>_xll.qlInterpolationInterpolate(B6Minterpolation,R160,TRUE)</f>
        <v>3.904890655383751E-3</v>
      </c>
    </row>
    <row r="161" spans="18:19" x14ac:dyDescent="0.2">
      <c r="R161" s="27">
        <f>_xll.qlCalendarAdvance(Calendar,R160,"1D","f")</f>
        <v>42598</v>
      </c>
      <c r="S161" s="68">
        <f>_xll.qlInterpolationInterpolate(B6Minterpolation,R161,TRUE)</f>
        <v>3.9067470534081454E-3</v>
      </c>
    </row>
    <row r="162" spans="18:19" x14ac:dyDescent="0.2">
      <c r="R162" s="27">
        <f>_xll.qlCalendarAdvance(Calendar,R161,"1D","f")</f>
        <v>42599</v>
      </c>
      <c r="S162" s="68">
        <f>_xll.qlInterpolationInterpolate(B6Minterpolation,R162,TRUE)</f>
        <v>3.9086355103717229E-3</v>
      </c>
    </row>
    <row r="163" spans="18:19" x14ac:dyDescent="0.2">
      <c r="R163" s="27">
        <f>_xll.qlCalendarAdvance(Calendar,R162,"1D","f")</f>
        <v>42600</v>
      </c>
      <c r="S163" s="68">
        <f>_xll.qlInterpolationInterpolate(B6Minterpolation,R163,TRUE)</f>
        <v>3.9105480219495271E-3</v>
      </c>
    </row>
    <row r="164" spans="18:19" x14ac:dyDescent="0.2">
      <c r="R164" s="27">
        <f>_xll.qlCalendarAdvance(Calendar,R163,"1D","f")</f>
        <v>42601</v>
      </c>
      <c r="S164" s="68">
        <f>_xll.qlInterpolationInterpolate(B6Minterpolation,R164,TRUE)</f>
        <v>3.9124765838166034E-3</v>
      </c>
    </row>
    <row r="165" spans="18:19" x14ac:dyDescent="0.2">
      <c r="R165" s="27">
        <f>_xll.qlCalendarAdvance(Calendar,R164,"1D","f")</f>
        <v>42604</v>
      </c>
      <c r="S165" s="68">
        <f>_xll.qlInterpolationInterpolate(B6Minterpolation,R165,TRUE)</f>
        <v>3.9182785279039019E-3</v>
      </c>
    </row>
    <row r="166" spans="18:19" x14ac:dyDescent="0.2">
      <c r="R166" s="27">
        <f>_xll.qlCalendarAdvance(Calendar,R165,"1D","f")</f>
        <v>42605</v>
      </c>
      <c r="S166" s="68">
        <f>_xll.qlInterpolationInterpolate(B6Minterpolation,R166,TRUE)</f>
        <v>3.9201912476785053E-3</v>
      </c>
    </row>
    <row r="167" spans="18:19" x14ac:dyDescent="0.2">
      <c r="R167" s="27">
        <f>_xll.qlCalendarAdvance(Calendar,R166,"1D","f")</f>
        <v>42606</v>
      </c>
      <c r="S167" s="68">
        <f>_xll.qlInterpolationInterpolate(B6Minterpolation,R167,TRUE)</f>
        <v>3.9220799961176009E-3</v>
      </c>
    </row>
    <row r="168" spans="18:19" x14ac:dyDescent="0.2">
      <c r="R168" s="27">
        <f>_xll.qlCalendarAdvance(Calendar,R167,"1D","f")</f>
        <v>42607</v>
      </c>
      <c r="S168" s="68">
        <f>_xll.qlInterpolationInterpolate(B6Minterpolation,R168,TRUE)</f>
        <v>3.9239367688962334E-3</v>
      </c>
    </row>
    <row r="169" spans="18:19" x14ac:dyDescent="0.2">
      <c r="R169" s="27">
        <f>_xll.qlCalendarAdvance(Calendar,R168,"1D","f")</f>
        <v>42608</v>
      </c>
      <c r="S169" s="68">
        <f>_xll.qlInterpolationInterpolate(B6Minterpolation,R169,TRUE)</f>
        <v>3.9257535616894455E-3</v>
      </c>
    </row>
    <row r="170" spans="18:19" x14ac:dyDescent="0.2">
      <c r="R170" s="27">
        <f>_xll.qlCalendarAdvance(Calendar,R169,"1D","f")</f>
        <v>42612</v>
      </c>
      <c r="S170" s="68">
        <f>_xll.qlInterpolationInterpolate(B6Minterpolation,R170,TRUE)</f>
        <v>3.9324608465089849E-3</v>
      </c>
    </row>
    <row r="171" spans="18:19" x14ac:dyDescent="0.2">
      <c r="R171" s="27">
        <f>_xll.qlCalendarAdvance(Calendar,R170,"1D","f")</f>
        <v>42613</v>
      </c>
      <c r="S171" s="68">
        <f>_xll.qlInterpolationInterpolate(B6Minterpolation,R171,TRUE)</f>
        <v>3.9339576745007626E-3</v>
      </c>
    </row>
    <row r="172" spans="18:19" x14ac:dyDescent="0.2">
      <c r="R172" s="27">
        <f>_xll.qlCalendarAdvance(Calendar,R171,"1D","f")</f>
        <v>42614</v>
      </c>
      <c r="S172" s="68">
        <f>_xll.qlInterpolationInterpolate(B6Minterpolation,R172,TRUE)</f>
        <v>3.9353746219785903E-3</v>
      </c>
    </row>
    <row r="173" spans="18:19" x14ac:dyDescent="0.2">
      <c r="R173" s="27">
        <f>_xll.qlCalendarAdvance(Calendar,R172,"1D","f")</f>
        <v>42615</v>
      </c>
      <c r="S173" s="68">
        <f>_xll.qlInterpolationInterpolate(B6Minterpolation,R173,TRUE)</f>
        <v>3.9367223236830744E-3</v>
      </c>
    </row>
    <row r="174" spans="18:19" x14ac:dyDescent="0.2">
      <c r="R174" s="27">
        <f>_xll.qlCalendarAdvance(Calendar,R173,"1D","f")</f>
        <v>42618</v>
      </c>
      <c r="S174" s="68">
        <f>_xll.qlInterpolationInterpolate(B6Minterpolation,R174,TRUE)</f>
        <v>3.9404276155722735E-3</v>
      </c>
    </row>
    <row r="175" spans="18:19" x14ac:dyDescent="0.2">
      <c r="R175" s="27">
        <f>_xll.qlCalendarAdvance(Calendar,R174,"1D","f")</f>
        <v>42619</v>
      </c>
      <c r="S175" s="68">
        <f>_xll.qlInterpolationInterpolate(B6Minterpolation,R175,TRUE)</f>
        <v>3.94157599559919E-3</v>
      </c>
    </row>
    <row r="176" spans="18:19" x14ac:dyDescent="0.2">
      <c r="R176" s="27">
        <f>_xll.qlCalendarAdvance(Calendar,R175,"1D","f")</f>
        <v>42620</v>
      </c>
      <c r="S176" s="68">
        <f>_xll.qlInterpolationInterpolate(B6Minterpolation,R176,TRUE)</f>
        <v>3.9426939605606654E-3</v>
      </c>
    </row>
    <row r="177" spans="18:19" x14ac:dyDescent="0.2">
      <c r="R177" s="27">
        <f>_xll.qlCalendarAdvance(Calendar,R176,"1D","f")</f>
        <v>42621</v>
      </c>
      <c r="S177" s="68">
        <f>_xll.qlInterpolationInterpolate(B6Minterpolation,R177,TRUE)</f>
        <v>3.9437892765982821E-3</v>
      </c>
    </row>
    <row r="178" spans="18:19" x14ac:dyDescent="0.2">
      <c r="R178" s="27">
        <f>_xll.qlCalendarAdvance(Calendar,R177,"1D","f")</f>
        <v>42622</v>
      </c>
      <c r="S178" s="68">
        <f>_xll.qlInterpolationInterpolate(B6Minterpolation,R178,TRUE)</f>
        <v>3.9448697098536187E-3</v>
      </c>
    </row>
    <row r="179" spans="18:19" x14ac:dyDescent="0.2">
      <c r="R179" s="27">
        <f>_xll.qlCalendarAdvance(Calendar,R178,"1D","f")</f>
        <v>42625</v>
      </c>
      <c r="S179" s="68">
        <f>_xll.qlInterpolationInterpolate(B6Minterpolation,R179,TRUE)</f>
        <v>3.948099374341759E-3</v>
      </c>
    </row>
    <row r="180" spans="18:19" x14ac:dyDescent="0.2">
      <c r="R180" s="27">
        <f>_xll.qlCalendarAdvance(Calendar,R179,"1D","f")</f>
        <v>42626</v>
      </c>
      <c r="S180" s="68">
        <f>_xll.qlInterpolationInterpolate(B6Minterpolation,R180,TRUE)</f>
        <v>3.9491979378837843E-3</v>
      </c>
    </row>
    <row r="181" spans="18:19" x14ac:dyDescent="0.2">
      <c r="R181" s="27">
        <f>_xll.qlCalendarAdvance(Calendar,R180,"1D","f")</f>
        <v>42627</v>
      </c>
      <c r="S181" s="68">
        <f>_xll.qlInterpolationInterpolate(B6Minterpolation,R181,TRUE)</f>
        <v>3.950320449351433E-3</v>
      </c>
    </row>
    <row r="182" spans="18:19" x14ac:dyDescent="0.2">
      <c r="R182" s="27">
        <f>_xll.qlCalendarAdvance(Calendar,R181,"1D","f")</f>
        <v>42628</v>
      </c>
      <c r="S182" s="68">
        <f>_xll.qlInterpolationInterpolate(B6Minterpolation,R182,TRUE)</f>
        <v>3.9514746748862866E-3</v>
      </c>
    </row>
    <row r="183" spans="18:19" x14ac:dyDescent="0.2">
      <c r="R183" s="27">
        <f>_xll.qlCalendarAdvance(Calendar,R182,"1D","f")</f>
        <v>42629</v>
      </c>
      <c r="S183" s="68">
        <f>_xll.qlInterpolationInterpolate(B6Minterpolation,R183,TRUE)</f>
        <v>3.9526683806299246E-3</v>
      </c>
    </row>
    <row r="184" spans="18:19" x14ac:dyDescent="0.2">
      <c r="R184" s="27">
        <f>_xll.qlCalendarAdvance(Calendar,R183,"1D","f")</f>
        <v>42632</v>
      </c>
      <c r="S184" s="68">
        <f>_xll.qlInterpolationInterpolate(B6Minterpolation,R184,TRUE)</f>
        <v>3.9565640405293534E-3</v>
      </c>
    </row>
    <row r="185" spans="18:19" x14ac:dyDescent="0.2">
      <c r="R185" s="27">
        <f>_xll.qlCalendarAdvance(Calendar,R184,"1D","f")</f>
        <v>42633</v>
      </c>
      <c r="S185" s="68">
        <f>_xll.qlInterpolationInterpolate(B6Minterpolation,R185,TRUE)</f>
        <v>3.9579933285239371E-3</v>
      </c>
    </row>
    <row r="186" spans="18:19" x14ac:dyDescent="0.2">
      <c r="R186" s="27">
        <f>_xll.qlCalendarAdvance(Calendar,R185,"1D","f")</f>
        <v>42634</v>
      </c>
      <c r="S186" s="68">
        <f>_xll.qlInterpolationInterpolate(B6Minterpolation,R186,TRUE)</f>
        <v>3.959500927435208E-3</v>
      </c>
    </row>
    <row r="187" spans="18:19" x14ac:dyDescent="0.2">
      <c r="R187" s="27">
        <f>_xll.qlCalendarAdvance(Calendar,R186,"1D","f")</f>
        <v>42635</v>
      </c>
      <c r="S187" s="68">
        <f>_xll.qlInterpolationInterpolate(B6Minterpolation,R187,TRUE)</f>
        <v>3.9610946034047472E-3</v>
      </c>
    </row>
    <row r="188" spans="18:19" x14ac:dyDescent="0.2">
      <c r="R188" s="27">
        <f>_xll.qlCalendarAdvance(Calendar,R187,"1D","f")</f>
        <v>42636</v>
      </c>
      <c r="S188" s="68">
        <f>_xll.qlInterpolationInterpolate(B6Minterpolation,R188,TRUE)</f>
        <v>3.9627821225741355E-3</v>
      </c>
    </row>
    <row r="189" spans="18:19" x14ac:dyDescent="0.2">
      <c r="R189" s="27">
        <f>_xll.qlCalendarAdvance(Calendar,R188,"1D","f")</f>
        <v>42639</v>
      </c>
      <c r="S189" s="68">
        <f>_xll.qlInterpolationInterpolate(B6Minterpolation,R189,TRUE)</f>
        <v>3.9684854006971993E-3</v>
      </c>
    </row>
    <row r="190" spans="18:19" x14ac:dyDescent="0.2">
      <c r="R190" s="27">
        <f>_xll.qlCalendarAdvance(Calendar,R189,"1D","f")</f>
        <v>42640</v>
      </c>
      <c r="S190" s="68">
        <f>_xll.qlInterpolationInterpolate(B6Minterpolation,R190,TRUE)</f>
        <v>3.9706259540817895E-3</v>
      </c>
    </row>
    <row r="191" spans="18:19" x14ac:dyDescent="0.2">
      <c r="R191" s="27">
        <f>_xll.qlCalendarAdvance(Calendar,R190,"1D","f")</f>
        <v>42641</v>
      </c>
      <c r="S191" s="68">
        <f>_xll.qlInterpolationInterpolate(B6Minterpolation,R191,TRUE)</f>
        <v>3.9728991813741312E-3</v>
      </c>
    </row>
    <row r="192" spans="18:19" x14ac:dyDescent="0.2">
      <c r="R192" s="27">
        <f>_xll.qlCalendarAdvance(Calendar,R191,"1D","f")</f>
        <v>42642</v>
      </c>
      <c r="S192" s="68">
        <f>_xll.qlInterpolationInterpolate(B6Minterpolation,R192,TRUE)</f>
        <v>3.975312848715805E-3</v>
      </c>
    </row>
    <row r="193" spans="18:19" x14ac:dyDescent="0.2">
      <c r="R193" s="27">
        <f>_xll.qlCalendarAdvance(Calendar,R192,"1D","f")</f>
        <v>42643</v>
      </c>
      <c r="S193" s="68">
        <f>_xll.qlInterpolationInterpolate(B6Minterpolation,R193,TRUE)</f>
        <v>3.9778747222483923E-3</v>
      </c>
    </row>
    <row r="194" spans="18:19" x14ac:dyDescent="0.2">
      <c r="R194" s="27">
        <f>_xll.qlCalendarAdvance(Calendar,R193,"1D","f")</f>
        <v>42646</v>
      </c>
      <c r="S194" s="68">
        <f>_xll.qlInterpolationInterpolate(B6Minterpolation,R194,TRUE)</f>
        <v>3.9864423424236187E-3</v>
      </c>
    </row>
    <row r="195" spans="18:19" x14ac:dyDescent="0.2">
      <c r="R195" s="27">
        <f>_xll.qlCalendarAdvance(Calendar,R194,"1D","f")</f>
        <v>42647</v>
      </c>
      <c r="S195" s="68">
        <f>_xll.qlInterpolationInterpolate(B6Minterpolation,R195,TRUE)</f>
        <v>3.9895583590837625E-3</v>
      </c>
    </row>
    <row r="196" spans="18:19" x14ac:dyDescent="0.2">
      <c r="R196" s="27">
        <f>_xll.qlCalendarAdvance(Calendar,R195,"1D","f")</f>
        <v>42648</v>
      </c>
      <c r="S196" s="68">
        <f>_xll.qlInterpolationInterpolate(B6Minterpolation,R196,TRUE)</f>
        <v>3.9927859468793271E-3</v>
      </c>
    </row>
    <row r="197" spans="18:19" x14ac:dyDescent="0.2">
      <c r="R197" s="27">
        <f>_xll.qlCalendarAdvance(Calendar,R196,"1D","f")</f>
        <v>42649</v>
      </c>
      <c r="S197" s="68">
        <f>_xll.qlInterpolationInterpolate(B6Minterpolation,R197,TRUE)</f>
        <v>3.996114005511045E-3</v>
      </c>
    </row>
    <row r="198" spans="18:19" x14ac:dyDescent="0.2">
      <c r="R198" s="27">
        <f>_xll.qlCalendarAdvance(Calendar,R197,"1D","f")</f>
        <v>42650</v>
      </c>
      <c r="S198" s="68">
        <f>_xll.qlInterpolationInterpolate(B6Minterpolation,R198,TRUE)</f>
        <v>3.9995314346796462E-3</v>
      </c>
    </row>
    <row r="199" spans="18:19" x14ac:dyDescent="0.2">
      <c r="R199" s="27">
        <f>_xll.qlCalendarAdvance(Calendar,R198,"1D","f")</f>
        <v>42653</v>
      </c>
      <c r="S199" s="68">
        <f>_xll.qlInterpolationInterpolate(B6Minterpolation,R199,TRUE)</f>
        <v>4.0102089424140733E-3</v>
      </c>
    </row>
    <row r="200" spans="18:19" x14ac:dyDescent="0.2">
      <c r="R200" s="27">
        <f>_xll.qlCalendarAdvance(Calendar,R199,"1D","f")</f>
        <v>42654</v>
      </c>
      <c r="S200" s="68">
        <f>_xll.qlInterpolationInterpolate(B6Minterpolation,R200,TRUE)</f>
        <v>4.013872850737529E-3</v>
      </c>
    </row>
    <row r="201" spans="18:19" x14ac:dyDescent="0.2">
      <c r="R201" s="27">
        <f>_xll.qlCalendarAdvance(Calendar,R200,"1D","f")</f>
        <v>42655</v>
      </c>
      <c r="S201" s="68">
        <f>_xll.qlInterpolationInterpolate(B6Minterpolation,R201,TRUE)</f>
        <v>4.0175706281015272E-3</v>
      </c>
    </row>
    <row r="202" spans="18:19" x14ac:dyDescent="0.2">
      <c r="R202" s="27">
        <f>_xll.qlCalendarAdvance(Calendar,R201,"1D","f")</f>
        <v>42656</v>
      </c>
      <c r="S202" s="68">
        <f>_xll.qlInterpolationInterpolate(B6Minterpolation,R202,TRUE)</f>
        <v>4.0212911742068006E-3</v>
      </c>
    </row>
    <row r="203" spans="18:19" x14ac:dyDescent="0.2">
      <c r="R203" s="27">
        <f>_xll.qlCalendarAdvance(Calendar,R202,"1D","f")</f>
        <v>42657</v>
      </c>
      <c r="S203" s="68">
        <f>_xll.qlInterpolationInterpolate(B6Minterpolation,R203,TRUE)</f>
        <v>4.0250233887540801E-3</v>
      </c>
    </row>
    <row r="204" spans="18:19" x14ac:dyDescent="0.2">
      <c r="R204" s="27">
        <f>_xll.qlCalendarAdvance(Calendar,R203,"1D","f")</f>
        <v>42660</v>
      </c>
      <c r="S204" s="68">
        <f>_xll.qlInterpolationInterpolate(B6Minterpolation,R204,TRUE)</f>
        <v>4.0361790400552759E-3</v>
      </c>
    </row>
    <row r="205" spans="18:19" x14ac:dyDescent="0.2">
      <c r="R205" s="27">
        <f>_xll.qlCalendarAdvance(Calendar,R204,"1D","f")</f>
        <v>42661</v>
      </c>
      <c r="S205" s="68">
        <f>_xll.qlInterpolationInterpolate(B6Minterpolation,R205,TRUE)</f>
        <v>4.039846925377899E-3</v>
      </c>
    </row>
    <row r="206" spans="18:19" x14ac:dyDescent="0.2">
      <c r="R206" s="27">
        <f>_xll.qlCalendarAdvance(Calendar,R205,"1D","f")</f>
        <v>42662</v>
      </c>
      <c r="S206" s="68">
        <f>_xll.qlInterpolationInterpolate(B6Minterpolation,R206,TRUE)</f>
        <v>4.0434709776461875E-3</v>
      </c>
    </row>
    <row r="207" spans="18:19" x14ac:dyDescent="0.2">
      <c r="R207" s="27">
        <f>_xll.qlCalendarAdvance(Calendar,R206,"1D","f")</f>
        <v>42663</v>
      </c>
      <c r="S207" s="68">
        <f>_xll.qlInterpolationInterpolate(B6Minterpolation,R207,TRUE)</f>
        <v>4.047040096560873E-3</v>
      </c>
    </row>
    <row r="208" spans="18:19" x14ac:dyDescent="0.2">
      <c r="R208" s="27">
        <f>_xll.qlCalendarAdvance(Calendar,R207,"1D","f")</f>
        <v>42664</v>
      </c>
      <c r="S208" s="68">
        <f>_xll.qlInterpolationInterpolate(B6Minterpolation,R208,TRUE)</f>
        <v>4.0505431818226864E-3</v>
      </c>
    </row>
    <row r="209" spans="18:19" x14ac:dyDescent="0.2">
      <c r="R209" s="27">
        <f>_xll.qlCalendarAdvance(Calendar,R208,"1D","f")</f>
        <v>42667</v>
      </c>
      <c r="S209" s="68">
        <f>_xll.qlInterpolationInterpolate(B6Minterpolation,R209,TRUE)</f>
        <v>4.0605452326982188E-3</v>
      </c>
    </row>
    <row r="210" spans="18:19" x14ac:dyDescent="0.2">
      <c r="R210" s="27">
        <f>_xll.qlCalendarAdvance(Calendar,R209,"1D","f")</f>
        <v>42668</v>
      </c>
      <c r="S210" s="68">
        <f>_xll.qlInterpolationInterpolate(B6Minterpolation,R210,TRUE)</f>
        <v>4.0636731803558659E-3</v>
      </c>
    </row>
    <row r="211" spans="18:19" x14ac:dyDescent="0.2">
      <c r="R211" s="27">
        <f>_xll.qlCalendarAdvance(Calendar,R210,"1D","f")</f>
        <v>42669</v>
      </c>
      <c r="S211" s="68">
        <f>_xll.qlInterpolationInterpolate(B6Minterpolation,R211,TRUE)</f>
        <v>4.0666795928642994E-3</v>
      </c>
    </row>
    <row r="212" spans="18:19" x14ac:dyDescent="0.2">
      <c r="R212" s="27">
        <f>_xll.qlCalendarAdvance(Calendar,R211,"1D","f")</f>
        <v>42670</v>
      </c>
      <c r="S212" s="68">
        <f>_xll.qlInterpolationInterpolate(B6Minterpolation,R212,TRUE)</f>
        <v>4.0695533699242527E-3</v>
      </c>
    </row>
    <row r="213" spans="18:19" x14ac:dyDescent="0.2">
      <c r="R213" s="27">
        <f>_xll.qlCalendarAdvance(Calendar,R212,"1D","f")</f>
        <v>42671</v>
      </c>
      <c r="S213" s="68">
        <f>_xll.qlInterpolationInterpolate(B6Minterpolation,R213,TRUE)</f>
        <v>4.0722834112364575E-3</v>
      </c>
    </row>
    <row r="214" spans="18:19" x14ac:dyDescent="0.2">
      <c r="R214" s="27">
        <f>_xll.qlCalendarAdvance(Calendar,R213,"1D","f")</f>
        <v>42674</v>
      </c>
      <c r="S214" s="68">
        <f>_xll.qlInterpolationInterpolate(B6Minterpolation,R214,TRUE)</f>
        <v>4.0795001176938944E-3</v>
      </c>
    </row>
    <row r="215" spans="18:19" x14ac:dyDescent="0.2">
      <c r="R215" s="27">
        <f>_xll.qlCalendarAdvance(Calendar,R214,"1D","f")</f>
        <v>42675</v>
      </c>
      <c r="S215" s="68">
        <f>_xll.qlInterpolationInterpolate(B6Minterpolation,R215,TRUE)</f>
        <v>4.0815467623712886E-3</v>
      </c>
    </row>
    <row r="216" spans="18:19" x14ac:dyDescent="0.2">
      <c r="R216" s="27">
        <f>_xll.qlCalendarAdvance(Calendar,R215,"1D","f")</f>
        <v>42676</v>
      </c>
      <c r="S216" s="68">
        <f>_xll.qlInterpolationInterpolate(B6Minterpolation,R216,TRUE)</f>
        <v>4.0834094658977992E-3</v>
      </c>
    </row>
    <row r="217" spans="18:19" x14ac:dyDescent="0.2">
      <c r="R217" s="27">
        <f>_xll.qlCalendarAdvance(Calendar,R216,"1D","f")</f>
        <v>42677</v>
      </c>
      <c r="S217" s="68">
        <f>_xll.qlInterpolationInterpolate(B6Minterpolation,R217,TRUE)</f>
        <v>4.0850924240673657E-3</v>
      </c>
    </row>
    <row r="218" spans="18:19" x14ac:dyDescent="0.2">
      <c r="R218" s="27">
        <f>_xll.qlCalendarAdvance(Calendar,R217,"1D","f")</f>
        <v>42678</v>
      </c>
      <c r="S218" s="68">
        <f>_xll.qlInterpolationInterpolate(B6Minterpolation,R218,TRUE)</f>
        <v>4.0865998326739261E-3</v>
      </c>
    </row>
    <row r="219" spans="18:19" x14ac:dyDescent="0.2">
      <c r="R219" s="27">
        <f>_xll.qlCalendarAdvance(Calendar,R218,"1D","f")</f>
        <v>42681</v>
      </c>
      <c r="S219" s="68">
        <f>_xll.qlInterpolationInterpolate(B6Minterpolation,R219,TRUE)</f>
        <v>4.0901107190549632E-3</v>
      </c>
    </row>
    <row r="220" spans="18:19" x14ac:dyDescent="0.2">
      <c r="R220" s="27">
        <f>_xll.qlCalendarAdvance(Calendar,R219,"1D","f")</f>
        <v>42682</v>
      </c>
      <c r="S220" s="68">
        <f>_xll.qlInterpolationInterpolate(B6Minterpolation,R220,TRUE)</f>
        <v>4.0909578873488898E-3</v>
      </c>
    </row>
    <row r="221" spans="18:19" x14ac:dyDescent="0.2">
      <c r="R221" s="27">
        <f>_xll.qlCalendarAdvance(Calendar,R220,"1D","f")</f>
        <v>42683</v>
      </c>
      <c r="S221" s="68">
        <f>_xll.qlInterpolationInterpolate(B6Minterpolation,R221,TRUE)</f>
        <v>4.0916504850495054E-3</v>
      </c>
    </row>
    <row r="222" spans="18:19" x14ac:dyDescent="0.2">
      <c r="R222" s="27">
        <f>_xll.qlCalendarAdvance(Calendar,R221,"1D","f")</f>
        <v>42684</v>
      </c>
      <c r="S222" s="68">
        <f>_xll.qlInterpolationInterpolate(B6Minterpolation,R222,TRUE)</f>
        <v>4.0921927079507472E-3</v>
      </c>
    </row>
    <row r="223" spans="18:19" x14ac:dyDescent="0.2">
      <c r="R223" s="27">
        <f>_xll.qlCalendarAdvance(Calendar,R222,"1D","f")</f>
        <v>42685</v>
      </c>
      <c r="S223" s="68">
        <f>_xll.qlInterpolationInterpolate(B6Minterpolation,R223,TRUE)</f>
        <v>4.0925887518465558E-3</v>
      </c>
    </row>
    <row r="224" spans="18:19" x14ac:dyDescent="0.2">
      <c r="R224" s="27">
        <f>_xll.qlCalendarAdvance(Calendar,R223,"1D","f")</f>
        <v>42688</v>
      </c>
      <c r="S224" s="68">
        <f>_xll.qlInterpolationInterpolate(B6Minterpolation,R224,TRUE)</f>
        <v>4.0929417674407664E-3</v>
      </c>
    </row>
    <row r="225" spans="18:19" x14ac:dyDescent="0.2">
      <c r="R225" s="27">
        <f>_xll.qlCalendarAdvance(Calendar,R224,"1D","f")</f>
        <v>42689</v>
      </c>
      <c r="S225" s="68">
        <f>_xll.qlInterpolationInterpolate(B6Minterpolation,R225,TRUE)</f>
        <v>4.0927950532542272E-3</v>
      </c>
    </row>
    <row r="226" spans="18:19" x14ac:dyDescent="0.2">
      <c r="R226" s="27">
        <f>_xll.qlCalendarAdvance(Calendar,R225,"1D","f")</f>
        <v>42690</v>
      </c>
      <c r="S226" s="68">
        <f>_xll.qlInterpolationInterpolate(B6Minterpolation,R226,TRUE)</f>
        <v>4.0925231390319481E-3</v>
      </c>
    </row>
    <row r="227" spans="18:19" x14ac:dyDescent="0.2">
      <c r="R227" s="27">
        <f>_xll.qlCalendarAdvance(Calendar,R226,"1D","f")</f>
        <v>42691</v>
      </c>
      <c r="S227" s="68">
        <f>_xll.qlInterpolationInterpolate(B6Minterpolation,R227,TRUE)</f>
        <v>4.092130220567868E-3</v>
      </c>
    </row>
    <row r="228" spans="18:19" x14ac:dyDescent="0.2">
      <c r="R228" s="27">
        <f>_xll.qlCalendarAdvance(Calendar,R227,"1D","f")</f>
        <v>42692</v>
      </c>
      <c r="S228" s="68">
        <f>_xll.qlInterpolationInterpolate(B6Minterpolation,R228,TRUE)</f>
        <v>4.091620493655925E-3</v>
      </c>
    </row>
    <row r="229" spans="18:19" x14ac:dyDescent="0.2">
      <c r="R229" s="27">
        <f>_xll.qlCalendarAdvance(Calendar,R228,"1D","f")</f>
        <v>42695</v>
      </c>
      <c r="S229" s="68">
        <f>_xll.qlInterpolationInterpolate(B6Minterpolation,R229,TRUE)</f>
        <v>4.0894324201723115E-3</v>
      </c>
    </row>
    <row r="230" spans="18:19" x14ac:dyDescent="0.2">
      <c r="R230" s="27">
        <f>_xll.qlCalendarAdvance(Calendar,R229,"1D","f")</f>
        <v>42696</v>
      </c>
      <c r="S230" s="68">
        <f>_xll.qlInterpolationInterpolate(B6Minterpolation,R230,TRUE)</f>
        <v>4.0884974174083084E-3</v>
      </c>
    </row>
    <row r="231" spans="18:19" x14ac:dyDescent="0.2">
      <c r="R231" s="27">
        <f>_xll.qlCalendarAdvance(Calendar,R230,"1D","f")</f>
        <v>42697</v>
      </c>
      <c r="S231" s="68">
        <f>_xll.qlInterpolationInterpolate(B6Minterpolation,R231,TRUE)</f>
        <v>4.0874665851661366E-3</v>
      </c>
    </row>
    <row r="232" spans="18:19" x14ac:dyDescent="0.2">
      <c r="R232" s="27">
        <f>_xll.qlCalendarAdvance(Calendar,R231,"1D","f")</f>
        <v>42698</v>
      </c>
      <c r="S232" s="68">
        <f>_xll.qlInterpolationInterpolate(B6Minterpolation,R232,TRUE)</f>
        <v>4.0863441192397348E-3</v>
      </c>
    </row>
    <row r="233" spans="18:19" x14ac:dyDescent="0.2">
      <c r="R233" s="27">
        <f>_xll.qlCalendarAdvance(Calendar,R232,"1D","f")</f>
        <v>42699</v>
      </c>
      <c r="S233" s="68">
        <f>_xll.qlInterpolationInterpolate(B6Minterpolation,R233,TRUE)</f>
        <v>4.0851342154230429E-3</v>
      </c>
    </row>
    <row r="234" spans="18:19" x14ac:dyDescent="0.2">
      <c r="R234" s="27">
        <f>_xll.qlCalendarAdvance(Calendar,R233,"1D","f")</f>
        <v>42702</v>
      </c>
      <c r="S234" s="68">
        <f>_xll.qlInterpolationInterpolate(B6Minterpolation,R234,TRUE)</f>
        <v>4.0810218345706103E-3</v>
      </c>
    </row>
    <row r="235" spans="18:19" x14ac:dyDescent="0.2">
      <c r="R235" s="27">
        <f>_xll.qlCalendarAdvance(Calendar,R234,"1D","f")</f>
        <v>42703</v>
      </c>
      <c r="S235" s="68">
        <f>_xll.qlInterpolationInterpolate(B6Minterpolation,R235,TRUE)</f>
        <v>4.0795041371321436E-3</v>
      </c>
    </row>
    <row r="236" spans="18:19" x14ac:dyDescent="0.2">
      <c r="R236" s="27">
        <f>_xll.qlCalendarAdvance(Calendar,R235,"1D","f")</f>
        <v>42704</v>
      </c>
      <c r="S236" s="68">
        <f>_xll.qlInterpolationInterpolate(B6Minterpolation,R236,TRUE)</f>
        <v>4.0779199807730801E-3</v>
      </c>
    </row>
    <row r="237" spans="18:19" x14ac:dyDescent="0.2">
      <c r="R237" s="27">
        <f>_xll.qlCalendarAdvance(Calendar,R236,"1D","f")</f>
        <v>42705</v>
      </c>
      <c r="S237" s="68">
        <f>_xll.qlInterpolationInterpolate(B6Minterpolation,R237,TRUE)</f>
        <v>4.0762735612873587E-3</v>
      </c>
    </row>
    <row r="238" spans="18:19" x14ac:dyDescent="0.2">
      <c r="R238" s="27">
        <f>_xll.qlCalendarAdvance(Calendar,R237,"1D","f")</f>
        <v>42706</v>
      </c>
      <c r="S238" s="68">
        <f>_xll.qlInterpolationInterpolate(B6Minterpolation,R238,TRUE)</f>
        <v>4.0745690744689181E-3</v>
      </c>
    </row>
    <row r="239" spans="18:19" x14ac:dyDescent="0.2">
      <c r="R239" s="27">
        <f>_xll.qlCalendarAdvance(Calendar,R238,"1D","f")</f>
        <v>42709</v>
      </c>
      <c r="S239" s="68">
        <f>_xll.qlInterpolationInterpolate(B6Minterpolation,R239,TRUE)</f>
        <v>4.0691491679566713E-3</v>
      </c>
    </row>
    <row r="240" spans="18:19" x14ac:dyDescent="0.2">
      <c r="R240" s="27">
        <f>_xll.qlCalendarAdvance(Calendar,R239,"1D","f")</f>
        <v>42710</v>
      </c>
      <c r="S240" s="68">
        <f>_xll.qlInterpolationInterpolate(B6Minterpolation,R240,TRUE)</f>
        <v>4.067254369746743E-3</v>
      </c>
    </row>
    <row r="241" spans="18:19" x14ac:dyDescent="0.2">
      <c r="R241" s="27">
        <f>_xll.qlCalendarAdvance(Calendar,R240,"1D","f")</f>
        <v>42711</v>
      </c>
      <c r="S241" s="68">
        <f>_xll.qlInterpolationInterpolate(B6Minterpolation,R241,TRUE)</f>
        <v>4.0653224831737889E-3</v>
      </c>
    </row>
    <row r="242" spans="18:19" x14ac:dyDescent="0.2">
      <c r="R242" s="27">
        <f>_xll.qlCalendarAdvance(Calendar,R241,"1D","f")</f>
        <v>42712</v>
      </c>
      <c r="S242" s="68">
        <f>_xll.qlInterpolationInterpolate(B6Minterpolation,R242,TRUE)</f>
        <v>4.0633577040317496E-3</v>
      </c>
    </row>
    <row r="243" spans="18:19" x14ac:dyDescent="0.2">
      <c r="R243" s="27">
        <f>_xll.qlCalendarAdvance(Calendar,R242,"1D","f")</f>
        <v>42713</v>
      </c>
      <c r="S243" s="68">
        <f>_xll.qlInterpolationInterpolate(B6Minterpolation,R243,TRUE)</f>
        <v>4.0613642281145616E-3</v>
      </c>
    </row>
    <row r="244" spans="18:19" x14ac:dyDescent="0.2">
      <c r="R244" s="27">
        <f>_xll.qlCalendarAdvance(Calendar,R243,"1D","f")</f>
        <v>42716</v>
      </c>
      <c r="S244" s="68">
        <f>_xll.qlInterpolationInterpolate(B6Minterpolation,R244,TRUE)</f>
        <v>4.0552535776515039E-3</v>
      </c>
    </row>
    <row r="245" spans="18:19" x14ac:dyDescent="0.2">
      <c r="R245" s="27">
        <f>_xll.qlCalendarAdvance(Calendar,R244,"1D","f")</f>
        <v>42717</v>
      </c>
      <c r="S245" s="68">
        <f>_xll.qlInterpolationInterpolate(B6Minterpolation,R245,TRUE)</f>
        <v>4.0531872725731149E-3</v>
      </c>
    </row>
    <row r="246" spans="18:19" x14ac:dyDescent="0.2">
      <c r="R246" s="27">
        <f>_xll.qlCalendarAdvance(Calendar,R245,"1D","f")</f>
        <v>42718</v>
      </c>
      <c r="S246" s="68">
        <f>_xll.qlInterpolationInterpolate(B6Minterpolation,R246,TRUE)</f>
        <v>4.0511132496892721E-3</v>
      </c>
    </row>
    <row r="247" spans="18:19" x14ac:dyDescent="0.2">
      <c r="R247" s="27">
        <f>_xll.qlCalendarAdvance(Calendar,R246,"1D","f")</f>
        <v>42719</v>
      </c>
      <c r="S247" s="68">
        <f>_xll.qlInterpolationInterpolate(B6Minterpolation,R247,TRUE)</f>
        <v>4.0490357047939154E-3</v>
      </c>
    </row>
    <row r="248" spans="18:19" x14ac:dyDescent="0.2">
      <c r="R248" s="27">
        <f>_xll.qlCalendarAdvance(Calendar,R247,"1D","f")</f>
        <v>42720</v>
      </c>
      <c r="S248" s="68">
        <f>_xll.qlInterpolationInterpolate(B6Minterpolation,R248,TRUE)</f>
        <v>4.0469588336809826E-3</v>
      </c>
    </row>
    <row r="249" spans="18:19" x14ac:dyDescent="0.2">
      <c r="R249" s="27">
        <f>_xll.qlCalendarAdvance(Calendar,R248,"1D","f")</f>
        <v>42723</v>
      </c>
      <c r="S249" s="68">
        <f>_xll.qlInterpolationInterpolate(B6Minterpolation,R249,TRUE)</f>
        <v>4.0407742209761172E-3</v>
      </c>
    </row>
    <row r="250" spans="18:19" x14ac:dyDescent="0.2">
      <c r="R250" s="27">
        <f>_xll.qlCalendarAdvance(Calendar,R249,"1D","f")</f>
        <v>42724</v>
      </c>
      <c r="S250" s="68">
        <f>_xll.qlInterpolationInterpolate(B6Minterpolation,R250,TRUE)</f>
        <v>4.0387420029322696E-3</v>
      </c>
    </row>
    <row r="251" spans="18:19" x14ac:dyDescent="0.2">
      <c r="R251" s="27">
        <f>_xll.qlCalendarAdvance(Calendar,R250,"1D","f")</f>
        <v>42725</v>
      </c>
      <c r="S251" s="68">
        <f>_xll.qlInterpolationInterpolate(B6Minterpolation,R251,TRUE)</f>
        <v>4.0367314376405393E-3</v>
      </c>
    </row>
    <row r="252" spans="18:19" x14ac:dyDescent="0.2">
      <c r="R252" s="27">
        <f>_xll.qlCalendarAdvance(Calendar,R251,"1D","f")</f>
        <v>42726</v>
      </c>
      <c r="S252" s="68">
        <f>_xll.qlInterpolationInterpolate(B6Minterpolation,R252,TRUE)</f>
        <v>4.0347467208948669E-3</v>
      </c>
    </row>
    <row r="253" spans="18:19" x14ac:dyDescent="0.2">
      <c r="R253" s="27">
        <f>_xll.qlCalendarAdvance(Calendar,R252,"1D","f")</f>
        <v>42727</v>
      </c>
      <c r="S253" s="68">
        <f>_xll.qlInterpolationInterpolate(B6Minterpolation,R253,TRUE)</f>
        <v>4.0327920484891895E-3</v>
      </c>
    </row>
    <row r="254" spans="18:19" x14ac:dyDescent="0.2">
      <c r="R254" s="27">
        <f>_xll.qlCalendarAdvance(Calendar,R253,"1D","f")</f>
        <v>42732</v>
      </c>
      <c r="S254" s="68">
        <f>_xll.qlInterpolationInterpolate(B6Minterpolation,R254,TRUE)</f>
        <v>4.0236162043486004E-3</v>
      </c>
    </row>
    <row r="255" spans="18:19" x14ac:dyDescent="0.2">
      <c r="R255" s="27">
        <f>_xll.qlCalendarAdvance(Calendar,R254,"1D","f")</f>
        <v>42733</v>
      </c>
      <c r="S255" s="68">
        <f>_xll.qlInterpolationInterpolate(B6Minterpolation,R255,TRUE)</f>
        <v>4.0219299096556135E-3</v>
      </c>
    </row>
    <row r="256" spans="18:19" x14ac:dyDescent="0.2">
      <c r="R256" s="27">
        <f>_xll.qlCalendarAdvance(Calendar,R255,"1D","f")</f>
        <v>42734</v>
      </c>
      <c r="S256" s="68">
        <f>_xll.qlInterpolationInterpolate(B6Minterpolation,R256,TRUE)</f>
        <v>4.0203030298601936E-3</v>
      </c>
    </row>
    <row r="257" spans="18:19" x14ac:dyDescent="0.2">
      <c r="R257" s="27">
        <f>_xll.qlCalendarAdvance(Calendar,R256,"1D","f")</f>
        <v>42738</v>
      </c>
      <c r="S257" s="68">
        <f>_xll.qlInterpolationInterpolate(B6Minterpolation,R257,TRUE)</f>
        <v>4.0144164389029928E-3</v>
      </c>
    </row>
    <row r="258" spans="18:19" x14ac:dyDescent="0.2">
      <c r="R258" s="27">
        <f>_xll.qlCalendarAdvance(Calendar,R257,"1D","f")</f>
        <v>42739</v>
      </c>
      <c r="S258" s="68">
        <f>_xll.qlInterpolationInterpolate(B6Minterpolation,R258,TRUE)</f>
        <v>4.0130951121540503E-3</v>
      </c>
    </row>
    <row r="259" spans="18:19" x14ac:dyDescent="0.2">
      <c r="R259" s="27">
        <f>_xll.qlCalendarAdvance(Calendar,R258,"1D","f")</f>
        <v>42740</v>
      </c>
      <c r="S259" s="68">
        <f>_xll.qlInterpolationInterpolate(B6Minterpolation,R259,TRUE)</f>
        <v>4.0118315922710078E-3</v>
      </c>
    </row>
    <row r="260" spans="18:19" x14ac:dyDescent="0.2">
      <c r="R260" s="27">
        <f>_xll.qlCalendarAdvance(Calendar,R259,"1D","f")</f>
        <v>42741</v>
      </c>
      <c r="S260" s="68">
        <f>_xll.qlInterpolationInterpolate(B6Minterpolation,R260,TRUE)</f>
        <v>4.0106247184887459E-3</v>
      </c>
    </row>
    <row r="261" spans="18:19" x14ac:dyDescent="0.2">
      <c r="R261" s="27">
        <f>_xll.qlCalendarAdvance(Calendar,R260,"1D","f")</f>
        <v>42744</v>
      </c>
      <c r="S261" s="68">
        <f>_xll.qlInterpolationInterpolate(B6Minterpolation,R261,TRUE)</f>
        <v>4.0073323660954263E-3</v>
      </c>
    </row>
    <row r="262" spans="18:19" x14ac:dyDescent="0.2">
      <c r="R262" s="71">
        <f>_xll.qlCalendarAdvance(Calendar,R261,"1D","f")</f>
        <v>42745</v>
      </c>
      <c r="S262" s="214">
        <f>_xll.qlInterpolationInterpolate(B6Minterpolation,R262,TRUE)</f>
        <v>4.0063404690650721E-3</v>
      </c>
    </row>
    <row r="263" spans="18:19" x14ac:dyDescent="0.2">
      <c r="R263" s="149"/>
      <c r="S263" s="151"/>
    </row>
    <row r="264" spans="18:19" x14ac:dyDescent="0.2">
      <c r="R264" s="149"/>
      <c r="S264" s="151"/>
    </row>
    <row r="265" spans="18:19" x14ac:dyDescent="0.2">
      <c r="R265" s="149"/>
      <c r="S265" s="151"/>
    </row>
    <row r="266" spans="18:19" x14ac:dyDescent="0.2">
      <c r="R266" s="149"/>
      <c r="S266" s="151"/>
    </row>
    <row r="267" spans="18:19" x14ac:dyDescent="0.2">
      <c r="R267" s="149"/>
      <c r="S267" s="151"/>
    </row>
    <row r="268" spans="18:19" x14ac:dyDescent="0.2">
      <c r="R268" s="149"/>
      <c r="S268" s="151"/>
    </row>
    <row r="269" spans="18:19" x14ac:dyDescent="0.2">
      <c r="R269" s="149"/>
      <c r="S269" s="151"/>
    </row>
    <row r="270" spans="18:19" x14ac:dyDescent="0.2">
      <c r="R270" s="149"/>
      <c r="S270" s="151"/>
    </row>
    <row r="271" spans="18:19" x14ac:dyDescent="0.2">
      <c r="R271" s="149"/>
      <c r="S271" s="151"/>
    </row>
    <row r="272" spans="18:19" x14ac:dyDescent="0.2">
      <c r="R272" s="149"/>
      <c r="S272" s="151"/>
    </row>
    <row r="273" spans="18:19" x14ac:dyDescent="0.2">
      <c r="R273" s="149"/>
      <c r="S273" s="151"/>
    </row>
    <row r="274" spans="18:19" x14ac:dyDescent="0.2">
      <c r="R274" s="149"/>
      <c r="S274" s="151"/>
    </row>
    <row r="275" spans="18:19" x14ac:dyDescent="0.2">
      <c r="R275" s="149"/>
      <c r="S275" s="151"/>
    </row>
    <row r="276" spans="18:19" x14ac:dyDescent="0.2">
      <c r="R276" s="149"/>
      <c r="S276" s="151"/>
    </row>
    <row r="277" spans="18:19" x14ac:dyDescent="0.2">
      <c r="R277" s="149"/>
      <c r="S277" s="151"/>
    </row>
    <row r="278" spans="18:19" x14ac:dyDescent="0.2">
      <c r="R278" s="149"/>
      <c r="S278" s="151"/>
    </row>
    <row r="279" spans="18:19" x14ac:dyDescent="0.2">
      <c r="R279" s="149"/>
      <c r="S279" s="151"/>
    </row>
    <row r="280" spans="18:19" x14ac:dyDescent="0.2">
      <c r="R280" s="149"/>
      <c r="S280" s="151"/>
    </row>
    <row r="281" spans="18:19" x14ac:dyDescent="0.2">
      <c r="R281" s="149"/>
      <c r="S281" s="151"/>
    </row>
    <row r="282" spans="18:19" x14ac:dyDescent="0.2">
      <c r="R282" s="149"/>
      <c r="S282" s="151"/>
    </row>
    <row r="283" spans="18:19" x14ac:dyDescent="0.2">
      <c r="R283" s="149"/>
      <c r="S283" s="151"/>
    </row>
    <row r="284" spans="18:19" x14ac:dyDescent="0.2">
      <c r="R284" s="149"/>
      <c r="S284" s="151"/>
    </row>
    <row r="285" spans="18:19" x14ac:dyDescent="0.2">
      <c r="R285" s="149"/>
      <c r="S285" s="151"/>
    </row>
    <row r="286" spans="18:19" x14ac:dyDescent="0.2">
      <c r="R286" s="149"/>
      <c r="S286" s="151"/>
    </row>
    <row r="287" spans="18:19" x14ac:dyDescent="0.2">
      <c r="R287" s="149"/>
      <c r="S287" s="151"/>
    </row>
    <row r="288" spans="18:19" x14ac:dyDescent="0.2">
      <c r="R288" s="149"/>
      <c r="S288" s="151"/>
    </row>
    <row r="289" spans="18:19" x14ac:dyDescent="0.2">
      <c r="R289" s="149"/>
      <c r="S289" s="151"/>
    </row>
    <row r="290" spans="18:19" x14ac:dyDescent="0.2">
      <c r="R290" s="149"/>
      <c r="S290" s="151"/>
    </row>
    <row r="291" spans="18:19" x14ac:dyDescent="0.2">
      <c r="R291" s="149"/>
      <c r="S291" s="151"/>
    </row>
    <row r="292" spans="18:19" x14ac:dyDescent="0.2">
      <c r="R292" s="149"/>
      <c r="S292" s="151"/>
    </row>
    <row r="293" spans="18:19" x14ac:dyDescent="0.2">
      <c r="R293" s="149"/>
      <c r="S293" s="151"/>
    </row>
    <row r="294" spans="18:19" x14ac:dyDescent="0.2">
      <c r="R294" s="149"/>
      <c r="S294" s="151"/>
    </row>
    <row r="295" spans="18:19" x14ac:dyDescent="0.2">
      <c r="R295" s="149"/>
      <c r="S295" s="151"/>
    </row>
    <row r="296" spans="18:19" x14ac:dyDescent="0.2">
      <c r="R296" s="149"/>
      <c r="S296" s="151"/>
    </row>
    <row r="297" spans="18:19" x14ac:dyDescent="0.2">
      <c r="R297" s="149"/>
      <c r="S297" s="151"/>
    </row>
    <row r="298" spans="18:19" x14ac:dyDescent="0.2">
      <c r="R298" s="149"/>
      <c r="S298" s="151"/>
    </row>
    <row r="299" spans="18:19" x14ac:dyDescent="0.2">
      <c r="R299" s="149"/>
      <c r="S299" s="151"/>
    </row>
    <row r="300" spans="18:19" x14ac:dyDescent="0.2">
      <c r="R300" s="149"/>
      <c r="S300" s="151"/>
    </row>
    <row r="301" spans="18:19" x14ac:dyDescent="0.2">
      <c r="R301" s="149"/>
      <c r="S301" s="151"/>
    </row>
    <row r="302" spans="18:19" x14ac:dyDescent="0.2">
      <c r="R302" s="149"/>
      <c r="S302" s="151"/>
    </row>
    <row r="303" spans="18:19" x14ac:dyDescent="0.2">
      <c r="R303" s="149"/>
      <c r="S303" s="151"/>
    </row>
    <row r="304" spans="18:19" x14ac:dyDescent="0.2">
      <c r="R304" s="149"/>
      <c r="S304" s="151"/>
    </row>
    <row r="305" spans="18:19" x14ac:dyDescent="0.2">
      <c r="R305" s="149"/>
      <c r="S305" s="151"/>
    </row>
    <row r="306" spans="18:19" x14ac:dyDescent="0.2">
      <c r="R306" s="149"/>
      <c r="S306" s="151"/>
    </row>
    <row r="307" spans="18:19" x14ac:dyDescent="0.2">
      <c r="R307" s="149"/>
      <c r="S307" s="151"/>
    </row>
    <row r="308" spans="18:19" x14ac:dyDescent="0.2">
      <c r="R308" s="149"/>
      <c r="S308" s="151"/>
    </row>
    <row r="309" spans="18:19" x14ac:dyDescent="0.2">
      <c r="R309" s="149"/>
      <c r="S309" s="151"/>
    </row>
    <row r="310" spans="18:19" x14ac:dyDescent="0.2">
      <c r="R310" s="149"/>
      <c r="S310" s="151"/>
    </row>
    <row r="311" spans="18:19" x14ac:dyDescent="0.2">
      <c r="R311" s="149"/>
      <c r="S311" s="151"/>
    </row>
    <row r="312" spans="18:19" x14ac:dyDescent="0.2">
      <c r="R312" s="149"/>
      <c r="S312" s="151"/>
    </row>
    <row r="313" spans="18:19" x14ac:dyDescent="0.2">
      <c r="R313" s="149"/>
      <c r="S313" s="151"/>
    </row>
    <row r="314" spans="18:19" x14ac:dyDescent="0.2">
      <c r="R314" s="149"/>
      <c r="S314" s="151"/>
    </row>
    <row r="315" spans="18:19" x14ac:dyDescent="0.2">
      <c r="R315" s="149"/>
      <c r="S315" s="151"/>
    </row>
    <row r="316" spans="18:19" x14ac:dyDescent="0.2">
      <c r="R316" s="149"/>
      <c r="S316" s="151"/>
    </row>
    <row r="317" spans="18:19" x14ac:dyDescent="0.2">
      <c r="R317" s="149"/>
      <c r="S317" s="151"/>
    </row>
    <row r="318" spans="18:19" x14ac:dyDescent="0.2">
      <c r="R318" s="149"/>
      <c r="S318" s="151"/>
    </row>
    <row r="319" spans="18:19" x14ac:dyDescent="0.2">
      <c r="R319" s="149"/>
      <c r="S319" s="151"/>
    </row>
    <row r="320" spans="18:19" x14ac:dyDescent="0.2">
      <c r="R320" s="149"/>
      <c r="S320" s="151"/>
    </row>
    <row r="321" spans="18:19" x14ac:dyDescent="0.2">
      <c r="R321" s="149"/>
      <c r="S321" s="151"/>
    </row>
    <row r="322" spans="18:19" x14ac:dyDescent="0.2">
      <c r="R322" s="149"/>
      <c r="S322" s="151"/>
    </row>
    <row r="323" spans="18:19" x14ac:dyDescent="0.2">
      <c r="R323" s="149"/>
      <c r="S323" s="151"/>
    </row>
    <row r="324" spans="18:19" x14ac:dyDescent="0.2">
      <c r="R324" s="149"/>
      <c r="S324" s="151"/>
    </row>
    <row r="325" spans="18:19" x14ac:dyDescent="0.2">
      <c r="R325" s="149"/>
      <c r="S325" s="151"/>
    </row>
    <row r="326" spans="18:19" x14ac:dyDescent="0.2">
      <c r="R326" s="149"/>
      <c r="S326" s="151"/>
    </row>
    <row r="327" spans="18:19" x14ac:dyDescent="0.2">
      <c r="R327" s="149"/>
      <c r="S327" s="151"/>
    </row>
    <row r="328" spans="18:19" x14ac:dyDescent="0.2">
      <c r="R328" s="149"/>
      <c r="S328" s="151"/>
    </row>
    <row r="329" spans="18:19" x14ac:dyDescent="0.2">
      <c r="R329" s="149"/>
      <c r="S329" s="151"/>
    </row>
    <row r="330" spans="18:19" x14ac:dyDescent="0.2">
      <c r="R330" s="149"/>
      <c r="S330" s="151"/>
    </row>
    <row r="331" spans="18:19" x14ac:dyDescent="0.2">
      <c r="R331" s="149"/>
      <c r="S331" s="151"/>
    </row>
    <row r="332" spans="18:19" x14ac:dyDescent="0.2">
      <c r="R332" s="149"/>
      <c r="S332" s="151"/>
    </row>
    <row r="333" spans="18:19" x14ac:dyDescent="0.2">
      <c r="R333" s="149"/>
      <c r="S333" s="151"/>
    </row>
    <row r="334" spans="18:19" x14ac:dyDescent="0.2">
      <c r="R334" s="149"/>
      <c r="S334" s="151"/>
    </row>
    <row r="335" spans="18:19" x14ac:dyDescent="0.2">
      <c r="R335" s="149"/>
      <c r="S335" s="151"/>
    </row>
    <row r="336" spans="18:19" x14ac:dyDescent="0.2">
      <c r="R336" s="149"/>
      <c r="S336" s="151"/>
    </row>
    <row r="337" spans="18:19" x14ac:dyDescent="0.2">
      <c r="R337" s="149"/>
      <c r="S337" s="151"/>
    </row>
    <row r="338" spans="18:19" x14ac:dyDescent="0.2">
      <c r="R338" s="149"/>
      <c r="S338" s="151"/>
    </row>
    <row r="339" spans="18:19" x14ac:dyDescent="0.2">
      <c r="R339" s="149"/>
      <c r="S339" s="151"/>
    </row>
    <row r="340" spans="18:19" x14ac:dyDescent="0.2">
      <c r="R340" s="149"/>
      <c r="S340" s="151"/>
    </row>
    <row r="341" spans="18:19" x14ac:dyDescent="0.2">
      <c r="R341" s="149"/>
      <c r="S341" s="151"/>
    </row>
    <row r="342" spans="18:19" x14ac:dyDescent="0.2">
      <c r="R342" s="149"/>
      <c r="S342" s="151"/>
    </row>
    <row r="343" spans="18:19" x14ac:dyDescent="0.2">
      <c r="R343" s="149"/>
      <c r="S343" s="151"/>
    </row>
    <row r="344" spans="18:19" x14ac:dyDescent="0.2">
      <c r="R344" s="149"/>
      <c r="S344" s="151"/>
    </row>
    <row r="345" spans="18:19" x14ac:dyDescent="0.2">
      <c r="R345" s="149"/>
      <c r="S345" s="151"/>
    </row>
    <row r="346" spans="18:19" x14ac:dyDescent="0.2">
      <c r="R346" s="149"/>
      <c r="S346" s="151"/>
    </row>
    <row r="347" spans="18:19" x14ac:dyDescent="0.2">
      <c r="R347" s="149"/>
      <c r="S347" s="151"/>
    </row>
    <row r="348" spans="18:19" x14ac:dyDescent="0.2">
      <c r="R348" s="149"/>
      <c r="S348" s="151"/>
    </row>
    <row r="349" spans="18:19" x14ac:dyDescent="0.2">
      <c r="R349" s="149"/>
      <c r="S349" s="151"/>
    </row>
    <row r="350" spans="18:19" x14ac:dyDescent="0.2">
      <c r="R350" s="149"/>
      <c r="S350" s="151"/>
    </row>
    <row r="351" spans="18:19" x14ac:dyDescent="0.2">
      <c r="R351" s="149"/>
      <c r="S351" s="151"/>
    </row>
    <row r="352" spans="18:19" x14ac:dyDescent="0.2">
      <c r="R352" s="149"/>
      <c r="S352" s="151"/>
    </row>
    <row r="353" spans="18:19" x14ac:dyDescent="0.2">
      <c r="R353" s="149"/>
      <c r="S353" s="151"/>
    </row>
    <row r="354" spans="18:19" x14ac:dyDescent="0.2">
      <c r="R354" s="149"/>
      <c r="S354" s="151"/>
    </row>
    <row r="355" spans="18:19" x14ac:dyDescent="0.2">
      <c r="R355" s="149"/>
      <c r="S355" s="151"/>
    </row>
    <row r="356" spans="18:19" x14ac:dyDescent="0.2">
      <c r="R356" s="149"/>
      <c r="S356" s="151"/>
    </row>
    <row r="357" spans="18:19" x14ac:dyDescent="0.2">
      <c r="R357" s="149"/>
      <c r="S357" s="151"/>
    </row>
    <row r="358" spans="18:19" x14ac:dyDescent="0.2">
      <c r="R358" s="149"/>
      <c r="S358" s="151"/>
    </row>
    <row r="359" spans="18:19" x14ac:dyDescent="0.2">
      <c r="R359" s="149"/>
      <c r="S359" s="151"/>
    </row>
    <row r="360" spans="18:19" x14ac:dyDescent="0.2">
      <c r="R360" s="149"/>
      <c r="S360" s="151"/>
    </row>
    <row r="361" spans="18:19" x14ac:dyDescent="0.2">
      <c r="R361" s="149"/>
      <c r="S361" s="151"/>
    </row>
    <row r="362" spans="18:19" x14ac:dyDescent="0.2">
      <c r="R362" s="149"/>
      <c r="S362" s="151"/>
    </row>
    <row r="363" spans="18:19" x14ac:dyDescent="0.2">
      <c r="R363" s="149"/>
      <c r="S363" s="151"/>
    </row>
    <row r="364" spans="18:19" x14ac:dyDescent="0.2">
      <c r="R364" s="149"/>
      <c r="S364" s="151"/>
    </row>
    <row r="365" spans="18:19" x14ac:dyDescent="0.2">
      <c r="R365" s="149"/>
      <c r="S365" s="151"/>
    </row>
    <row r="366" spans="18:19" x14ac:dyDescent="0.2">
      <c r="R366" s="149"/>
      <c r="S366" s="151"/>
    </row>
    <row r="367" spans="18:19" x14ac:dyDescent="0.2">
      <c r="R367" s="149"/>
      <c r="S367" s="151"/>
    </row>
    <row r="368" spans="18:19" x14ac:dyDescent="0.2">
      <c r="R368" s="149"/>
      <c r="S368" s="151"/>
    </row>
    <row r="369" spans="18:19" x14ac:dyDescent="0.2">
      <c r="R369" s="149"/>
      <c r="S369" s="151"/>
    </row>
    <row r="370" spans="18:19" x14ac:dyDescent="0.2">
      <c r="R370" s="149"/>
      <c r="S370" s="151"/>
    </row>
    <row r="371" spans="18:19" x14ac:dyDescent="0.2">
      <c r="R371" s="149"/>
      <c r="S371" s="151"/>
    </row>
    <row r="372" spans="18:19" x14ac:dyDescent="0.2">
      <c r="R372" s="149"/>
      <c r="S372" s="151"/>
    </row>
    <row r="373" spans="18:19" x14ac:dyDescent="0.2">
      <c r="R373" s="149"/>
      <c r="S373" s="151"/>
    </row>
    <row r="374" spans="18:19" x14ac:dyDescent="0.2">
      <c r="R374" s="149"/>
      <c r="S374" s="151"/>
    </row>
    <row r="375" spans="18:19" x14ac:dyDescent="0.2">
      <c r="R375" s="149"/>
      <c r="S375" s="151"/>
    </row>
    <row r="376" spans="18:19" x14ac:dyDescent="0.2">
      <c r="R376" s="149"/>
      <c r="S376" s="151"/>
    </row>
    <row r="377" spans="18:19" x14ac:dyDescent="0.2">
      <c r="R377" s="149"/>
      <c r="S377" s="151"/>
    </row>
    <row r="378" spans="18:19" x14ac:dyDescent="0.2">
      <c r="R378" s="149"/>
      <c r="S378" s="151"/>
    </row>
    <row r="379" spans="18:19" x14ac:dyDescent="0.2">
      <c r="R379" s="149"/>
      <c r="S379" s="151"/>
    </row>
    <row r="380" spans="18:19" x14ac:dyDescent="0.2">
      <c r="R380" s="149"/>
      <c r="S380" s="151"/>
    </row>
    <row r="381" spans="18:19" x14ac:dyDescent="0.2">
      <c r="R381" s="149"/>
      <c r="S381" s="151"/>
    </row>
    <row r="382" spans="18:19" x14ac:dyDescent="0.2">
      <c r="R382" s="149"/>
      <c r="S382" s="151"/>
    </row>
    <row r="383" spans="18:19" x14ac:dyDescent="0.2">
      <c r="R383" s="149"/>
      <c r="S383" s="151"/>
    </row>
    <row r="384" spans="18:19" x14ac:dyDescent="0.2">
      <c r="R384" s="149"/>
      <c r="S384" s="151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84" customWidth="1"/>
    <col min="2" max="2" width="2.33203125" style="84" bestFit="1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bestFit="1" customWidth="1"/>
    <col min="15" max="15" width="7" style="84" bestFit="1" customWidth="1"/>
    <col min="16" max="16" width="9.33203125" style="84" bestFit="1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16384" width="9.33203125" style="84"/>
  </cols>
  <sheetData>
    <row r="1" spans="1:19" x14ac:dyDescent="0.2">
      <c r="E1" s="224" t="s">
        <v>97</v>
      </c>
      <c r="F1" s="225" t="s">
        <v>19</v>
      </c>
      <c r="N1" s="84" t="str">
        <f>_xll.qlInterpolation(,interpolator12M,_xll.ohFilter(E3:E27,M3:M27),_xll.ohFilter(L3:L27,M3:M27))</f>
        <v>obj_00442#0004</v>
      </c>
    </row>
    <row r="2" spans="1:19" ht="26.25" customHeight="1" x14ac:dyDescent="0.2">
      <c r="D2" s="171" t="str">
        <f>F1&amp;" Instruments"</f>
        <v>1Y Instruments</v>
      </c>
      <c r="E2" s="171" t="s">
        <v>98</v>
      </c>
      <c r="F2" s="171" t="s">
        <v>99</v>
      </c>
      <c r="G2" s="171" t="s">
        <v>120</v>
      </c>
      <c r="H2" s="171" t="str">
        <f>F1&amp;" Market quote"</f>
        <v>1Y Market quote</v>
      </c>
      <c r="I2" s="171" t="s">
        <v>121</v>
      </c>
      <c r="J2" s="171" t="s">
        <v>122</v>
      </c>
      <c r="K2" s="171" t="s">
        <v>123</v>
      </c>
      <c r="L2" s="171" t="s">
        <v>133</v>
      </c>
      <c r="M2" s="171" t="s">
        <v>76</v>
      </c>
      <c r="N2" s="171" t="s">
        <v>127</v>
      </c>
      <c r="O2" s="171" t="s">
        <v>136</v>
      </c>
      <c r="P2" s="171" t="s">
        <v>124</v>
      </c>
      <c r="R2" s="171" t="s">
        <v>98</v>
      </c>
      <c r="S2" s="171" t="s">
        <v>127</v>
      </c>
    </row>
    <row r="3" spans="1:19" ht="11.25" customHeight="1" x14ac:dyDescent="0.2">
      <c r="C3" s="150" t="str">
        <f>SUBSTITUTE(F1,"M","")</f>
        <v>1Y</v>
      </c>
      <c r="D3" s="215" t="str">
        <f>PROPER(Currency&amp;IborType)&amp;F1&amp;"LastFixing"&amp;QuoteSuffix</f>
        <v>Usdlibor1YLastFixing_Quote</v>
      </c>
      <c r="E3" s="216">
        <f>SettlementDate</f>
        <v>42369</v>
      </c>
      <c r="F3" s="216">
        <f>_xll.qlCalendarAdvance(Calendar,E3,$F$1,"mf",,Trigger)</f>
        <v>42734</v>
      </c>
      <c r="G3" s="217">
        <f>_xll.qlDayCounterYearFraction(DayCounter,E3,F3,,,Trigger)</f>
        <v>1.0138888888888888</v>
      </c>
      <c r="H3" s="218">
        <f>_xll.qlQuoteValue(D3,LastFixingsTrigger)</f>
        <v>1.1439999999999999E-2</v>
      </c>
      <c r="I3" s="219">
        <f>_xll.qlYieldTSDiscount(Discounting,E3,,AllTriggers)</f>
        <v>0.99996012451818017</v>
      </c>
      <c r="J3" s="219">
        <f>_xll.qlYieldTSDiscount(Discounting,F3,,AllTriggers)</f>
        <v>0.99409970395916814</v>
      </c>
      <c r="K3" s="218">
        <f>(I3/J3-1)/G3</f>
        <v>5.8144477885936612E-3</v>
      </c>
      <c r="L3" s="218">
        <f>H3-K3</f>
        <v>5.6255522114063376E-3</v>
      </c>
      <c r="M3" s="220" t="b">
        <v>1</v>
      </c>
      <c r="N3" s="221">
        <f>_xll.qlInterpolationInterpolate($N$1,E3,TRUE)</f>
        <v>5.6255522114063376E-3</v>
      </c>
      <c r="O3" s="222">
        <f>(L3-N3)*10000</f>
        <v>0</v>
      </c>
      <c r="P3" s="232">
        <f t="shared" ref="P3:P20" si="0">LN((1+H3*G3)/(1+K3*G3))</f>
        <v>5.6542421579978278E-3</v>
      </c>
      <c r="R3" s="228">
        <f>E3</f>
        <v>42369</v>
      </c>
      <c r="S3" s="230">
        <f>_xll.qlInterpolationInterpolate(B12MInterpolation,R3,TRUE)</f>
        <v>5.6255522114063376E-3</v>
      </c>
    </row>
    <row r="4" spans="1:19" ht="11.25" customHeight="1" x14ac:dyDescent="0.2">
      <c r="A4" s="84">
        <v>1</v>
      </c>
      <c r="B4" s="84" t="s">
        <v>28</v>
      </c>
      <c r="C4" s="84">
        <f>A4+12</f>
        <v>13</v>
      </c>
      <c r="D4" s="233" t="str">
        <f t="shared" ref="D4:D20" si="1">Currency&amp;A4&amp;B4&amp;C4&amp;"F"&amp;QuoteSuffix</f>
        <v>USD1x13F_Quote</v>
      </c>
      <c r="E4" s="228">
        <f>_xll.qlCalendarAdvance(Calendar,$E$3,A4&amp;"M","mf",,Trigger)</f>
        <v>42398</v>
      </c>
      <c r="F4" s="228">
        <f>_xll.qlCalendarAdvance(Calendar,E4,$F$1,"mf",,Trigger)</f>
        <v>42765</v>
      </c>
      <c r="G4" s="229">
        <f>_xll.qlDayCounterYearFraction(DayCounter,E4,F4,,,Trigger)</f>
        <v>1.0194444444444444</v>
      </c>
      <c r="H4" s="58">
        <f>_xll.qlQuoteValue(D4,AllTriggers)</f>
        <v>1.1779999999999999E-2</v>
      </c>
      <c r="I4" s="59">
        <f>_xll.qlYieldTSDiscount(Discounting,E4,,AllTriggers)</f>
        <v>0.99968677449654142</v>
      </c>
      <c r="J4" s="59">
        <f>_xll.qlYieldTSDiscount(Discounting,F4,,AllTriggers)</f>
        <v>0.99333606560998855</v>
      </c>
      <c r="K4" s="58">
        <f t="shared" ref="K4:K20" si="2">(I4/J4-1)/G4</f>
        <v>6.2713701988842156E-3</v>
      </c>
      <c r="L4" s="58">
        <f t="shared" ref="L4:L20" si="3">H4-K4</f>
        <v>5.5086298011157832E-3</v>
      </c>
      <c r="M4" s="234" t="b">
        <f>IF(ISERROR(H4),FALSE,TRUE)</f>
        <v>1</v>
      </c>
      <c r="N4" s="58">
        <f>_xll.qlInterpolationInterpolate($N$1,E4,TRUE)</f>
        <v>5.5086298011157832E-3</v>
      </c>
      <c r="O4" s="235">
        <f t="shared" ref="O4:O20" si="4">(L4-N4)*10000</f>
        <v>0</v>
      </c>
      <c r="P4" s="236">
        <f t="shared" si="0"/>
        <v>5.5645560309811855E-3</v>
      </c>
      <c r="R4" s="27">
        <f>_xll.qlCalendarAdvance(Calendar,R3,"1D","f")</f>
        <v>42373</v>
      </c>
      <c r="S4" s="68">
        <f>_xll.qlInterpolationInterpolate(B12MInterpolation,R4,TRUE)</f>
        <v>5.6089350396482463E-3</v>
      </c>
    </row>
    <row r="5" spans="1:19" ht="11.25" customHeight="1" x14ac:dyDescent="0.2">
      <c r="A5" s="84">
        <v>2</v>
      </c>
      <c r="B5" s="84" t="s">
        <v>28</v>
      </c>
      <c r="C5" s="84">
        <f t="shared" ref="C5:C21" si="5">A5+12</f>
        <v>14</v>
      </c>
      <c r="D5" s="212" t="str">
        <f t="shared" si="1"/>
        <v>USD2x14F_Quote</v>
      </c>
      <c r="E5" s="27">
        <f>_xll.qlCalendarAdvance(Calendar,$E$3,A5&amp;"M","mf",,Trigger)</f>
        <v>42429</v>
      </c>
      <c r="F5" s="27">
        <f>_xll.qlCalendarAdvance(Calendar,E5,$F$1,"mf",,Trigger)</f>
        <v>42794</v>
      </c>
      <c r="G5" s="49">
        <f>_xll.qlDayCounterYearFraction(DayCounter,E5,F5,,,Trigger)</f>
        <v>1.0138888888888888</v>
      </c>
      <c r="H5" s="3">
        <f>_xll.qlQuoteValue(D5,AllTriggers)</f>
        <v>1.2119999999999999E-2</v>
      </c>
      <c r="I5" s="50">
        <f>_xll.qlYieldTSDiscount(Discounting,E5,,AllTriggers)</f>
        <v>0.99937053608941584</v>
      </c>
      <c r="J5" s="50">
        <f>_xll.qlYieldTSDiscount(Discounting,F5,,AllTriggers)</f>
        <v>0.99259621402549536</v>
      </c>
      <c r="K5" s="3">
        <f t="shared" si="2"/>
        <v>6.7313606853697631E-3</v>
      </c>
      <c r="L5" s="3">
        <f t="shared" si="3"/>
        <v>5.3886393146302357E-3</v>
      </c>
      <c r="M5" s="48" t="b">
        <f t="shared" ref="M5:M20" si="6">IF(ISERROR(H5),FALSE,TRUE)</f>
        <v>1</v>
      </c>
      <c r="N5" s="3">
        <f>_xll.qlInterpolationInterpolate($N$1,E5,TRUE)</f>
        <v>5.3886393146302357E-3</v>
      </c>
      <c r="O5" s="74">
        <f t="shared" si="4"/>
        <v>0</v>
      </c>
      <c r="P5" s="226">
        <f t="shared" si="0"/>
        <v>5.4117767164012136E-3</v>
      </c>
      <c r="R5" s="27">
        <f>_xll.qlCalendarAdvance(Calendar,R4,"1D","f")</f>
        <v>42374</v>
      </c>
      <c r="S5" s="68">
        <f>_xll.qlInterpolationInterpolate(B12MInterpolation,R5,TRUE)</f>
        <v>5.6047874277462568E-3</v>
      </c>
    </row>
    <row r="6" spans="1:19" ht="11.25" customHeight="1" x14ac:dyDescent="0.2">
      <c r="A6" s="84">
        <f>A5+1</f>
        <v>3</v>
      </c>
      <c r="B6" s="84" t="s">
        <v>28</v>
      </c>
      <c r="C6" s="84">
        <f t="shared" si="5"/>
        <v>15</v>
      </c>
      <c r="D6" s="212" t="str">
        <f t="shared" si="1"/>
        <v>USD3x15F_Quote</v>
      </c>
      <c r="E6" s="27">
        <f>_xll.qlCalendarAdvance(Calendar,$E$3,A6&amp;"M","mf",,Trigger)</f>
        <v>42460</v>
      </c>
      <c r="F6" s="27">
        <f>_xll.qlCalendarAdvance(Calendar,E6,$F$1,"mf",,Trigger)</f>
        <v>42825</v>
      </c>
      <c r="G6" s="49">
        <f>_xll.qlDayCounterYearFraction(DayCounter,E6,F6,,,Trigger)</f>
        <v>1.0138888888888888</v>
      </c>
      <c r="H6" s="3">
        <f>_xll.qlQuoteValue(D6,AllTriggers)</f>
        <v>1.248E-2</v>
      </c>
      <c r="I6" s="50">
        <f>_xll.qlYieldTSDiscount(Discounting,E6,,AllTriggers)</f>
        <v>0.9990118879961678</v>
      </c>
      <c r="J6" s="50">
        <f>_xll.qlYieldTSDiscount(Discounting,F6,,AllTriggers)</f>
        <v>0.99176652302594492</v>
      </c>
      <c r="K6" s="3">
        <f t="shared" si="2"/>
        <v>7.2054392131376196E-3</v>
      </c>
      <c r="L6" s="3">
        <f t="shared" si="3"/>
        <v>5.2745607868623801E-3</v>
      </c>
      <c r="M6" s="48" t="b">
        <f t="shared" si="6"/>
        <v>1</v>
      </c>
      <c r="N6" s="3">
        <f>_xll.qlInterpolationInterpolate($N$1,E6,TRUE)</f>
        <v>5.2745607868623801E-3</v>
      </c>
      <c r="O6" s="74">
        <f t="shared" si="4"/>
        <v>0</v>
      </c>
      <c r="P6" s="226">
        <f t="shared" si="0"/>
        <v>5.2949901185499098E-3</v>
      </c>
      <c r="R6" s="27">
        <f>_xll.qlCalendarAdvance(Calendar,R5,"1D","f")</f>
        <v>42375</v>
      </c>
      <c r="S6" s="68">
        <f>_xll.qlInterpolationInterpolate(B12MInterpolation,R6,TRUE)</f>
        <v>5.6006442698692911E-3</v>
      </c>
    </row>
    <row r="7" spans="1:19" ht="11.25" customHeight="1" x14ac:dyDescent="0.2">
      <c r="A7" s="84">
        <f t="shared" ref="A7:A27" si="7">A6+1</f>
        <v>4</v>
      </c>
      <c r="B7" s="84" t="s">
        <v>28</v>
      </c>
      <c r="C7" s="84">
        <f t="shared" si="5"/>
        <v>16</v>
      </c>
      <c r="D7" s="212" t="str">
        <f t="shared" si="1"/>
        <v>USD4x16F_Quote</v>
      </c>
      <c r="E7" s="27">
        <f>_xll.qlCalendarAdvance(Calendar,$E$3,A7&amp;"M","mf",,Trigger)</f>
        <v>42489</v>
      </c>
      <c r="F7" s="27">
        <f>_xll.qlCalendarAdvance(Calendar,E7,$F$1,"mf",,Trigger)</f>
        <v>42853</v>
      </c>
      <c r="G7" s="49">
        <f>_xll.qlDayCounterYearFraction(DayCounter,E7,F7,,,Trigger)</f>
        <v>1.0111111111111111</v>
      </c>
      <c r="H7" s="3">
        <f>_xll.qlQuoteValue(D7,AllTriggers)</f>
        <v>1.2920000000000001E-2</v>
      </c>
      <c r="I7" s="50">
        <f>_xll.qlYieldTSDiscount(Discounting,E7,,AllTriggers)</f>
        <v>0.99861567609632995</v>
      </c>
      <c r="J7" s="50">
        <f>_xll.qlYieldTSDiscount(Discounting,F7,,AllTriggers)</f>
        <v>0.99097491749326538</v>
      </c>
      <c r="K7" s="3">
        <f t="shared" si="2"/>
        <v>7.6256160367071339E-3</v>
      </c>
      <c r="L7" s="3">
        <f t="shared" si="3"/>
        <v>5.2943839632928671E-3</v>
      </c>
      <c r="M7" s="48" t="b">
        <f t="shared" si="6"/>
        <v>1</v>
      </c>
      <c r="N7" s="3">
        <f>_xll.qlInterpolationInterpolate($N$1,E7,TRUE)</f>
        <v>5.2943839632928671E-3</v>
      </c>
      <c r="O7" s="74">
        <f t="shared" si="4"/>
        <v>0</v>
      </c>
      <c r="P7" s="226">
        <f t="shared" si="0"/>
        <v>5.2981909281804296E-3</v>
      </c>
      <c r="R7" s="27">
        <f>_xll.qlCalendarAdvance(Calendar,R6,"1D","f")</f>
        <v>42376</v>
      </c>
      <c r="S7" s="68">
        <f>_xll.qlInterpolationInterpolate(B12MInterpolation,R7,TRUE)</f>
        <v>5.5965064568223519E-3</v>
      </c>
    </row>
    <row r="8" spans="1:19" ht="11.25" customHeight="1" x14ac:dyDescent="0.2">
      <c r="A8" s="84">
        <f t="shared" si="7"/>
        <v>5</v>
      </c>
      <c r="B8" s="84" t="s">
        <v>28</v>
      </c>
      <c r="C8" s="84">
        <f t="shared" si="5"/>
        <v>17</v>
      </c>
      <c r="D8" s="212" t="str">
        <f t="shared" si="1"/>
        <v>USD5x17F_Quote</v>
      </c>
      <c r="E8" s="27">
        <f>_xll.qlCalendarAdvance(Calendar,$E$3,A8&amp;"M","mf",,Trigger)</f>
        <v>42521</v>
      </c>
      <c r="F8" s="27">
        <f>_xll.qlCalendarAdvance(Calendar,E8,$F$1,"mf",,Trigger)</f>
        <v>42886</v>
      </c>
      <c r="G8" s="49">
        <f>_xll.qlDayCounterYearFraction(DayCounter,E8,F8,,,Trigger)</f>
        <v>1.0138888888888888</v>
      </c>
      <c r="H8" s="3">
        <f>_xll.qlQuoteValue(D8,AllTriggers)</f>
        <v>1.3380000000000001E-2</v>
      </c>
      <c r="I8" s="50">
        <f>_xll.qlYieldTSDiscount(Discounting,E8,,AllTriggers)</f>
        <v>0.99816874293523461</v>
      </c>
      <c r="J8" s="50">
        <f>_xll.qlYieldTSDiscount(Discounting,F8,,AllTriggers)</f>
        <v>0.98999180503406492</v>
      </c>
      <c r="K8" s="3">
        <f t="shared" si="2"/>
        <v>8.1464563769101436E-3</v>
      </c>
      <c r="L8" s="3">
        <f t="shared" si="3"/>
        <v>5.2335436230898577E-3</v>
      </c>
      <c r="M8" s="48" t="b">
        <f t="shared" si="6"/>
        <v>1</v>
      </c>
      <c r="N8" s="3">
        <f>_xll.qlInterpolationInterpolate($N$1,E8,TRUE)</f>
        <v>5.2335436230898577E-3</v>
      </c>
      <c r="O8" s="74">
        <f t="shared" si="4"/>
        <v>0</v>
      </c>
      <c r="P8" s="226">
        <f t="shared" si="0"/>
        <v>5.2489634566921179E-3</v>
      </c>
      <c r="R8" s="27">
        <f>_xll.qlCalendarAdvance(Calendar,R7,"1D","f")</f>
        <v>42377</v>
      </c>
      <c r="S8" s="68">
        <f>_xll.qlInterpolationInterpolate(B12MInterpolation,R8,TRUE)</f>
        <v>5.5923748794104453E-3</v>
      </c>
    </row>
    <row r="9" spans="1:19" ht="11.25" customHeight="1" x14ac:dyDescent="0.2">
      <c r="A9" s="84">
        <f t="shared" si="7"/>
        <v>6</v>
      </c>
      <c r="B9" s="84" t="s">
        <v>28</v>
      </c>
      <c r="C9" s="84">
        <f t="shared" si="5"/>
        <v>18</v>
      </c>
      <c r="D9" s="212" t="str">
        <f t="shared" si="1"/>
        <v>USD6x18F_Quote</v>
      </c>
      <c r="E9" s="27">
        <f>_xll.qlCalendarAdvance(Calendar,$E$3,A9&amp;"M","mf",,Trigger)</f>
        <v>42551</v>
      </c>
      <c r="F9" s="27">
        <f>_xll.qlCalendarAdvance(Calendar,E9,$F$1,"mf",,Trigger)</f>
        <v>42916</v>
      </c>
      <c r="G9" s="49">
        <f>_xll.qlDayCounterYearFraction(DayCounter,E9,F9,,,Trigger)</f>
        <v>1.0138888888888888</v>
      </c>
      <c r="H9" s="3">
        <f>_xll.qlQuoteValue(D9,AllTriggers)</f>
        <v>1.3820000000000001E-2</v>
      </c>
      <c r="I9" s="50">
        <f>_xll.qlYieldTSDiscount(Discounting,E9,,AllTriggers)</f>
        <v>0.9977198315673238</v>
      </c>
      <c r="J9" s="50">
        <f>_xll.qlYieldTSDiscount(Discounting,F9,,AllTriggers)</f>
        <v>0.98905463285113115</v>
      </c>
      <c r="K9" s="3">
        <f t="shared" si="2"/>
        <v>8.6410771256175117E-3</v>
      </c>
      <c r="L9" s="3">
        <f t="shared" si="3"/>
        <v>5.178922874382489E-3</v>
      </c>
      <c r="M9" s="48" t="b">
        <f t="shared" si="6"/>
        <v>1</v>
      </c>
      <c r="N9" s="3">
        <f>_xll.qlInterpolationInterpolate($N$1,E9,TRUE)</f>
        <v>5.178922874382489E-3</v>
      </c>
      <c r="O9" s="74">
        <f t="shared" si="4"/>
        <v>0</v>
      </c>
      <c r="P9" s="226">
        <f t="shared" si="0"/>
        <v>5.1917482172390769E-3</v>
      </c>
      <c r="R9" s="27">
        <f>_xll.qlCalendarAdvance(Calendar,R8,"1D","f")</f>
        <v>42380</v>
      </c>
      <c r="S9" s="68">
        <f>_xll.qlInterpolationInterpolate(B12MInterpolation,R9,TRUE)</f>
        <v>5.5800264690349603E-3</v>
      </c>
    </row>
    <row r="10" spans="1:19" ht="11.25" customHeight="1" x14ac:dyDescent="0.2">
      <c r="A10" s="84">
        <f t="shared" si="7"/>
        <v>7</v>
      </c>
      <c r="B10" s="84" t="s">
        <v>28</v>
      </c>
      <c r="C10" s="84">
        <f t="shared" si="5"/>
        <v>19</v>
      </c>
      <c r="D10" s="212" t="str">
        <f t="shared" si="1"/>
        <v>USD7x19F_Quote</v>
      </c>
      <c r="E10" s="27">
        <f>_xll.qlCalendarAdvance(Calendar,$E$3,A10&amp;"M","mf",,Trigger)</f>
        <v>42580</v>
      </c>
      <c r="F10" s="27">
        <f>_xll.qlCalendarAdvance(Calendar,E10,$F$1,"mf",,Trigger)</f>
        <v>42947</v>
      </c>
      <c r="G10" s="49">
        <f>_xll.qlDayCounterYearFraction(DayCounter,E10,F10,,,Trigger)</f>
        <v>1.0194444444444444</v>
      </c>
      <c r="H10" s="3" t="e">
        <f>_xll.qlQuoteValue(D10,AllTriggers)</f>
        <v>#NUM!</v>
      </c>
      <c r="I10" s="50">
        <f>_xll.qlYieldTSDiscount(Discounting,E10,,AllTriggers)</f>
        <v>0.99725847732985418</v>
      </c>
      <c r="J10" s="50">
        <f>_xll.qlYieldTSDiscount(Discounting,F10,,AllTriggers)</f>
        <v>0.98804799415066258</v>
      </c>
      <c r="K10" s="3">
        <f t="shared" si="2"/>
        <v>9.1440966853783331E-3</v>
      </c>
      <c r="L10" s="3" t="e">
        <f t="shared" si="3"/>
        <v>#NUM!</v>
      </c>
      <c r="M10" s="48" t="b">
        <f t="shared" si="6"/>
        <v>0</v>
      </c>
      <c r="N10" s="3">
        <f>_xll.qlInterpolationInterpolate($N$1,E10,TRUE)</f>
        <v>5.1547379061124363E-3</v>
      </c>
      <c r="O10" s="74" t="e">
        <f t="shared" si="4"/>
        <v>#NUM!</v>
      </c>
      <c r="P10" s="226" t="e">
        <f t="shared" si="0"/>
        <v>#NUM!</v>
      </c>
      <c r="R10" s="27">
        <f>_xll.qlCalendarAdvance(Calendar,R9,"1D","f")</f>
        <v>42381</v>
      </c>
      <c r="S10" s="68">
        <f>_xll.qlInterpolationInterpolate(B12MInterpolation,R10,TRUE)</f>
        <v>5.5759287422132257E-3</v>
      </c>
    </row>
    <row r="11" spans="1:19" ht="11.25" customHeight="1" x14ac:dyDescent="0.2">
      <c r="A11" s="84">
        <f t="shared" si="7"/>
        <v>8</v>
      </c>
      <c r="B11" s="84" t="s">
        <v>28</v>
      </c>
      <c r="C11" s="84">
        <f t="shared" si="5"/>
        <v>20</v>
      </c>
      <c r="D11" s="212" t="str">
        <f t="shared" si="1"/>
        <v>USD8x20F_Quote</v>
      </c>
      <c r="E11" s="27">
        <f>_xll.qlCalendarAdvance(Calendar,$E$3,A11&amp;"M","mf",,Trigger)</f>
        <v>42613</v>
      </c>
      <c r="F11" s="27">
        <f>_xll.qlCalendarAdvance(Calendar,E11,$F$1,"mf",,Trigger)</f>
        <v>42978</v>
      </c>
      <c r="G11" s="49">
        <f>_xll.qlDayCounterYearFraction(DayCounter,E11,F11,,,Trigger)</f>
        <v>1.0138888888888888</v>
      </c>
      <c r="H11" s="3" t="e">
        <f>_xll.qlQuoteValue(D11,AllTriggers)</f>
        <v>#NUM!</v>
      </c>
      <c r="I11" s="50">
        <f>_xll.qlYieldTSDiscount(Discounting,E11,,AllTriggers)</f>
        <v>0.99665654922135349</v>
      </c>
      <c r="J11" s="50">
        <f>_xll.qlYieldTSDiscount(Discounting,F11,,AllTriggers)</f>
        <v>0.98701351959523453</v>
      </c>
      <c r="K11" s="3">
        <f t="shared" si="2"/>
        <v>9.636071989947188E-3</v>
      </c>
      <c r="L11" s="3" t="e">
        <f t="shared" si="3"/>
        <v>#NUM!</v>
      </c>
      <c r="M11" s="48" t="b">
        <f t="shared" si="6"/>
        <v>0</v>
      </c>
      <c r="N11" s="3">
        <f>_xll.qlInterpolationInterpolate($N$1,E11,TRUE)</f>
        <v>5.1544934123712357E-3</v>
      </c>
      <c r="O11" s="74" t="e">
        <f t="shared" si="4"/>
        <v>#NUM!</v>
      </c>
      <c r="P11" s="226" t="e">
        <f t="shared" si="0"/>
        <v>#NUM!</v>
      </c>
      <c r="R11" s="27">
        <f>_xll.qlCalendarAdvance(Calendar,R10,"1D","f")</f>
        <v>42382</v>
      </c>
      <c r="S11" s="68">
        <f>_xll.qlInterpolationInterpolate(B12MInterpolation,R11,TRUE)</f>
        <v>5.571841705051545E-3</v>
      </c>
    </row>
    <row r="12" spans="1:19" ht="11.25" customHeight="1" x14ac:dyDescent="0.2">
      <c r="A12" s="84">
        <f t="shared" si="7"/>
        <v>9</v>
      </c>
      <c r="B12" s="84" t="s">
        <v>28</v>
      </c>
      <c r="C12" s="84">
        <f t="shared" si="5"/>
        <v>21</v>
      </c>
      <c r="D12" s="212" t="str">
        <f t="shared" si="1"/>
        <v>USD9x21F_Quote</v>
      </c>
      <c r="E12" s="27">
        <f>_xll.qlCalendarAdvance(Calendar,$E$3,A12&amp;"M","mf",,Trigger)</f>
        <v>42643</v>
      </c>
      <c r="F12" s="27">
        <f>_xll.qlCalendarAdvance(Calendar,E12,$F$1,"mf",,Trigger)</f>
        <v>43007</v>
      </c>
      <c r="G12" s="49">
        <f>_xll.qlDayCounterYearFraction(DayCounter,E12,F12,,,Trigger)</f>
        <v>1.0111111111111111</v>
      </c>
      <c r="H12" s="3">
        <f>_xll.qlQuoteValue(D12,AllTriggers)</f>
        <v>1.5260000000000001E-2</v>
      </c>
      <c r="I12" s="50">
        <f>_xll.qlYieldTSDiscount(Discounting,E12,,AllTriggers)</f>
        <v>0.99608350095019316</v>
      </c>
      <c r="J12" s="50">
        <f>_xll.qlYieldTSDiscount(Discounting,F12,,AllTriggers)</f>
        <v>0.98603165966881101</v>
      </c>
      <c r="K12" s="3">
        <f t="shared" si="2"/>
        <v>1.0082213273375322E-2</v>
      </c>
      <c r="L12" s="3">
        <f t="shared" si="3"/>
        <v>5.177786726624679E-3</v>
      </c>
      <c r="M12" s="48" t="b">
        <f t="shared" si="6"/>
        <v>1</v>
      </c>
      <c r="N12" s="3">
        <f>_xll.qlInterpolationInterpolate($N$1,E12,TRUE)</f>
        <v>5.177786726624679E-3</v>
      </c>
      <c r="O12" s="74">
        <f t="shared" si="4"/>
        <v>0</v>
      </c>
      <c r="P12" s="226">
        <f t="shared" si="0"/>
        <v>5.1691033294516582E-3</v>
      </c>
      <c r="R12" s="27">
        <f>_xll.qlCalendarAdvance(Calendar,R11,"1D","f")</f>
        <v>42383</v>
      </c>
      <c r="S12" s="68">
        <f>_xll.qlInterpolationInterpolate(B12MInterpolation,R12,TRUE)</f>
        <v>5.5677662483549243E-3</v>
      </c>
    </row>
    <row r="13" spans="1:19" ht="11.25" customHeight="1" x14ac:dyDescent="0.2">
      <c r="A13" s="84">
        <f t="shared" si="7"/>
        <v>10</v>
      </c>
      <c r="B13" s="84" t="s">
        <v>28</v>
      </c>
      <c r="C13" s="84">
        <f t="shared" si="5"/>
        <v>22</v>
      </c>
      <c r="D13" s="212" t="str">
        <f t="shared" si="1"/>
        <v>USD10x22F_Quote</v>
      </c>
      <c r="E13" s="27">
        <f>_xll.qlCalendarAdvance(Calendar,$E$3,A13&amp;"M","mf",,Trigger)</f>
        <v>42674</v>
      </c>
      <c r="F13" s="27">
        <f>_xll.qlCalendarAdvance(Calendar,E13,$F$1,"mf",,Trigger)</f>
        <v>43039</v>
      </c>
      <c r="G13" s="49">
        <f>_xll.qlDayCounterYearFraction(DayCounter,E13,F13,,,Trigger)</f>
        <v>1.0138888888888888</v>
      </c>
      <c r="H13" s="3" t="e">
        <f>_xll.qlQuoteValue(D13,AllTriggers)</f>
        <v>#NUM!</v>
      </c>
      <c r="I13" s="50">
        <f>_xll.qlYieldTSDiscount(Discounting,E13,,AllTriggers)</f>
        <v>0.99541963125344413</v>
      </c>
      <c r="J13" s="50">
        <f>_xll.qlYieldTSDiscount(Discounting,F13,,AllTriggers)</f>
        <v>0.98494040193072629</v>
      </c>
      <c r="K13" s="3">
        <f t="shared" si="2"/>
        <v>1.049370928011956E-2</v>
      </c>
      <c r="L13" s="3" t="e">
        <f t="shared" si="3"/>
        <v>#NUM!</v>
      </c>
      <c r="M13" s="48" t="b">
        <f t="shared" si="6"/>
        <v>0</v>
      </c>
      <c r="N13" s="3">
        <f>_xll.qlInterpolationInterpolate($N$1,E13,TRUE)</f>
        <v>5.2216562877830273E-3</v>
      </c>
      <c r="O13" s="74" t="e">
        <f t="shared" si="4"/>
        <v>#NUM!</v>
      </c>
      <c r="P13" s="226" t="e">
        <f t="shared" si="0"/>
        <v>#NUM!</v>
      </c>
      <c r="R13" s="27">
        <f>_xll.qlCalendarAdvance(Calendar,R12,"1D","f")</f>
        <v>42384</v>
      </c>
      <c r="S13" s="68">
        <f>_xll.qlInterpolationInterpolate(B12MInterpolation,R13,TRUE)</f>
        <v>5.5637032629283672E-3</v>
      </c>
    </row>
    <row r="14" spans="1:19" ht="11.25" customHeight="1" x14ac:dyDescent="0.2">
      <c r="A14" s="84">
        <f t="shared" si="7"/>
        <v>11</v>
      </c>
      <c r="B14" s="84" t="s">
        <v>28</v>
      </c>
      <c r="C14" s="84">
        <f t="shared" si="5"/>
        <v>23</v>
      </c>
      <c r="D14" s="212" t="str">
        <f t="shared" si="1"/>
        <v>USD11x23F_Quote</v>
      </c>
      <c r="E14" s="27">
        <f>_xll.qlCalendarAdvance(Calendar,$E$3,A14&amp;"M","mf",,Trigger)</f>
        <v>42704</v>
      </c>
      <c r="F14" s="27">
        <f>_xll.qlCalendarAdvance(Calendar,E14,$F$1,"mf",,Trigger)</f>
        <v>43069</v>
      </c>
      <c r="G14" s="49">
        <f>_xll.qlDayCounterYearFraction(DayCounter,E14,F14,,,Trigger)</f>
        <v>1.0138888888888888</v>
      </c>
      <c r="H14" s="3" t="e">
        <f>_xll.qlQuoteValue(D14,AllTriggers)</f>
        <v>#NUM!</v>
      </c>
      <c r="I14" s="50">
        <f>_xll.qlYieldTSDiscount(Discounting,E14,,AllTriggers)</f>
        <v>0.99480005136016658</v>
      </c>
      <c r="J14" s="50">
        <f>_xll.qlYieldTSDiscount(Discounting,F14,,AllTriggers)</f>
        <v>0.98390199438253922</v>
      </c>
      <c r="K14" s="3">
        <f t="shared" si="2"/>
        <v>1.0924633334669285E-2</v>
      </c>
      <c r="L14" s="3" t="e">
        <f t="shared" si="3"/>
        <v>#NUM!</v>
      </c>
      <c r="M14" s="48" t="b">
        <f t="shared" si="6"/>
        <v>0</v>
      </c>
      <c r="N14" s="3">
        <f>_xll.qlInterpolationInterpolate($N$1,E14,TRUE)</f>
        <v>5.2735081267132559E-3</v>
      </c>
      <c r="O14" s="74" t="e">
        <f t="shared" si="4"/>
        <v>#NUM!</v>
      </c>
      <c r="P14" s="226" t="e">
        <f t="shared" si="0"/>
        <v>#NUM!</v>
      </c>
      <c r="R14" s="27">
        <f>_xll.qlCalendarAdvance(Calendar,R13,"1D","f")</f>
        <v>42387</v>
      </c>
      <c r="S14" s="68">
        <f>_xll.qlInterpolationInterpolate(B12MInterpolation,R14,TRUE)</f>
        <v>5.5515980423191218E-3</v>
      </c>
    </row>
    <row r="15" spans="1:19" ht="11.25" customHeight="1" x14ac:dyDescent="0.2">
      <c r="A15" s="84">
        <f t="shared" si="7"/>
        <v>12</v>
      </c>
      <c r="B15" s="84" t="s">
        <v>28</v>
      </c>
      <c r="C15" s="84">
        <f t="shared" si="5"/>
        <v>24</v>
      </c>
      <c r="D15" s="212" t="str">
        <f t="shared" si="1"/>
        <v>USD12x24F_Quote</v>
      </c>
      <c r="E15" s="27">
        <f>_xll.qlCalendarAdvance(Calendar,$E$3,A15&amp;"M","mf",,Trigger)</f>
        <v>42734</v>
      </c>
      <c r="F15" s="27">
        <f>_xll.qlCalendarAdvance(Calendar,E15,$F$1,"mf",,Trigger)</f>
        <v>43098</v>
      </c>
      <c r="G15" s="49">
        <f>_xll.qlDayCounterYearFraction(DayCounter,E15,F15,,,Trigger)</f>
        <v>1.0111111111111111</v>
      </c>
      <c r="H15" s="3">
        <f>_xll.qlQuoteValue(D15,AllTriggers)</f>
        <v>1.6619999999999999E-2</v>
      </c>
      <c r="I15" s="50">
        <f>_xll.qlYieldTSDiscount(Discounting,E15,,AllTriggers)</f>
        <v>0.99409970395916814</v>
      </c>
      <c r="J15" s="50">
        <f>_xll.qlYieldTSDiscount(Discounting,F15,,AllTriggers)</f>
        <v>0.98287362035188675</v>
      </c>
      <c r="K15" s="3">
        <f t="shared" si="2"/>
        <v>1.129618276577856E-2</v>
      </c>
      <c r="L15" s="3">
        <f t="shared" si="3"/>
        <v>5.3238172342214389E-3</v>
      </c>
      <c r="M15" s="48" t="b">
        <f t="shared" si="6"/>
        <v>1</v>
      </c>
      <c r="N15" s="3">
        <f>_xll.qlInterpolationInterpolate($N$1,E15,TRUE)</f>
        <v>5.3238172342214389E-3</v>
      </c>
      <c r="O15" s="74">
        <f t="shared" si="4"/>
        <v>0</v>
      </c>
      <c r="P15" s="226">
        <f t="shared" si="0"/>
        <v>5.3080696488387634E-3</v>
      </c>
      <c r="R15" s="27">
        <f>_xll.qlCalendarAdvance(Calendar,R14,"1D","f")</f>
        <v>42388</v>
      </c>
      <c r="S15" s="68">
        <f>_xll.qlInterpolationInterpolate(B12MInterpolation,R15,TRUE)</f>
        <v>5.5475938500228646E-3</v>
      </c>
    </row>
    <row r="16" spans="1:19" ht="11.25" customHeight="1" x14ac:dyDescent="0.2">
      <c r="A16" s="84">
        <f t="shared" si="7"/>
        <v>13</v>
      </c>
      <c r="B16" s="84" t="s">
        <v>28</v>
      </c>
      <c r="C16" s="84">
        <f t="shared" si="5"/>
        <v>25</v>
      </c>
      <c r="D16" s="212" t="str">
        <f t="shared" si="1"/>
        <v>USD13x25F_Quote</v>
      </c>
      <c r="E16" s="27">
        <f>_xll.qlCalendarAdvance(Calendar,$E$3,A16&amp;"M","mf",,Trigger)</f>
        <v>42766</v>
      </c>
      <c r="F16" s="27">
        <f>_xll.qlCalendarAdvance(Calendar,E16,$F$1,"mf",,Trigger)</f>
        <v>43131</v>
      </c>
      <c r="G16" s="49">
        <f>_xll.qlDayCounterYearFraction(DayCounter,E16,F16,,,Trigger)</f>
        <v>1.0138888888888888</v>
      </c>
      <c r="H16" s="3" t="e">
        <f>_xll.qlQuoteValue(D16,AllTriggers)</f>
        <v>#NUM!</v>
      </c>
      <c r="I16" s="50">
        <f>_xll.qlYieldTSDiscount(Discounting,E16,,AllTriggers)</f>
        <v>0.99331102490278078</v>
      </c>
      <c r="J16" s="50">
        <f>_xll.qlYieldTSDiscount(Discounting,F16,,AllTriggers)</f>
        <v>0.98166429253156917</v>
      </c>
      <c r="K16" s="3">
        <f t="shared" si="2"/>
        <v>1.1701747918863565E-2</v>
      </c>
      <c r="L16" s="3" t="e">
        <f t="shared" si="3"/>
        <v>#NUM!</v>
      </c>
      <c r="M16" s="48" t="b">
        <f t="shared" si="6"/>
        <v>0</v>
      </c>
      <c r="N16" s="3">
        <f>_xll.qlInterpolationInterpolate($N$1,E16,TRUE)</f>
        <v>5.3660253104256496E-3</v>
      </c>
      <c r="O16" s="74" t="e">
        <f t="shared" si="4"/>
        <v>#NUM!</v>
      </c>
      <c r="P16" s="226" t="e">
        <f t="shared" si="0"/>
        <v>#NUM!</v>
      </c>
      <c r="R16" s="27">
        <f>_xll.qlCalendarAdvance(Calendar,R15,"1D","f")</f>
        <v>42389</v>
      </c>
      <c r="S16" s="68">
        <f>_xll.qlInterpolationInterpolate(B12MInterpolation,R16,TRUE)</f>
        <v>5.543606583021693E-3</v>
      </c>
    </row>
    <row r="17" spans="1:19" ht="11.25" customHeight="1" x14ac:dyDescent="0.2">
      <c r="A17" s="84">
        <f t="shared" si="7"/>
        <v>14</v>
      </c>
      <c r="B17" s="84" t="s">
        <v>28</v>
      </c>
      <c r="C17" s="84">
        <f t="shared" si="5"/>
        <v>26</v>
      </c>
      <c r="D17" s="212" t="str">
        <f t="shared" si="1"/>
        <v>USD14x26F_Quote</v>
      </c>
      <c r="E17" s="27">
        <f>_xll.qlCalendarAdvance(Calendar,$E$3,A17&amp;"M","mf",,Trigger)</f>
        <v>42794</v>
      </c>
      <c r="F17" s="27">
        <f>_xll.qlCalendarAdvance(Calendar,E17,$F$1,"mf",,Trigger)</f>
        <v>43159</v>
      </c>
      <c r="G17" s="49">
        <f>_xll.qlDayCounterYearFraction(DayCounter,E17,F17,,,Trigger)</f>
        <v>1.0138888888888888</v>
      </c>
      <c r="H17" s="3" t="e">
        <f>_xll.qlQuoteValue(D17,AllTriggers)</f>
        <v>#NUM!</v>
      </c>
      <c r="I17" s="50">
        <f>_xll.qlYieldTSDiscount(Discounting,E17,,AllTriggers)</f>
        <v>0.99259621402549536</v>
      </c>
      <c r="J17" s="50">
        <f>_xll.qlYieldTSDiscount(Discounting,F17,,AllTriggers)</f>
        <v>0.98060571442453859</v>
      </c>
      <c r="K17" s="3">
        <f t="shared" si="2"/>
        <v>1.2060144059741509E-2</v>
      </c>
      <c r="L17" s="3" t="e">
        <f t="shared" si="3"/>
        <v>#NUM!</v>
      </c>
      <c r="M17" s="48" t="b">
        <f t="shared" si="6"/>
        <v>0</v>
      </c>
      <c r="N17" s="3">
        <f>_xll.qlInterpolationInterpolate($N$1,E17,TRUE)</f>
        <v>5.3920659724828275E-3</v>
      </c>
      <c r="O17" s="74" t="e">
        <f t="shared" si="4"/>
        <v>#NUM!</v>
      </c>
      <c r="P17" s="226" t="e">
        <f t="shared" si="0"/>
        <v>#NUM!</v>
      </c>
      <c r="R17" s="27">
        <f>_xll.qlCalendarAdvance(Calendar,R16,"1D","f")</f>
        <v>42390</v>
      </c>
      <c r="S17" s="68">
        <f>_xll.qlInterpolationInterpolate(B12MInterpolation,R17,TRUE)</f>
        <v>5.5396371321206122E-3</v>
      </c>
    </row>
    <row r="18" spans="1:19" ht="11.25" customHeight="1" x14ac:dyDescent="0.2">
      <c r="A18" s="84">
        <f t="shared" si="7"/>
        <v>15</v>
      </c>
      <c r="B18" s="84" t="s">
        <v>28</v>
      </c>
      <c r="C18" s="84">
        <f t="shared" si="5"/>
        <v>27</v>
      </c>
      <c r="D18" s="212" t="str">
        <f t="shared" si="1"/>
        <v>USD15x27F_Quote</v>
      </c>
      <c r="E18" s="27">
        <f>_xll.qlCalendarAdvance(Calendar,$E$3,A18&amp;"M","mf",,Trigger)</f>
        <v>42825</v>
      </c>
      <c r="F18" s="27">
        <f>_xll.qlCalendarAdvance(Calendar,E18,$F$1,"mf",,Trigger)</f>
        <v>43188</v>
      </c>
      <c r="G18" s="49">
        <f>_xll.qlDayCounterYearFraction(DayCounter,E18,F18,,,Trigger)</f>
        <v>1.0083333333333333</v>
      </c>
      <c r="H18" s="3">
        <f>_xll.qlQuoteValue(D18,AllTriggers)</f>
        <v>1.7850000000000001E-2</v>
      </c>
      <c r="I18" s="50">
        <f>_xll.qlYieldTSDiscount(Discounting,E18,,AllTriggers)</f>
        <v>0.99176652302594492</v>
      </c>
      <c r="J18" s="50">
        <f>_xll.qlYieldTSDiscount(Discounting,F18,,AllTriggers)</f>
        <v>0.97947984254587794</v>
      </c>
      <c r="K18" s="3">
        <f t="shared" si="2"/>
        <v>1.244041698143611E-2</v>
      </c>
      <c r="L18" s="3">
        <f t="shared" si="3"/>
        <v>5.4095830185638908E-3</v>
      </c>
      <c r="M18" s="48" t="b">
        <f t="shared" si="6"/>
        <v>1</v>
      </c>
      <c r="N18" s="3">
        <f>_xll.qlInterpolationInterpolate($N$1,E18,TRUE)</f>
        <v>5.4095830185638908E-3</v>
      </c>
      <c r="O18" s="74">
        <f t="shared" si="4"/>
        <v>0</v>
      </c>
      <c r="P18" s="226">
        <f t="shared" si="0"/>
        <v>5.3726283416633096E-3</v>
      </c>
      <c r="R18" s="27">
        <f>_xll.qlCalendarAdvance(Calendar,R17,"1D","f")</f>
        <v>42391</v>
      </c>
      <c r="S18" s="68">
        <f>_xll.qlInterpolationInterpolate(B12MInterpolation,R18,TRUE)</f>
        <v>5.5356863881246268E-3</v>
      </c>
    </row>
    <row r="19" spans="1:19" ht="11.25" customHeight="1" x14ac:dyDescent="0.2">
      <c r="A19" s="84">
        <f t="shared" si="7"/>
        <v>16</v>
      </c>
      <c r="B19" s="84" t="s">
        <v>28</v>
      </c>
      <c r="C19" s="84">
        <f t="shared" si="5"/>
        <v>28</v>
      </c>
      <c r="D19" s="212" t="str">
        <f t="shared" si="1"/>
        <v>USD16x28F_Quote</v>
      </c>
      <c r="E19" s="27">
        <f>_xll.qlCalendarAdvance(Calendar,$E$3,A19&amp;"M","mf",,Trigger)</f>
        <v>42853</v>
      </c>
      <c r="F19" s="27">
        <f>_xll.qlCalendarAdvance(Calendar,E19,$F$1,"mf",,Trigger)</f>
        <v>43220</v>
      </c>
      <c r="G19" s="49">
        <f>_xll.qlDayCounterYearFraction(DayCounter,E19,F19,,,Trigger)</f>
        <v>1.0194444444444444</v>
      </c>
      <c r="H19" s="3" t="e">
        <f>_xll.qlQuoteValue(D19,AllTriggers)</f>
        <v>#NUM!</v>
      </c>
      <c r="I19" s="50">
        <f>_xll.qlYieldTSDiscount(Discounting,E19,,AllTriggers)</f>
        <v>0.99097491749326538</v>
      </c>
      <c r="J19" s="50">
        <f>_xll.qlYieldTSDiscount(Discounting,F19,,AllTriggers)</f>
        <v>0.97820494845334227</v>
      </c>
      <c r="K19" s="3">
        <f t="shared" si="2"/>
        <v>1.2805496606778669E-2</v>
      </c>
      <c r="L19" s="3" t="e">
        <f t="shared" si="3"/>
        <v>#NUM!</v>
      </c>
      <c r="M19" s="48" t="b">
        <f t="shared" si="6"/>
        <v>0</v>
      </c>
      <c r="N19" s="3">
        <f>_xll.qlInterpolationInterpolate($N$1,E19,TRUE)</f>
        <v>5.4173280876853181E-3</v>
      </c>
      <c r="O19" s="74" t="e">
        <f t="shared" si="4"/>
        <v>#NUM!</v>
      </c>
      <c r="P19" s="226" t="e">
        <f t="shared" si="0"/>
        <v>#NUM!</v>
      </c>
      <c r="R19" s="27">
        <f>_xll.qlCalendarAdvance(Calendar,R18,"1D","f")</f>
        <v>42394</v>
      </c>
      <c r="S19" s="68">
        <f>_xll.qlInterpolationInterpolate(B12MInterpolation,R19,TRUE)</f>
        <v>5.5239553056172898E-3</v>
      </c>
    </row>
    <row r="20" spans="1:19" ht="11.25" customHeight="1" x14ac:dyDescent="0.2">
      <c r="A20" s="84">
        <f t="shared" si="7"/>
        <v>17</v>
      </c>
      <c r="B20" s="84" t="s">
        <v>28</v>
      </c>
      <c r="C20" s="84">
        <f t="shared" si="5"/>
        <v>29</v>
      </c>
      <c r="D20" s="212" t="str">
        <f t="shared" si="1"/>
        <v>USD17x29F_Quote</v>
      </c>
      <c r="E20" s="27">
        <f>_xll.qlCalendarAdvance(Calendar,$E$3,A20&amp;"M","mf",,Trigger)</f>
        <v>42886</v>
      </c>
      <c r="F20" s="27">
        <f>_xll.qlCalendarAdvance(Calendar,E20,$F$1,"mf",,Trigger)</f>
        <v>43251</v>
      </c>
      <c r="G20" s="49">
        <f>_xll.qlDayCounterYearFraction(DayCounter,E20,F20,,,Trigger)</f>
        <v>1.0138888888888888</v>
      </c>
      <c r="H20" s="3" t="e">
        <f>_xll.qlQuoteValue(D20,AllTriggers)</f>
        <v>#NUM!</v>
      </c>
      <c r="I20" s="50">
        <f>_xll.qlYieldTSDiscount(Discounting,E20,,AllTriggers)</f>
        <v>0.98999180503406492</v>
      </c>
      <c r="J20" s="50">
        <f>_xll.qlYieldTSDiscount(Discounting,F20,,AllTriggers)</f>
        <v>0.97693966391246112</v>
      </c>
      <c r="K20" s="3">
        <f t="shared" si="2"/>
        <v>1.3177215690401945E-2</v>
      </c>
      <c r="L20" s="3" t="e">
        <f t="shared" si="3"/>
        <v>#NUM!</v>
      </c>
      <c r="M20" s="48" t="b">
        <f t="shared" si="6"/>
        <v>0</v>
      </c>
      <c r="N20" s="3">
        <f>_xll.qlInterpolationInterpolate($N$1,E20,TRUE)</f>
        <v>5.4288315907845891E-3</v>
      </c>
      <c r="O20" s="74" t="e">
        <f t="shared" si="4"/>
        <v>#NUM!</v>
      </c>
      <c r="P20" s="226" t="e">
        <f t="shared" si="0"/>
        <v>#NUM!</v>
      </c>
      <c r="R20" s="27">
        <f>_xll.qlCalendarAdvance(Calendar,R19,"1D","f")</f>
        <v>42395</v>
      </c>
      <c r="S20" s="68">
        <f>_xll.qlInterpolationInterpolate(B12MInterpolation,R20,TRUE)</f>
        <v>5.5200882972917314E-3</v>
      </c>
    </row>
    <row r="21" spans="1:19" ht="11.25" customHeight="1" x14ac:dyDescent="0.2">
      <c r="A21" s="84">
        <f t="shared" si="7"/>
        <v>18</v>
      </c>
      <c r="B21" s="84" t="s">
        <v>28</v>
      </c>
      <c r="C21" s="84">
        <f t="shared" si="5"/>
        <v>30</v>
      </c>
      <c r="D21" s="212" t="str">
        <f t="shared" ref="D21:D27" si="8">Currency&amp;A21&amp;B21&amp;C21&amp;"F"&amp;QuoteSuffix</f>
        <v>USD18x30F_Quote</v>
      </c>
      <c r="E21" s="27">
        <f>_xll.qlCalendarAdvance(Calendar,$E$3,A21&amp;"M","mf",,Trigger)</f>
        <v>42916</v>
      </c>
      <c r="F21" s="27">
        <f>_xll.qlCalendarAdvance(Calendar,E21,$F$1,"mf",,Trigger)</f>
        <v>43280</v>
      </c>
      <c r="G21" s="49">
        <f>_xll.qlDayCounterYearFraction(DayCounter,E21,F21,,,Trigger)</f>
        <v>1.0111111111111111</v>
      </c>
      <c r="H21" s="3">
        <f>_xll.qlQuoteValue(D21,AllTriggers)</f>
        <v>1.8959999999999998E-2</v>
      </c>
      <c r="I21" s="50">
        <f>_xll.qlYieldTSDiscount(Discounting,E21,,AllTriggers)</f>
        <v>0.98905463285113115</v>
      </c>
      <c r="J21" s="50">
        <f>_xll.qlYieldTSDiscount(Discounting,F21,,AllTriggers)</f>
        <v>0.97573115279486444</v>
      </c>
      <c r="K21" s="3">
        <f t="shared" ref="K21:K27" si="9">(I21/J21-1)/G21</f>
        <v>1.3504814466333675E-2</v>
      </c>
      <c r="L21" s="3">
        <f t="shared" ref="L21:L27" si="10">H21-K21</f>
        <v>5.4551855336663225E-3</v>
      </c>
      <c r="M21" s="48" t="b">
        <f t="shared" ref="M21:M27" si="11">IF(ISERROR(H21),FALSE,TRUE)</f>
        <v>1</v>
      </c>
      <c r="N21" s="3">
        <f>_xll.qlInterpolationInterpolate($N$1,E21,TRUE)</f>
        <v>5.4551855336663225E-3</v>
      </c>
      <c r="O21" s="74">
        <f t="shared" ref="O21:O27" si="12">(L21-N21)*10000</f>
        <v>0</v>
      </c>
      <c r="P21" s="226">
        <f t="shared" ref="P21:P27" si="13">LN((1+H21*G21)/(1+K21*G21))</f>
        <v>5.4267443504465015E-3</v>
      </c>
      <c r="R21" s="27">
        <f>_xll.qlCalendarAdvance(Calendar,R20,"1D","f")</f>
        <v>42396</v>
      </c>
      <c r="S21" s="68">
        <f>_xll.qlInterpolationInterpolate(B12MInterpolation,R21,TRUE)</f>
        <v>5.5162444498962912E-3</v>
      </c>
    </row>
    <row r="22" spans="1:19" ht="11.25" customHeight="1" x14ac:dyDescent="0.2">
      <c r="A22" s="84">
        <f t="shared" si="7"/>
        <v>19</v>
      </c>
      <c r="B22" s="84" t="s">
        <v>28</v>
      </c>
      <c r="C22" s="84">
        <f t="shared" ref="C22:C24" si="14">A22+12</f>
        <v>31</v>
      </c>
      <c r="D22" s="212" t="str">
        <f t="shared" si="8"/>
        <v>USD19x31F_Quote</v>
      </c>
      <c r="E22" s="27">
        <f>_xll.qlCalendarAdvance(Calendar,$E$3,A22&amp;"M","mf",,Trigger)</f>
        <v>42947</v>
      </c>
      <c r="F22" s="27">
        <f>_xll.qlCalendarAdvance(Calendar,E22,$F$1,"mf",,Trigger)</f>
        <v>43312</v>
      </c>
      <c r="G22" s="49">
        <f>_xll.qlDayCounterYearFraction(DayCounter,E22,F22,,,Trigger)</f>
        <v>1.0138888888888888</v>
      </c>
      <c r="H22" s="3" t="e">
        <f>_xll.qlQuoteValue(D22,AllTriggers)</f>
        <v>#NUM!</v>
      </c>
      <c r="I22" s="50">
        <f>_xll.qlYieldTSDiscount(Discounting,E22,,AllTriggers)</f>
        <v>0.98804799415066258</v>
      </c>
      <c r="J22" s="50">
        <f>_xll.qlYieldTSDiscount(Discounting,F22,,AllTriggers)</f>
        <v>0.97437205646036018</v>
      </c>
      <c r="K22" s="3">
        <f t="shared" si="9"/>
        <v>1.3843373266580477E-2</v>
      </c>
      <c r="L22" s="3" t="e">
        <f t="shared" si="10"/>
        <v>#NUM!</v>
      </c>
      <c r="M22" s="48" t="b">
        <f t="shared" si="11"/>
        <v>0</v>
      </c>
      <c r="N22" s="3">
        <f>_xll.qlInterpolationInterpolate($N$1,E22,TRUE)</f>
        <v>5.5129977158849775E-3</v>
      </c>
      <c r="O22" s="74" t="e">
        <f t="shared" si="12"/>
        <v>#NUM!</v>
      </c>
      <c r="P22" s="226" t="e">
        <f t="shared" si="13"/>
        <v>#NUM!</v>
      </c>
      <c r="R22" s="27">
        <f>_xll.qlCalendarAdvance(Calendar,R21,"1D","f")</f>
        <v>42397</v>
      </c>
      <c r="S22" s="68">
        <f>_xll.qlInterpolationInterpolate(B12MInterpolation,R22,TRUE)</f>
        <v>5.5124246542359737E-3</v>
      </c>
    </row>
    <row r="23" spans="1:19" ht="11.25" customHeight="1" x14ac:dyDescent="0.2">
      <c r="A23" s="84">
        <f t="shared" si="7"/>
        <v>20</v>
      </c>
      <c r="B23" s="84" t="s">
        <v>28</v>
      </c>
      <c r="C23" s="84">
        <f t="shared" si="14"/>
        <v>32</v>
      </c>
      <c r="D23" s="212" t="str">
        <f t="shared" si="8"/>
        <v>USD20x32F_Quote</v>
      </c>
      <c r="E23" s="27">
        <f>_xll.qlCalendarAdvance(Calendar,$E$3,A23&amp;"M","mf",,Trigger)</f>
        <v>42978</v>
      </c>
      <c r="F23" s="27">
        <f>_xll.qlCalendarAdvance(Calendar,E23,$F$1,"mf",,Trigger)</f>
        <v>43343</v>
      </c>
      <c r="G23" s="49">
        <f>_xll.qlDayCounterYearFraction(DayCounter,E23,F23,,,Trigger)</f>
        <v>1.0138888888888888</v>
      </c>
      <c r="H23" s="3" t="e">
        <f>_xll.qlQuoteValue(D23,AllTriggers)</f>
        <v>#NUM!</v>
      </c>
      <c r="I23" s="50">
        <f>_xll.qlYieldTSDiscount(Discounting,E23,,AllTriggers)</f>
        <v>0.98701351959523453</v>
      </c>
      <c r="J23" s="50">
        <f>_xll.qlYieldTSDiscount(Discounting,F23,,AllTriggers)</f>
        <v>0.97303216303482754</v>
      </c>
      <c r="K23" s="3">
        <f t="shared" si="9"/>
        <v>1.4172019848822912E-2</v>
      </c>
      <c r="L23" s="3" t="e">
        <f t="shared" si="10"/>
        <v>#NUM!</v>
      </c>
      <c r="M23" s="48" t="b">
        <f t="shared" si="11"/>
        <v>0</v>
      </c>
      <c r="N23" s="3">
        <f>_xll.qlInterpolationInterpolate($N$1,E23,TRUE)</f>
        <v>5.5789216425657321E-3</v>
      </c>
      <c r="O23" s="74" t="e">
        <f t="shared" si="12"/>
        <v>#NUM!</v>
      </c>
      <c r="P23" s="226" t="e">
        <f t="shared" si="13"/>
        <v>#NUM!</v>
      </c>
      <c r="R23" s="27">
        <f>_xll.qlCalendarAdvance(Calendar,R22,"1D","f")</f>
        <v>42398</v>
      </c>
      <c r="S23" s="68">
        <f>_xll.qlInterpolationInterpolate(B12MInterpolation,R23,TRUE)</f>
        <v>5.5086298011157832E-3</v>
      </c>
    </row>
    <row r="24" spans="1:19" ht="11.25" customHeight="1" x14ac:dyDescent="0.2">
      <c r="A24" s="84">
        <f t="shared" si="7"/>
        <v>21</v>
      </c>
      <c r="B24" s="84" t="s">
        <v>28</v>
      </c>
      <c r="C24" s="84">
        <f t="shared" si="14"/>
        <v>33</v>
      </c>
      <c r="D24" s="212" t="str">
        <f t="shared" si="8"/>
        <v>USD21x33F_Quote</v>
      </c>
      <c r="E24" s="27">
        <f>_xll.qlCalendarAdvance(Calendar,$E$3,A24&amp;"M","mf",,Trigger)</f>
        <v>43007</v>
      </c>
      <c r="F24" s="27">
        <f>_xll.qlCalendarAdvance(Calendar,E24,$F$1,"mf",,Trigger)</f>
        <v>43371</v>
      </c>
      <c r="G24" s="49">
        <f>_xll.qlDayCounterYearFraction(DayCounter,E24,F24,,,Trigger)</f>
        <v>1.0111111111111111</v>
      </c>
      <c r="H24" s="3">
        <f>_xll.qlQuoteValue(D24,AllTriggers)</f>
        <v>2.009E-2</v>
      </c>
      <c r="I24" s="50">
        <f>_xll.qlYieldTSDiscount(Discounting,E24,,AllTriggers)</f>
        <v>0.98603165966881101</v>
      </c>
      <c r="J24" s="50">
        <f>_xll.qlYieldTSDiscount(Discounting,F24,,AllTriggers)</f>
        <v>0.97180417931136909</v>
      </c>
      <c r="K24" s="3">
        <f t="shared" si="9"/>
        <v>1.4479392782009862E-2</v>
      </c>
      <c r="L24" s="3">
        <f t="shared" si="10"/>
        <v>5.6106072179901382E-3</v>
      </c>
      <c r="M24" s="48" t="b">
        <f t="shared" si="11"/>
        <v>1</v>
      </c>
      <c r="N24" s="3">
        <f>_xll.qlInterpolationInterpolate($N$1,E24,TRUE)</f>
        <v>5.6106072179901382E-3</v>
      </c>
      <c r="O24" s="74">
        <f t="shared" si="12"/>
        <v>0</v>
      </c>
      <c r="P24" s="226">
        <f t="shared" si="13"/>
        <v>5.5755200323822094E-3</v>
      </c>
      <c r="R24" s="27">
        <f>_xll.qlCalendarAdvance(Calendar,R23,"1D","f")</f>
        <v>42401</v>
      </c>
      <c r="S24" s="68">
        <f>_xll.qlInterpolationInterpolate(B12MInterpolation,R24,TRUE)</f>
        <v>5.4973860578123685E-3</v>
      </c>
    </row>
    <row r="25" spans="1:19" ht="11.25" customHeight="1" x14ac:dyDescent="0.2">
      <c r="A25" s="84">
        <f t="shared" si="7"/>
        <v>22</v>
      </c>
      <c r="B25" s="84" t="s">
        <v>28</v>
      </c>
      <c r="C25" s="84">
        <f t="shared" ref="C25:C27" si="15">A25+12</f>
        <v>34</v>
      </c>
      <c r="D25" s="212" t="str">
        <f t="shared" si="8"/>
        <v>USD22x34F_Quote</v>
      </c>
      <c r="E25" s="27">
        <f>_xll.qlCalendarAdvance(Calendar,$E$3,A25&amp;"M","mf",,Trigger)</f>
        <v>43039</v>
      </c>
      <c r="F25" s="27">
        <f>_xll.qlCalendarAdvance(Calendar,E25,$F$1,"mf",,Trigger)</f>
        <v>43404</v>
      </c>
      <c r="G25" s="49">
        <f>_xll.qlDayCounterYearFraction(DayCounter,E25,F25,,,Trigger)</f>
        <v>1.0138888888888888</v>
      </c>
      <c r="H25" s="3" t="e">
        <f>_xll.qlQuoteValue(D25,AllTriggers)</f>
        <v>#NUM!</v>
      </c>
      <c r="I25" s="50">
        <f>_xll.qlYieldTSDiscount(Discounting,E25,,AllTriggers)</f>
        <v>0.98494040193072629</v>
      </c>
      <c r="J25" s="50">
        <f>_xll.qlYieldTSDiscount(Discounting,F25,,AllTriggers)</f>
        <v>0.97033763542519247</v>
      </c>
      <c r="K25" s="3">
        <f t="shared" si="9"/>
        <v>1.4843007302181509E-2</v>
      </c>
      <c r="L25" s="3" t="e">
        <f t="shared" si="10"/>
        <v>#NUM!</v>
      </c>
      <c r="M25" s="48" t="b">
        <f t="shared" si="11"/>
        <v>0</v>
      </c>
      <c r="N25" s="3">
        <f>_xll.qlInterpolationInterpolate($N$1,E25,TRUE)</f>
        <v>5.6146375327740805E-3</v>
      </c>
      <c r="O25" s="74" t="e">
        <f t="shared" si="12"/>
        <v>#NUM!</v>
      </c>
      <c r="P25" s="226" t="e">
        <f t="shared" si="13"/>
        <v>#NUM!</v>
      </c>
      <c r="R25" s="27">
        <f>_xll.qlCalendarAdvance(Calendar,R24,"1D","f")</f>
        <v>42402</v>
      </c>
      <c r="S25" s="68">
        <f>_xll.qlInterpolationInterpolate(B12MInterpolation,R25,TRUE)</f>
        <v>5.4936755626195802E-3</v>
      </c>
    </row>
    <row r="26" spans="1:19" ht="11.25" customHeight="1" x14ac:dyDescent="0.2">
      <c r="A26" s="84">
        <f t="shared" si="7"/>
        <v>23</v>
      </c>
      <c r="B26" s="84" t="s">
        <v>28</v>
      </c>
      <c r="C26" s="84">
        <f t="shared" si="15"/>
        <v>35</v>
      </c>
      <c r="D26" s="212" t="str">
        <f t="shared" si="8"/>
        <v>USD23x35F_Quote</v>
      </c>
      <c r="E26" s="27">
        <f>_xll.qlCalendarAdvance(Calendar,$E$3,A26&amp;"M","mf",,Trigger)</f>
        <v>43069</v>
      </c>
      <c r="F26" s="27">
        <f>_xll.qlCalendarAdvance(Calendar,E26,$F$1,"mf",,Trigger)</f>
        <v>43434</v>
      </c>
      <c r="G26" s="49">
        <f>_xll.qlDayCounterYearFraction(DayCounter,E26,F26,,,Trigger)</f>
        <v>1.0138888888888888</v>
      </c>
      <c r="H26" s="3" t="e">
        <f>_xll.qlQuoteValue(D26,AllTriggers)</f>
        <v>#NUM!</v>
      </c>
      <c r="I26" s="50">
        <f>_xll.qlYieldTSDiscount(Discounting,E26,,AllTriggers)</f>
        <v>0.98390199438253922</v>
      </c>
      <c r="J26" s="50">
        <f>_xll.qlYieldTSDiscount(Discounting,F26,,AllTriggers)</f>
        <v>0.96898849569298739</v>
      </c>
      <c r="K26" s="3">
        <f t="shared" si="9"/>
        <v>1.5179957504485954E-2</v>
      </c>
      <c r="L26" s="3" t="e">
        <f t="shared" si="10"/>
        <v>#NUM!</v>
      </c>
      <c r="M26" s="48" t="b">
        <f t="shared" si="11"/>
        <v>0</v>
      </c>
      <c r="N26" s="3">
        <f>_xll.qlInterpolationInterpolate($N$1,E26,TRUE)</f>
        <v>5.6159681736311995E-3</v>
      </c>
      <c r="O26" s="74" t="e">
        <f t="shared" si="12"/>
        <v>#NUM!</v>
      </c>
      <c r="P26" s="226" t="e">
        <f t="shared" si="13"/>
        <v>#NUM!</v>
      </c>
      <c r="R26" s="27">
        <f>_xll.qlCalendarAdvance(Calendar,R25,"1D","f")</f>
        <v>42403</v>
      </c>
      <c r="S26" s="68">
        <f>_xll.qlInterpolationInterpolate(B12MInterpolation,R26,TRUE)</f>
        <v>5.4899786886731397E-3</v>
      </c>
    </row>
    <row r="27" spans="1:19" ht="11.25" customHeight="1" x14ac:dyDescent="0.2">
      <c r="A27" s="84">
        <f t="shared" si="7"/>
        <v>24</v>
      </c>
      <c r="B27" s="84" t="s">
        <v>28</v>
      </c>
      <c r="C27" s="84">
        <f t="shared" si="15"/>
        <v>36</v>
      </c>
      <c r="D27" s="213" t="str">
        <f t="shared" si="8"/>
        <v>USD24x36F_Quote</v>
      </c>
      <c r="E27" s="71">
        <f>_xll.qlCalendarAdvance(Calendar,$E$3,A27&amp;"M","mf",,Trigger)</f>
        <v>43098</v>
      </c>
      <c r="F27" s="71">
        <f>_xll.qlCalendarAdvance(Calendar,E27,$F$1,"mf",,Trigger)</f>
        <v>43465</v>
      </c>
      <c r="G27" s="72">
        <f>_xll.qlDayCounterYearFraction(DayCounter,E27,F27,,,Trigger)</f>
        <v>1.0194444444444444</v>
      </c>
      <c r="H27" s="60">
        <f>_xll.qlQuoteValue(D27,AllTriggers)</f>
        <v>2.112E-2</v>
      </c>
      <c r="I27" s="61">
        <f>_xll.qlYieldTSDiscount(Discounting,E27,,AllTriggers)</f>
        <v>0.98287362035188675</v>
      </c>
      <c r="J27" s="61">
        <f>_xll.qlYieldTSDiscount(Discounting,F27,,AllTriggers)</f>
        <v>0.96758070130544815</v>
      </c>
      <c r="K27" s="60">
        <f t="shared" si="9"/>
        <v>1.5503852518120476E-2</v>
      </c>
      <c r="L27" s="60">
        <f t="shared" si="10"/>
        <v>5.6161474818795243E-3</v>
      </c>
      <c r="M27" s="73" t="b">
        <f t="shared" si="11"/>
        <v>1</v>
      </c>
      <c r="N27" s="60">
        <f>_xll.qlInterpolationInterpolate($N$1,E27,TRUE)</f>
        <v>5.6161474818795243E-3</v>
      </c>
      <c r="O27" s="80">
        <f t="shared" si="12"/>
        <v>0</v>
      </c>
      <c r="P27" s="231">
        <f t="shared" si="13"/>
        <v>5.6204430384415765E-3</v>
      </c>
      <c r="R27" s="27">
        <f>_xll.qlCalendarAdvance(Calendar,R26,"1D","f")</f>
        <v>42404</v>
      </c>
      <c r="S27" s="68">
        <f>_xll.qlInterpolationInterpolate(B12MInterpolation,R27,TRUE)</f>
        <v>5.4862923829483512E-3</v>
      </c>
    </row>
    <row r="28" spans="1:19" ht="11.25" customHeight="1" x14ac:dyDescent="0.2">
      <c r="E28" s="147"/>
      <c r="F28" s="147"/>
      <c r="G28" s="147"/>
      <c r="H28" s="112"/>
      <c r="I28" s="86"/>
      <c r="J28" s="86"/>
      <c r="K28" s="112"/>
      <c r="L28" s="112"/>
      <c r="O28" s="86"/>
      <c r="P28" s="86"/>
      <c r="R28" s="27">
        <f>_xll.qlCalendarAdvance(Calendar,R27,"1D","f")</f>
        <v>42405</v>
      </c>
      <c r="S28" s="68">
        <f>_xll.qlInterpolationInterpolate(B12MInterpolation,R28,TRUE)</f>
        <v>5.4826135924205197E-3</v>
      </c>
    </row>
    <row r="29" spans="1:19" ht="11.25" customHeight="1" x14ac:dyDescent="0.2">
      <c r="E29" s="147"/>
      <c r="F29" s="147"/>
      <c r="G29" s="147"/>
      <c r="H29" s="112"/>
      <c r="K29" s="112"/>
      <c r="L29" s="112"/>
      <c r="P29" s="86"/>
      <c r="R29" s="27">
        <f>_xll.qlCalendarAdvance(Calendar,R28,"1D","f")</f>
        <v>42408</v>
      </c>
      <c r="S29" s="68">
        <f>_xll.qlInterpolationInterpolate(B12MInterpolation,R29,TRUE)</f>
        <v>5.471591781771804E-3</v>
      </c>
    </row>
    <row r="30" spans="1:19" ht="11.25" customHeight="1" x14ac:dyDescent="0.2">
      <c r="E30" s="147"/>
      <c r="F30" s="147"/>
      <c r="G30" s="147"/>
      <c r="H30" s="112"/>
      <c r="K30" s="112"/>
      <c r="L30" s="112"/>
      <c r="R30" s="27">
        <f>_xll.qlCalendarAdvance(Calendar,R29,"1D","f")</f>
        <v>42409</v>
      </c>
      <c r="S30" s="68">
        <f>_xll.qlInterpolationInterpolate(B12MInterpolation,R30,TRUE)</f>
        <v>5.4679125217848394E-3</v>
      </c>
    </row>
    <row r="31" spans="1:19" ht="11.25" customHeight="1" x14ac:dyDescent="0.2">
      <c r="E31" s="147"/>
      <c r="F31" s="147"/>
      <c r="G31" s="147"/>
      <c r="H31" s="112"/>
      <c r="K31" s="112"/>
      <c r="L31" s="112"/>
      <c r="R31" s="27">
        <f>_xll.qlCalendarAdvance(Calendar,R30,"1D","f")</f>
        <v>42410</v>
      </c>
      <c r="S31" s="68">
        <f>_xll.qlInterpolationInterpolate(B12MInterpolation,R31,TRUE)</f>
        <v>5.4642255118713522E-3</v>
      </c>
    </row>
    <row r="32" spans="1:19" ht="11.25" customHeight="1" x14ac:dyDescent="0.2">
      <c r="E32" s="147"/>
      <c r="F32" s="147"/>
      <c r="G32" s="147"/>
      <c r="H32" s="112"/>
      <c r="K32" s="112"/>
      <c r="L32" s="112"/>
      <c r="R32" s="27">
        <f>_xll.qlCalendarAdvance(Calendar,R31,"1D","f")</f>
        <v>42411</v>
      </c>
      <c r="S32" s="68">
        <f>_xll.qlInterpolationInterpolate(B12MInterpolation,R32,TRUE)</f>
        <v>5.4605276990066457E-3</v>
      </c>
    </row>
    <row r="33" spans="5:19" ht="11.25" customHeight="1" x14ac:dyDescent="0.2">
      <c r="E33" s="147"/>
      <c r="F33" s="147"/>
      <c r="G33" s="147"/>
      <c r="H33" s="112"/>
      <c r="K33" s="112"/>
      <c r="L33" s="112"/>
      <c r="R33" s="27">
        <f>_xll.qlCalendarAdvance(Calendar,R32,"1D","f")</f>
        <v>42412</v>
      </c>
      <c r="S33" s="68">
        <f>_xll.qlInterpolationInterpolate(B12MInterpolation,R33,TRUE)</f>
        <v>5.4568160301660257E-3</v>
      </c>
    </row>
    <row r="34" spans="5:19" ht="11.25" customHeight="1" x14ac:dyDescent="0.2">
      <c r="E34" s="147"/>
      <c r="F34" s="147"/>
      <c r="G34" s="147"/>
      <c r="H34" s="112"/>
      <c r="K34" s="112"/>
      <c r="L34" s="112"/>
      <c r="R34" s="27">
        <f>_xll.qlCalendarAdvance(Calendar,R33,"1D","f")</f>
        <v>42415</v>
      </c>
      <c r="S34" s="68">
        <f>_xll.qlInterpolationInterpolate(B12MInterpolation,R34,TRUE)</f>
        <v>5.4455673575417168E-3</v>
      </c>
    </row>
    <row r="35" spans="5:19" ht="11.25" customHeight="1" x14ac:dyDescent="0.2">
      <c r="E35" s="147"/>
      <c r="F35" s="147"/>
      <c r="G35" s="147"/>
      <c r="H35" s="112"/>
      <c r="K35" s="112"/>
      <c r="L35" s="112"/>
      <c r="R35" s="27">
        <f>_xll.qlCalendarAdvance(Calendar,R34,"1D","f")</f>
        <v>42416</v>
      </c>
      <c r="S35" s="68">
        <f>_xll.qlInterpolationInterpolate(B12MInterpolation,R35,TRUE)</f>
        <v>5.4417697345504785E-3</v>
      </c>
    </row>
    <row r="36" spans="5:19" ht="11.25" customHeight="1" x14ac:dyDescent="0.2">
      <c r="E36" s="147"/>
      <c r="F36" s="147"/>
      <c r="G36" s="147"/>
      <c r="H36" s="112"/>
      <c r="K36" s="112"/>
      <c r="L36" s="112"/>
      <c r="R36" s="27">
        <f>_xll.qlCalendarAdvance(Calendar,R35,"1D","f")</f>
        <v>42417</v>
      </c>
      <c r="S36" s="68">
        <f>_xll.qlInterpolationInterpolate(B12MInterpolation,R36,TRUE)</f>
        <v>5.4379429904598464E-3</v>
      </c>
    </row>
    <row r="37" spans="5:19" ht="11.25" customHeight="1" x14ac:dyDescent="0.2">
      <c r="E37" s="147"/>
      <c r="F37" s="147"/>
      <c r="G37" s="147"/>
      <c r="H37" s="112"/>
      <c r="K37" s="112"/>
      <c r="L37" s="112"/>
      <c r="R37" s="27">
        <f>_xll.qlCalendarAdvance(Calendar,R36,"1D","f")</f>
        <v>42418</v>
      </c>
      <c r="S37" s="68">
        <f>_xll.qlInterpolationInterpolate(B12MInterpolation,R37,TRUE)</f>
        <v>5.4340840722451244E-3</v>
      </c>
    </row>
    <row r="38" spans="5:19" ht="11.25" customHeight="1" x14ac:dyDescent="0.2">
      <c r="E38" s="147"/>
      <c r="F38" s="147"/>
      <c r="G38" s="147"/>
      <c r="H38" s="112"/>
      <c r="K38" s="112"/>
      <c r="L38" s="112"/>
      <c r="R38" s="27">
        <f>_xll.qlCalendarAdvance(Calendar,R37,"1D","f")</f>
        <v>42419</v>
      </c>
      <c r="S38" s="68">
        <f>_xll.qlInterpolationInterpolate(B12MInterpolation,R38,TRUE)</f>
        <v>5.4301899268816168E-3</v>
      </c>
    </row>
    <row r="39" spans="5:19" ht="11.25" customHeight="1" x14ac:dyDescent="0.2">
      <c r="E39" s="147"/>
      <c r="F39" s="147"/>
      <c r="G39" s="147"/>
      <c r="H39" s="112"/>
      <c r="K39" s="112"/>
      <c r="L39" s="112"/>
      <c r="R39" s="27">
        <f>_xll.qlCalendarAdvance(Calendar,R38,"1D","f")</f>
        <v>42422</v>
      </c>
      <c r="S39" s="68">
        <f>_xll.qlInterpolationInterpolate(B12MInterpolation,R39,TRUE)</f>
        <v>5.4182655976514216E-3</v>
      </c>
    </row>
    <row r="40" spans="5:19" ht="11.25" customHeight="1" x14ac:dyDescent="0.2">
      <c r="E40" s="147"/>
      <c r="F40" s="147"/>
      <c r="G40" s="147"/>
      <c r="H40" s="112"/>
      <c r="K40" s="112"/>
      <c r="L40" s="112"/>
      <c r="R40" s="27">
        <f>_xll.qlCalendarAdvance(Calendar,R39,"1D","f")</f>
        <v>42423</v>
      </c>
      <c r="S40" s="68">
        <f>_xll.qlInterpolationInterpolate(B12MInterpolation,R40,TRUE)</f>
        <v>5.4142000134458123E-3</v>
      </c>
    </row>
    <row r="41" spans="5:19" ht="11.25" customHeight="1" x14ac:dyDescent="0.2">
      <c r="E41" s="147"/>
      <c r="F41" s="147"/>
      <c r="G41" s="147"/>
      <c r="H41" s="112"/>
      <c r="K41" s="112"/>
      <c r="L41" s="112"/>
      <c r="R41" s="27">
        <f>_xll.qlCalendarAdvance(Calendar,R40,"1D","f")</f>
        <v>42424</v>
      </c>
      <c r="S41" s="68">
        <f>_xll.qlInterpolationInterpolate(B12MInterpolation,R41,TRUE)</f>
        <v>5.4100839369679386E-3</v>
      </c>
    </row>
    <row r="42" spans="5:19" ht="11.25" customHeight="1" x14ac:dyDescent="0.2">
      <c r="E42" s="147"/>
      <c r="F42" s="147"/>
      <c r="G42" s="147"/>
      <c r="H42" s="112"/>
      <c r="K42" s="112"/>
      <c r="L42" s="112"/>
      <c r="R42" s="27">
        <f>_xll.qlCalendarAdvance(Calendar,R41,"1D","f")</f>
        <v>42425</v>
      </c>
      <c r="S42" s="68">
        <f>_xll.qlInterpolationInterpolate(B12MInterpolation,R42,TRUE)</f>
        <v>5.4059143151931029E-3</v>
      </c>
    </row>
    <row r="43" spans="5:19" ht="11.25" customHeight="1" x14ac:dyDescent="0.2">
      <c r="E43" s="147"/>
      <c r="F43" s="147"/>
      <c r="G43" s="147"/>
      <c r="H43" s="112"/>
      <c r="K43" s="112"/>
      <c r="L43" s="112"/>
      <c r="R43" s="27">
        <f>_xll.qlCalendarAdvance(Calendar,R42,"1D","f")</f>
        <v>42426</v>
      </c>
      <c r="S43" s="68">
        <f>_xll.qlInterpolationInterpolate(B12MInterpolation,R43,TRUE)</f>
        <v>5.4016880950966111E-3</v>
      </c>
    </row>
    <row r="44" spans="5:19" ht="11.25" customHeight="1" x14ac:dyDescent="0.2">
      <c r="E44" s="147"/>
      <c r="F44" s="147"/>
      <c r="G44" s="147"/>
      <c r="H44" s="112"/>
      <c r="K44" s="112"/>
      <c r="L44" s="112"/>
      <c r="R44" s="27">
        <f>_xll.qlCalendarAdvance(Calendar,R43,"1D","f")</f>
        <v>42429</v>
      </c>
      <c r="S44" s="68">
        <f>_xll.qlInterpolationInterpolate(B12MInterpolation,R44,TRUE)</f>
        <v>5.3886393146302357E-3</v>
      </c>
    </row>
    <row r="45" spans="5:19" ht="11.25" customHeight="1" x14ac:dyDescent="0.2">
      <c r="E45" s="147"/>
      <c r="F45" s="147"/>
      <c r="G45" s="147"/>
      <c r="H45" s="112"/>
      <c r="K45" s="112"/>
      <c r="L45" s="112"/>
      <c r="R45" s="27">
        <f>_xll.qlCalendarAdvance(Calendar,R44,"1D","f")</f>
        <v>42430</v>
      </c>
      <c r="S45" s="68">
        <f>_xll.qlInterpolationInterpolate(B12MInterpolation,R45,TRUE)</f>
        <v>5.3841585891389503E-3</v>
      </c>
    </row>
    <row r="46" spans="5:19" ht="11.25" customHeight="1" x14ac:dyDescent="0.2">
      <c r="E46" s="147"/>
      <c r="F46" s="147"/>
      <c r="G46" s="147"/>
      <c r="H46" s="112"/>
      <c r="K46" s="112"/>
      <c r="L46" s="112"/>
      <c r="R46" s="27">
        <f>_xll.qlCalendarAdvance(Calendar,R45,"1D","f")</f>
        <v>42431</v>
      </c>
      <c r="S46" s="68">
        <f>_xll.qlInterpolationInterpolate(B12MInterpolation,R46,TRUE)</f>
        <v>5.3796205090352817E-3</v>
      </c>
    </row>
    <row r="47" spans="5:19" ht="11.25" customHeight="1" x14ac:dyDescent="0.2">
      <c r="E47" s="147"/>
      <c r="F47" s="147"/>
      <c r="G47" s="147"/>
      <c r="H47" s="112"/>
      <c r="K47" s="112"/>
      <c r="L47" s="112"/>
      <c r="R47" s="27">
        <f>_xll.qlCalendarAdvance(Calendar,R46,"1D","f")</f>
        <v>42432</v>
      </c>
      <c r="S47" s="68">
        <f>_xll.qlInterpolationInterpolate(B12MInterpolation,R47,TRUE)</f>
        <v>5.375036530127289E-3</v>
      </c>
    </row>
    <row r="48" spans="5:19" ht="11.25" customHeight="1" x14ac:dyDescent="0.2">
      <c r="E48" s="147"/>
      <c r="F48" s="147"/>
      <c r="G48" s="147"/>
      <c r="H48" s="112"/>
      <c r="K48" s="112"/>
      <c r="L48" s="112"/>
      <c r="R48" s="27">
        <f>_xll.qlCalendarAdvance(Calendar,R47,"1D","f")</f>
        <v>42433</v>
      </c>
      <c r="S48" s="68">
        <f>_xll.qlInterpolationInterpolate(B12MInterpolation,R48,TRUE)</f>
        <v>5.3704181082230296E-3</v>
      </c>
    </row>
    <row r="49" spans="5:19" ht="11.25" customHeight="1" x14ac:dyDescent="0.2">
      <c r="E49" s="147"/>
      <c r="F49" s="147"/>
      <c r="G49" s="147"/>
      <c r="H49" s="112"/>
      <c r="K49" s="112"/>
      <c r="L49" s="112"/>
      <c r="R49" s="27">
        <f>_xll.qlCalendarAdvance(Calendar,R48,"1D","f")</f>
        <v>42436</v>
      </c>
      <c r="S49" s="68">
        <f>_xll.qlInterpolationInterpolate(B12MInterpolation,R49,TRUE)</f>
        <v>5.3564707426132273E-3</v>
      </c>
    </row>
    <row r="50" spans="5:19" ht="11.25" customHeight="1" x14ac:dyDescent="0.2">
      <c r="E50" s="147"/>
      <c r="F50" s="147"/>
      <c r="G50" s="147"/>
      <c r="H50" s="112"/>
      <c r="K50" s="112"/>
      <c r="L50" s="112"/>
      <c r="R50" s="27">
        <f>_xll.qlCalendarAdvance(Calendar,R49,"1D","f")</f>
        <v>42437</v>
      </c>
      <c r="S50" s="68">
        <f>_xll.qlInterpolationInterpolate(B12MInterpolation,R50,TRUE)</f>
        <v>5.3518291068044782E-3</v>
      </c>
    </row>
    <row r="51" spans="5:19" ht="11.25" customHeight="1" x14ac:dyDescent="0.2">
      <c r="E51" s="147"/>
      <c r="F51" s="147"/>
      <c r="G51" s="147"/>
      <c r="H51" s="112"/>
      <c r="K51" s="112"/>
      <c r="L51" s="112"/>
      <c r="R51" s="27">
        <f>_xll.qlCalendarAdvance(Calendar,R50,"1D","f")</f>
        <v>42438</v>
      </c>
      <c r="S51" s="68">
        <f>_xll.qlInterpolationInterpolate(B12MInterpolation,R51,TRUE)</f>
        <v>5.3472103070397511E-3</v>
      </c>
    </row>
    <row r="52" spans="5:19" ht="11.25" customHeight="1" x14ac:dyDescent="0.2">
      <c r="E52" s="147"/>
      <c r="F52" s="147"/>
      <c r="G52" s="147"/>
      <c r="H52" s="112"/>
      <c r="K52" s="112"/>
      <c r="L52" s="112"/>
      <c r="R52" s="27">
        <f>_xll.qlCalendarAdvance(Calendar,R51,"1D","f")</f>
        <v>42439</v>
      </c>
      <c r="S52" s="68">
        <f>_xll.qlInterpolationInterpolate(B12MInterpolation,R52,TRUE)</f>
        <v>5.3426257991271041E-3</v>
      </c>
    </row>
    <row r="53" spans="5:19" x14ac:dyDescent="0.2">
      <c r="E53" s="147"/>
      <c r="F53" s="147"/>
      <c r="G53" s="147"/>
      <c r="H53" s="112"/>
      <c r="K53" s="112"/>
      <c r="L53" s="112"/>
      <c r="R53" s="27">
        <f>_xll.qlCalendarAdvance(Calendar,R52,"1D","f")</f>
        <v>42440</v>
      </c>
      <c r="S53" s="68">
        <f>_xll.qlInterpolationInterpolate(B12MInterpolation,R53,TRUE)</f>
        <v>5.3380870388745954E-3</v>
      </c>
    </row>
    <row r="54" spans="5:19" x14ac:dyDescent="0.2">
      <c r="E54" s="147"/>
      <c r="F54" s="147"/>
      <c r="G54" s="147"/>
      <c r="H54" s="112"/>
      <c r="K54" s="112"/>
      <c r="L54" s="112"/>
      <c r="R54" s="27">
        <f>_xll.qlCalendarAdvance(Calendar,R53,"1D","f")</f>
        <v>42443</v>
      </c>
      <c r="S54" s="68">
        <f>_xll.qlInterpolationInterpolate(B12MInterpolation,R54,TRUE)</f>
        <v>5.3248598021584728E-3</v>
      </c>
    </row>
    <row r="55" spans="5:19" x14ac:dyDescent="0.2">
      <c r="E55" s="147"/>
      <c r="F55" s="147"/>
      <c r="G55" s="147"/>
      <c r="H55" s="112"/>
      <c r="K55" s="112"/>
      <c r="L55" s="112"/>
      <c r="R55" s="27">
        <f>_xll.qlCalendarAdvance(Calendar,R54,"1D","f")</f>
        <v>42444</v>
      </c>
      <c r="S55" s="68">
        <f>_xll.qlInterpolationInterpolate(B12MInterpolation,R55,TRUE)</f>
        <v>5.3206185906270924E-3</v>
      </c>
    </row>
    <row r="56" spans="5:19" x14ac:dyDescent="0.2">
      <c r="E56" s="147"/>
      <c r="F56" s="147"/>
      <c r="G56" s="147"/>
      <c r="H56" s="112"/>
      <c r="K56" s="112"/>
      <c r="L56" s="112"/>
      <c r="R56" s="27">
        <f>_xll.qlCalendarAdvance(Calendar,R55,"1D","f")</f>
        <v>42445</v>
      </c>
      <c r="S56" s="68">
        <f>_xll.qlInterpolationInterpolate(B12MInterpolation,R56,TRUE)</f>
        <v>5.3164804057961399E-3</v>
      </c>
    </row>
    <row r="57" spans="5:19" x14ac:dyDescent="0.2">
      <c r="E57" s="147"/>
      <c r="F57" s="147"/>
      <c r="G57" s="147"/>
      <c r="H57" s="112"/>
      <c r="K57" s="112"/>
      <c r="L57" s="112"/>
      <c r="R57" s="27">
        <f>_xll.qlCalendarAdvance(Calendar,R56,"1D","f")</f>
        <v>42446</v>
      </c>
      <c r="S57" s="68">
        <f>_xll.qlInterpolationInterpolate(B12MInterpolation,R57,TRUE)</f>
        <v>5.3124567034736718E-3</v>
      </c>
    </row>
    <row r="58" spans="5:19" x14ac:dyDescent="0.2">
      <c r="E58" s="147"/>
      <c r="F58" s="147"/>
      <c r="G58" s="147"/>
      <c r="H58" s="112"/>
      <c r="K58" s="112"/>
      <c r="L58" s="112"/>
      <c r="R58" s="27">
        <f>_xll.qlCalendarAdvance(Calendar,R57,"1D","f")</f>
        <v>42447</v>
      </c>
      <c r="S58" s="68">
        <f>_xll.qlInterpolationInterpolate(B12MInterpolation,R58,TRUE)</f>
        <v>5.3085589394677455E-3</v>
      </c>
    </row>
    <row r="59" spans="5:19" x14ac:dyDescent="0.2">
      <c r="R59" s="27">
        <f>_xll.qlCalendarAdvance(Calendar,R58,"1D","f")</f>
        <v>42450</v>
      </c>
      <c r="S59" s="68">
        <f>_xll.qlInterpolationInterpolate(B12MInterpolation,R59,TRUE)</f>
        <v>5.2977358354298013E-3</v>
      </c>
    </row>
    <row r="60" spans="5:19" x14ac:dyDescent="0.2">
      <c r="R60" s="27">
        <f>_xll.qlCalendarAdvance(Calendar,R59,"1D","f")</f>
        <v>42451</v>
      </c>
      <c r="S60" s="68">
        <f>_xll.qlInterpolationInterpolate(B12MInterpolation,R60,TRUE)</f>
        <v>5.2944563827706237E-3</v>
      </c>
    </row>
    <row r="61" spans="5:19" x14ac:dyDescent="0.2">
      <c r="R61" s="27">
        <f>_xll.qlCalendarAdvance(Calendar,R60,"1D","f")</f>
        <v>42452</v>
      </c>
      <c r="S61" s="68">
        <f>_xll.qlInterpolationInterpolate(B12MInterpolation,R61,TRUE)</f>
        <v>5.2913601474682773E-3</v>
      </c>
    </row>
    <row r="62" spans="5:19" x14ac:dyDescent="0.2">
      <c r="R62" s="27">
        <f>_xll.qlCalendarAdvance(Calendar,R61,"1D","f")</f>
        <v>42453</v>
      </c>
      <c r="S62" s="68">
        <f>_xll.qlInterpolationInterpolate(B12MInterpolation,R62,TRUE)</f>
        <v>5.2884585853308205E-3</v>
      </c>
    </row>
    <row r="63" spans="5:19" x14ac:dyDescent="0.2">
      <c r="R63" s="27">
        <f>_xll.qlCalendarAdvance(Calendar,R62,"1D","f")</f>
        <v>42458</v>
      </c>
      <c r="S63" s="68">
        <f>_xll.qlInterpolationInterpolate(B12MInterpolation,R63,TRUE)</f>
        <v>5.2772718253988994E-3</v>
      </c>
    </row>
    <row r="64" spans="5:19" x14ac:dyDescent="0.2">
      <c r="R64" s="27">
        <f>_xll.qlCalendarAdvance(Calendar,R63,"1D","f")</f>
        <v>42459</v>
      </c>
      <c r="S64" s="68">
        <f>_xll.qlInterpolationInterpolate(B12MInterpolation,R64,TRUE)</f>
        <v>5.2757788742199925E-3</v>
      </c>
    </row>
    <row r="65" spans="18:19" x14ac:dyDescent="0.2">
      <c r="R65" s="27">
        <f>_xll.qlCalendarAdvance(Calendar,R64,"1D","f")</f>
        <v>42460</v>
      </c>
      <c r="S65" s="68">
        <f>_xll.qlInterpolationInterpolate(B12MInterpolation,R65,TRUE)</f>
        <v>5.2745607868623801E-3</v>
      </c>
    </row>
    <row r="66" spans="18:19" x14ac:dyDescent="0.2">
      <c r="R66" s="27">
        <f>_xll.qlCalendarAdvance(Calendar,R65,"1D","f")</f>
        <v>42461</v>
      </c>
      <c r="S66" s="68">
        <f>_xll.qlInterpolationInterpolate(B12MInterpolation,R66,TRUE)</f>
        <v>5.2736260214970533E-3</v>
      </c>
    </row>
    <row r="67" spans="18:19" x14ac:dyDescent="0.2">
      <c r="R67" s="27">
        <f>_xll.qlCalendarAdvance(Calendar,R66,"1D","f")</f>
        <v>42464</v>
      </c>
      <c r="S67" s="68">
        <f>_xll.qlInterpolationInterpolate(B12MInterpolation,R67,TRUE)</f>
        <v>5.2723870947797959E-3</v>
      </c>
    </row>
    <row r="68" spans="18:19" x14ac:dyDescent="0.2">
      <c r="R68" s="27">
        <f>_xll.qlCalendarAdvance(Calendar,R67,"1D","f")</f>
        <v>42465</v>
      </c>
      <c r="S68" s="68">
        <f>_xll.qlInterpolationInterpolate(B12MInterpolation,R68,TRUE)</f>
        <v>5.2724377888466534E-3</v>
      </c>
    </row>
    <row r="69" spans="18:19" x14ac:dyDescent="0.2">
      <c r="R69" s="27">
        <f>_xll.qlCalendarAdvance(Calendar,R68,"1D","f")</f>
        <v>42466</v>
      </c>
      <c r="S69" s="68">
        <f>_xll.qlInterpolationInterpolate(B12MInterpolation,R69,TRUE)</f>
        <v>5.2726912576563341E-3</v>
      </c>
    </row>
    <row r="70" spans="18:19" x14ac:dyDescent="0.2">
      <c r="R70" s="27">
        <f>_xll.qlCalendarAdvance(Calendar,R69,"1D","f")</f>
        <v>42467</v>
      </c>
      <c r="S70" s="68">
        <f>_xll.qlInterpolationInterpolate(B12MInterpolation,R70,TRUE)</f>
        <v>5.2731300651627476E-3</v>
      </c>
    </row>
    <row r="71" spans="18:19" x14ac:dyDescent="0.2">
      <c r="R71" s="27">
        <f>_xll.qlCalendarAdvance(Calendar,R70,"1D","f")</f>
        <v>42468</v>
      </c>
      <c r="S71" s="68">
        <f>_xll.qlInterpolationInterpolate(B12MInterpolation,R71,TRUE)</f>
        <v>5.2737367753198068E-3</v>
      </c>
    </row>
    <row r="72" spans="18:19" x14ac:dyDescent="0.2">
      <c r="R72" s="27">
        <f>_xll.qlCalendarAdvance(Calendar,R71,"1D","f")</f>
        <v>42471</v>
      </c>
      <c r="S72" s="68">
        <f>_xll.qlInterpolationInterpolate(B12MInterpolation,R72,TRUE)</f>
        <v>5.2763899612339573E-3</v>
      </c>
    </row>
    <row r="73" spans="18:19" x14ac:dyDescent="0.2">
      <c r="R73" s="27">
        <f>_xll.qlCalendarAdvance(Calendar,R72,"1D","f")</f>
        <v>42472</v>
      </c>
      <c r="S73" s="68">
        <f>_xll.qlInterpolationInterpolate(B12MInterpolation,R73,TRUE)</f>
        <v>5.2774939215327011E-3</v>
      </c>
    </row>
    <row r="74" spans="18:19" x14ac:dyDescent="0.2">
      <c r="R74" s="27">
        <f>_xll.qlCalendarAdvance(Calendar,R73,"1D","f")</f>
        <v>42473</v>
      </c>
      <c r="S74" s="68">
        <f>_xll.qlInterpolationInterpolate(B12MInterpolation,R74,TRUE)</f>
        <v>5.2786786042516437E-3</v>
      </c>
    </row>
    <row r="75" spans="18:19" x14ac:dyDescent="0.2">
      <c r="R75" s="27">
        <f>_xll.qlCalendarAdvance(Calendar,R74,"1D","f")</f>
        <v>42474</v>
      </c>
      <c r="S75" s="68">
        <f>_xll.qlInterpolationInterpolate(B12MInterpolation,R75,TRUE)</f>
        <v>5.2799265733446954E-3</v>
      </c>
    </row>
    <row r="76" spans="18:19" x14ac:dyDescent="0.2">
      <c r="R76" s="27">
        <f>_xll.qlCalendarAdvance(Calendar,R75,"1D","f")</f>
        <v>42475</v>
      </c>
      <c r="S76" s="68">
        <f>_xll.qlInterpolationInterpolate(B12MInterpolation,R76,TRUE)</f>
        <v>5.2812203927657666E-3</v>
      </c>
    </row>
    <row r="77" spans="18:19" x14ac:dyDescent="0.2">
      <c r="R77" s="27">
        <f>_xll.qlCalendarAdvance(Calendar,R76,"1D","f")</f>
        <v>42478</v>
      </c>
      <c r="S77" s="68">
        <f>_xll.qlInterpolationInterpolate(B12MInterpolation,R77,TRUE)</f>
        <v>5.2852025925362069E-3</v>
      </c>
    </row>
    <row r="78" spans="18:19" x14ac:dyDescent="0.2">
      <c r="R78" s="27">
        <f>_xll.qlCalendarAdvance(Calendar,R77,"1D","f")</f>
        <v>42479</v>
      </c>
      <c r="S78" s="68">
        <f>_xll.qlInterpolationInterpolate(B12MInterpolation,R78,TRUE)</f>
        <v>5.2865054528084647E-3</v>
      </c>
    </row>
    <row r="79" spans="18:19" x14ac:dyDescent="0.2">
      <c r="R79" s="27">
        <f>_xll.qlCalendarAdvance(Calendar,R78,"1D","f")</f>
        <v>42480</v>
      </c>
      <c r="S79" s="68">
        <f>_xll.qlInterpolationInterpolate(B12MInterpolation,R79,TRUE)</f>
        <v>5.2877669831782968E-3</v>
      </c>
    </row>
    <row r="80" spans="18:19" x14ac:dyDescent="0.2">
      <c r="R80" s="27">
        <f>_xll.qlCalendarAdvance(Calendar,R79,"1D","f")</f>
        <v>42481</v>
      </c>
      <c r="S80" s="68">
        <f>_xll.qlInterpolationInterpolate(B12MInterpolation,R80,TRUE)</f>
        <v>5.2889697475996126E-3</v>
      </c>
    </row>
    <row r="81" spans="18:19" x14ac:dyDescent="0.2">
      <c r="R81" s="27">
        <f>_xll.qlCalendarAdvance(Calendar,R80,"1D","f")</f>
        <v>42482</v>
      </c>
      <c r="S81" s="68">
        <f>_xll.qlInterpolationInterpolate(B12MInterpolation,R81,TRUE)</f>
        <v>5.2900963100263234E-3</v>
      </c>
    </row>
    <row r="82" spans="18:19" x14ac:dyDescent="0.2">
      <c r="R82" s="27">
        <f>_xll.qlCalendarAdvance(Calendar,R81,"1D","f")</f>
        <v>42485</v>
      </c>
      <c r="S82" s="68">
        <f>_xll.qlInterpolationInterpolate(B12MInterpolation,R82,TRUE)</f>
        <v>5.2928444248779346E-3</v>
      </c>
    </row>
    <row r="83" spans="18:19" x14ac:dyDescent="0.2">
      <c r="R83" s="27">
        <f>_xll.qlCalendarAdvance(Calendar,R82,"1D","f")</f>
        <v>42486</v>
      </c>
      <c r="S83" s="68">
        <f>_xll.qlInterpolationInterpolate(B12MInterpolation,R83,TRUE)</f>
        <v>5.293491818865334E-3</v>
      </c>
    </row>
    <row r="84" spans="18:19" x14ac:dyDescent="0.2">
      <c r="R84" s="27">
        <f>_xll.qlCalendarAdvance(Calendar,R83,"1D","f")</f>
        <v>42487</v>
      </c>
      <c r="S84" s="68">
        <f>_xll.qlInterpolationInterpolate(B12MInterpolation,R84,TRUE)</f>
        <v>5.2939758306276815E-3</v>
      </c>
    </row>
    <row r="85" spans="18:19" x14ac:dyDescent="0.2">
      <c r="R85" s="27">
        <f>_xll.qlCalendarAdvance(Calendar,R84,"1D","f")</f>
        <v>42488</v>
      </c>
      <c r="S85" s="68">
        <f>_xll.qlInterpolationInterpolate(B12MInterpolation,R85,TRUE)</f>
        <v>5.294279024118889E-3</v>
      </c>
    </row>
    <row r="86" spans="18:19" x14ac:dyDescent="0.2">
      <c r="R86" s="27">
        <f>_xll.qlCalendarAdvance(Calendar,R85,"1D","f")</f>
        <v>42489</v>
      </c>
      <c r="S86" s="68">
        <f>_xll.qlInterpolationInterpolate(B12MInterpolation,R86,TRUE)</f>
        <v>5.2943839632928671E-3</v>
      </c>
    </row>
    <row r="87" spans="18:19" x14ac:dyDescent="0.2">
      <c r="R87" s="27">
        <f>_xll.qlCalendarAdvance(Calendar,R86,"1D","f")</f>
        <v>42493</v>
      </c>
      <c r="S87" s="68">
        <f>_xll.qlInterpolationInterpolate(B12MInterpolation,R87,TRUE)</f>
        <v>5.2928523202009706E-3</v>
      </c>
    </row>
    <row r="88" spans="18:19" x14ac:dyDescent="0.2">
      <c r="R88" s="27">
        <f>_xll.qlCalendarAdvance(Calendar,R87,"1D","f")</f>
        <v>42494</v>
      </c>
      <c r="S88" s="68">
        <f>_xll.qlInterpolationInterpolate(B12MInterpolation,R88,TRUE)</f>
        <v>5.2920231935497377E-3</v>
      </c>
    </row>
    <row r="89" spans="18:19" x14ac:dyDescent="0.2">
      <c r="R89" s="27">
        <f>_xll.qlCalendarAdvance(Calendar,R88,"1D","f")</f>
        <v>42495</v>
      </c>
      <c r="S89" s="68">
        <f>_xll.qlInterpolationInterpolate(B12MInterpolation,R89,TRUE)</f>
        <v>5.2910311433894217E-3</v>
      </c>
    </row>
    <row r="90" spans="18:19" x14ac:dyDescent="0.2">
      <c r="R90" s="27">
        <f>_xll.qlCalendarAdvance(Calendar,R89,"1D","f")</f>
        <v>42496</v>
      </c>
      <c r="S90" s="68">
        <f>_xll.qlInterpolationInterpolate(B12MInterpolation,R90,TRUE)</f>
        <v>5.2898839511411324E-3</v>
      </c>
    </row>
    <row r="91" spans="18:19" x14ac:dyDescent="0.2">
      <c r="R91" s="27">
        <f>_xll.qlCalendarAdvance(Calendar,R90,"1D","f")</f>
        <v>42499</v>
      </c>
      <c r="S91" s="68">
        <f>_xll.qlInterpolationInterpolate(B12MInterpolation,R91,TRUE)</f>
        <v>5.2855893360795282E-3</v>
      </c>
    </row>
    <row r="92" spans="18:19" x14ac:dyDescent="0.2">
      <c r="R92" s="27">
        <f>_xll.qlCalendarAdvance(Calendar,R91,"1D","f")</f>
        <v>42500</v>
      </c>
      <c r="S92" s="68">
        <f>_xll.qlInterpolationInterpolate(B12MInterpolation,R92,TRUE)</f>
        <v>5.2838993896904482E-3</v>
      </c>
    </row>
    <row r="93" spans="18:19" x14ac:dyDescent="0.2">
      <c r="R93" s="27">
        <f>_xll.qlCalendarAdvance(Calendar,R92,"1D","f")</f>
        <v>42501</v>
      </c>
      <c r="S93" s="68">
        <f>_xll.qlInterpolationInterpolate(B12MInterpolation,R93,TRUE)</f>
        <v>5.2820932083189462E-3</v>
      </c>
    </row>
    <row r="94" spans="18:19" x14ac:dyDescent="0.2">
      <c r="R94" s="27">
        <f>_xll.qlCalendarAdvance(Calendar,R93,"1D","f")</f>
        <v>42502</v>
      </c>
      <c r="S94" s="68">
        <f>_xll.qlInterpolationInterpolate(B12MInterpolation,R94,TRUE)</f>
        <v>5.2801785733861319E-3</v>
      </c>
    </row>
    <row r="95" spans="18:19" x14ac:dyDescent="0.2">
      <c r="R95" s="27">
        <f>_xll.qlCalendarAdvance(Calendar,R94,"1D","f")</f>
        <v>42503</v>
      </c>
      <c r="S95" s="68">
        <f>_xll.qlInterpolationInterpolate(B12MInterpolation,R95,TRUE)</f>
        <v>5.2781632663131163E-3</v>
      </c>
    </row>
    <row r="96" spans="18:19" x14ac:dyDescent="0.2">
      <c r="R96" s="27">
        <f>_xll.qlCalendarAdvance(Calendar,R95,"1D","f")</f>
        <v>42506</v>
      </c>
      <c r="S96" s="68">
        <f>_xll.qlInterpolationInterpolate(B12MInterpolation,R96,TRUE)</f>
        <v>5.2715911264639573E-3</v>
      </c>
    </row>
    <row r="97" spans="18:19" x14ac:dyDescent="0.2">
      <c r="R97" s="27">
        <f>_xll.qlCalendarAdvance(Calendar,R96,"1D","f")</f>
        <v>42507</v>
      </c>
      <c r="S97" s="68">
        <f>_xll.qlInterpolationInterpolate(B12MInterpolation,R97,TRUE)</f>
        <v>5.2692509450412341E-3</v>
      </c>
    </row>
    <row r="98" spans="18:19" x14ac:dyDescent="0.2">
      <c r="R98" s="27">
        <f>_xll.qlCalendarAdvance(Calendar,R97,"1D","f")</f>
        <v>42508</v>
      </c>
      <c r="S98" s="68">
        <f>_xll.qlInterpolationInterpolate(B12MInterpolation,R98,TRUE)</f>
        <v>5.2668489985838608E-3</v>
      </c>
    </row>
    <row r="99" spans="18:19" x14ac:dyDescent="0.2">
      <c r="R99" s="27">
        <f>_xll.qlCalendarAdvance(Calendar,R98,"1D","f")</f>
        <v>42509</v>
      </c>
      <c r="S99" s="68">
        <f>_xll.qlInterpolationInterpolate(B12MInterpolation,R99,TRUE)</f>
        <v>5.2643930685129462E-3</v>
      </c>
    </row>
    <row r="100" spans="18:19" x14ac:dyDescent="0.2">
      <c r="R100" s="27">
        <f>_xll.qlCalendarAdvance(Calendar,R99,"1D","f")</f>
        <v>42510</v>
      </c>
      <c r="S100" s="68">
        <f>_xll.qlInterpolationInterpolate(B12MInterpolation,R100,TRUE)</f>
        <v>5.2618909362496004E-3</v>
      </c>
    </row>
    <row r="101" spans="18:19" x14ac:dyDescent="0.2">
      <c r="R101" s="27">
        <f>_xll.qlCalendarAdvance(Calendar,R100,"1D","f")</f>
        <v>42513</v>
      </c>
      <c r="S101" s="68">
        <f>_xll.qlInterpolationInterpolate(B12MInterpolation,R101,TRUE)</f>
        <v>5.2541851405160786E-3</v>
      </c>
    </row>
    <row r="102" spans="18:19" x14ac:dyDescent="0.2">
      <c r="R102" s="27">
        <f>_xll.qlCalendarAdvance(Calendar,R101,"1D","f")</f>
        <v>42514</v>
      </c>
      <c r="S102" s="68">
        <f>_xll.qlInterpolationInterpolate(B12MInterpolation,R102,TRUE)</f>
        <v>5.2515760136941101E-3</v>
      </c>
    </row>
    <row r="103" spans="18:19" x14ac:dyDescent="0.2">
      <c r="R103" s="27">
        <f>_xll.qlCalendarAdvance(Calendar,R102,"1D","f")</f>
        <v>42515</v>
      </c>
      <c r="S103" s="68">
        <f>_xll.qlInterpolationInterpolate(B12MInterpolation,R103,TRUE)</f>
        <v>5.2489595917852624E-3</v>
      </c>
    </row>
    <row r="104" spans="18:19" x14ac:dyDescent="0.2">
      <c r="R104" s="27">
        <f>_xll.qlCalendarAdvance(Calendar,R103,"1D","f")</f>
        <v>42516</v>
      </c>
      <c r="S104" s="68">
        <f>_xll.qlInterpolationInterpolate(B12MInterpolation,R104,TRUE)</f>
        <v>5.2463436562106436E-3</v>
      </c>
    </row>
    <row r="105" spans="18:19" x14ac:dyDescent="0.2">
      <c r="R105" s="27">
        <f>_xll.qlCalendarAdvance(Calendar,R104,"1D","f")</f>
        <v>42517</v>
      </c>
      <c r="S105" s="68">
        <f>_xll.qlInterpolationInterpolate(B12MInterpolation,R105,TRUE)</f>
        <v>5.2437359883913655E-3</v>
      </c>
    </row>
    <row r="106" spans="18:19" x14ac:dyDescent="0.2">
      <c r="R106" s="27">
        <f>_xll.qlCalendarAdvance(Calendar,R105,"1D","f")</f>
        <v>42521</v>
      </c>
      <c r="S106" s="68">
        <f>_xll.qlInterpolationInterpolate(B12MInterpolation,R106,TRUE)</f>
        <v>5.2335436230898577E-3</v>
      </c>
    </row>
    <row r="107" spans="18:19" x14ac:dyDescent="0.2">
      <c r="R107" s="27">
        <f>_xll.qlCalendarAdvance(Calendar,R106,"1D","f")</f>
        <v>42522</v>
      </c>
      <c r="S107" s="68">
        <f>_xll.qlInterpolationInterpolate(B12MInterpolation,R107,TRUE)</f>
        <v>5.231093214428992E-3</v>
      </c>
    </row>
    <row r="108" spans="18:19" x14ac:dyDescent="0.2">
      <c r="R108" s="27">
        <f>_xll.qlCalendarAdvance(Calendar,R107,"1D","f")</f>
        <v>42523</v>
      </c>
      <c r="S108" s="68">
        <f>_xll.qlInterpolationInterpolate(B12MInterpolation,R108,TRUE)</f>
        <v>5.2286906566970494E-3</v>
      </c>
    </row>
    <row r="109" spans="18:19" x14ac:dyDescent="0.2">
      <c r="R109" s="27">
        <f>_xll.qlCalendarAdvance(Calendar,R108,"1D","f")</f>
        <v>42524</v>
      </c>
      <c r="S109" s="68">
        <f>_xll.qlInterpolationInterpolate(B12MInterpolation,R109,TRUE)</f>
        <v>5.2263354760903446E-3</v>
      </c>
    </row>
    <row r="110" spans="18:19" x14ac:dyDescent="0.2">
      <c r="R110" s="27">
        <f>_xll.qlCalendarAdvance(Calendar,R109,"1D","f")</f>
        <v>42527</v>
      </c>
      <c r="S110" s="68">
        <f>_xll.qlInterpolationInterpolate(B12MInterpolation,R110,TRUE)</f>
        <v>5.219549458984802E-3</v>
      </c>
    </row>
    <row r="111" spans="18:19" x14ac:dyDescent="0.2">
      <c r="R111" s="27">
        <f>_xll.qlCalendarAdvance(Calendar,R110,"1D","f")</f>
        <v>42528</v>
      </c>
      <c r="S111" s="68">
        <f>_xll.qlInterpolationInterpolate(B12MInterpolation,R111,TRUE)</f>
        <v>5.2173790488421936E-3</v>
      </c>
    </row>
    <row r="112" spans="18:19" x14ac:dyDescent="0.2">
      <c r="R112" s="27">
        <f>_xll.qlCalendarAdvance(Calendar,R111,"1D","f")</f>
        <v>42529</v>
      </c>
      <c r="S112" s="68">
        <f>_xll.qlInterpolationInterpolate(B12MInterpolation,R112,TRUE)</f>
        <v>5.2152536468063953E-3</v>
      </c>
    </row>
    <row r="113" spans="18:19" x14ac:dyDescent="0.2">
      <c r="R113" s="27">
        <f>_xll.qlCalendarAdvance(Calendar,R112,"1D","f")</f>
        <v>42530</v>
      </c>
      <c r="S113" s="68">
        <f>_xll.qlInterpolationInterpolate(B12MInterpolation,R113,TRUE)</f>
        <v>5.2131727790737225E-3</v>
      </c>
    </row>
    <row r="114" spans="18:19" x14ac:dyDescent="0.2">
      <c r="R114" s="27">
        <f>_xll.qlCalendarAdvance(Calendar,R113,"1D","f")</f>
        <v>42531</v>
      </c>
      <c r="S114" s="68">
        <f>_xll.qlInterpolationInterpolate(B12MInterpolation,R114,TRUE)</f>
        <v>5.2111359718404887E-3</v>
      </c>
    </row>
    <row r="115" spans="18:19" x14ac:dyDescent="0.2">
      <c r="R115" s="27">
        <f>_xll.qlCalendarAdvance(Calendar,R114,"1D","f")</f>
        <v>42534</v>
      </c>
      <c r="S115" s="68">
        <f>_xll.qlInterpolationInterpolate(B12MInterpolation,R115,TRUE)</f>
        <v>5.2052851751005691E-3</v>
      </c>
    </row>
    <row r="116" spans="18:19" x14ac:dyDescent="0.2">
      <c r="R116" s="27">
        <f>_xll.qlCalendarAdvance(Calendar,R115,"1D","f")</f>
        <v>42535</v>
      </c>
      <c r="S116" s="68">
        <f>_xll.qlInterpolationInterpolate(B12MInterpolation,R116,TRUE)</f>
        <v>5.2034198718282389E-3</v>
      </c>
    </row>
    <row r="117" spans="18:19" x14ac:dyDescent="0.2">
      <c r="R117" s="27">
        <f>_xll.qlCalendarAdvance(Calendar,R116,"1D","f")</f>
        <v>42536</v>
      </c>
      <c r="S117" s="68">
        <f>_xll.qlInterpolationInterpolate(B12MInterpolation,R117,TRUE)</f>
        <v>5.2015962600369201E-3</v>
      </c>
    </row>
    <row r="118" spans="18:19" x14ac:dyDescent="0.2">
      <c r="R118" s="27">
        <f>_xll.qlCalendarAdvance(Calendar,R117,"1D","f")</f>
        <v>42537</v>
      </c>
      <c r="S118" s="68">
        <f>_xll.qlInterpolationInterpolate(B12MInterpolation,R118,TRUE)</f>
        <v>5.1998138659229282E-3</v>
      </c>
    </row>
    <row r="119" spans="18:19" x14ac:dyDescent="0.2">
      <c r="R119" s="27">
        <f>_xll.qlCalendarAdvance(Calendar,R118,"1D","f")</f>
        <v>42538</v>
      </c>
      <c r="S119" s="68">
        <f>_xll.qlInterpolationInterpolate(B12MInterpolation,R119,TRUE)</f>
        <v>5.1980722156825783E-3</v>
      </c>
    </row>
    <row r="120" spans="18:19" x14ac:dyDescent="0.2">
      <c r="R120" s="27">
        <f>_xll.qlCalendarAdvance(Calendar,R119,"1D","f")</f>
        <v>42541</v>
      </c>
      <c r="S120" s="68">
        <f>_xll.qlInterpolationInterpolate(B12MInterpolation,R120,TRUE)</f>
        <v>5.1930869901665195E-3</v>
      </c>
    </row>
    <row r="121" spans="18:19" x14ac:dyDescent="0.2">
      <c r="R121" s="27">
        <f>_xll.qlCalendarAdvance(Calendar,R120,"1D","f")</f>
        <v>42542</v>
      </c>
      <c r="S121" s="68">
        <f>_xll.qlInterpolationInterpolate(B12MInterpolation,R121,TRUE)</f>
        <v>5.1915035773838795E-3</v>
      </c>
    </row>
    <row r="122" spans="18:19" x14ac:dyDescent="0.2">
      <c r="R122" s="27">
        <f>_xll.qlCalendarAdvance(Calendar,R121,"1D","f")</f>
        <v>42543</v>
      </c>
      <c r="S122" s="68">
        <f>_xll.qlInterpolationInterpolate(B12MInterpolation,R122,TRUE)</f>
        <v>5.1899585394564532E-3</v>
      </c>
    </row>
    <row r="123" spans="18:19" x14ac:dyDescent="0.2">
      <c r="R123" s="27">
        <f>_xll.qlCalendarAdvance(Calendar,R122,"1D","f")</f>
        <v>42544</v>
      </c>
      <c r="S123" s="68">
        <f>_xll.qlInterpolationInterpolate(B12MInterpolation,R123,TRUE)</f>
        <v>5.188451402580555E-3</v>
      </c>
    </row>
    <row r="124" spans="18:19" x14ac:dyDescent="0.2">
      <c r="R124" s="27">
        <f>_xll.qlCalendarAdvance(Calendar,R123,"1D","f")</f>
        <v>42545</v>
      </c>
      <c r="S124" s="68">
        <f>_xll.qlInterpolationInterpolate(B12MInterpolation,R124,TRUE)</f>
        <v>5.1869816929525003E-3</v>
      </c>
    </row>
    <row r="125" spans="18:19" x14ac:dyDescent="0.2">
      <c r="R125" s="27">
        <f>_xll.qlCalendarAdvance(Calendar,R124,"1D","f")</f>
        <v>42548</v>
      </c>
      <c r="S125" s="68">
        <f>_xll.qlInterpolationInterpolate(B12MInterpolation,R125,TRUE)</f>
        <v>5.1827923895185393E-3</v>
      </c>
    </row>
    <row r="126" spans="18:19" x14ac:dyDescent="0.2">
      <c r="R126" s="27">
        <f>_xll.qlCalendarAdvance(Calendar,R125,"1D","f")</f>
        <v>42549</v>
      </c>
      <c r="S126" s="68">
        <f>_xll.qlInterpolationInterpolate(B12MInterpolation,R126,TRUE)</f>
        <v>5.1814676508450024E-3</v>
      </c>
    </row>
    <row r="127" spans="18:19" x14ac:dyDescent="0.2">
      <c r="R127" s="27">
        <f>_xll.qlCalendarAdvance(Calendar,R126,"1D","f")</f>
        <v>42550</v>
      </c>
      <c r="S127" s="68">
        <f>_xll.qlInterpolationInterpolate(B12MInterpolation,R127,TRUE)</f>
        <v>5.1801779704008805E-3</v>
      </c>
    </row>
    <row r="128" spans="18:19" x14ac:dyDescent="0.2">
      <c r="R128" s="27">
        <f>_xll.qlCalendarAdvance(Calendar,R127,"1D","f")</f>
        <v>42551</v>
      </c>
      <c r="S128" s="68">
        <f>_xll.qlInterpolationInterpolate(B12MInterpolation,R128,TRUE)</f>
        <v>5.178922874382489E-3</v>
      </c>
    </row>
    <row r="129" spans="18:19" x14ac:dyDescent="0.2">
      <c r="R129" s="27">
        <f>_xll.qlCalendarAdvance(Calendar,R128,"1D","f")</f>
        <v>42552</v>
      </c>
      <c r="S129" s="68">
        <f>_xll.qlInterpolationInterpolate(B12MInterpolation,R129,TRUE)</f>
        <v>5.1776991142817221E-3</v>
      </c>
    </row>
    <row r="130" spans="18:19" x14ac:dyDescent="0.2">
      <c r="R130" s="27">
        <f>_xll.qlCalendarAdvance(Calendar,R129,"1D","f")</f>
        <v>42555</v>
      </c>
      <c r="S130" s="68">
        <f>_xll.qlInterpolationInterpolate(B12MInterpolation,R130,TRUE)</f>
        <v>5.1741977895986713E-3</v>
      </c>
    </row>
    <row r="131" spans="18:19" x14ac:dyDescent="0.2">
      <c r="R131" s="27">
        <f>_xll.qlCalendarAdvance(Calendar,R130,"1D","f")</f>
        <v>42556</v>
      </c>
      <c r="S131" s="68">
        <f>_xll.qlInterpolationInterpolate(B12MInterpolation,R131,TRUE)</f>
        <v>5.1730871398888148E-3</v>
      </c>
    </row>
    <row r="132" spans="18:19" x14ac:dyDescent="0.2">
      <c r="R132" s="27">
        <f>_xll.qlCalendarAdvance(Calendar,R131,"1D","f")</f>
        <v>42557</v>
      </c>
      <c r="S132" s="68">
        <f>_xll.qlInterpolationInterpolate(B12MInterpolation,R132,TRUE)</f>
        <v>5.1720046227602453E-3</v>
      </c>
    </row>
    <row r="133" spans="18:19" x14ac:dyDescent="0.2">
      <c r="R133" s="27">
        <f>_xll.qlCalendarAdvance(Calendar,R132,"1D","f")</f>
        <v>42558</v>
      </c>
      <c r="S133" s="68">
        <f>_xll.qlInterpolationInterpolate(B12MInterpolation,R133,TRUE)</f>
        <v>5.170950180206386E-3</v>
      </c>
    </row>
    <row r="134" spans="18:19" x14ac:dyDescent="0.2">
      <c r="R134" s="27">
        <f>_xll.qlCalendarAdvance(Calendar,R133,"1D","f")</f>
        <v>42559</v>
      </c>
      <c r="S134" s="68">
        <f>_xll.qlInterpolationInterpolate(B12MInterpolation,R134,TRUE)</f>
        <v>5.1699237542206606E-3</v>
      </c>
    </row>
    <row r="135" spans="18:19" x14ac:dyDescent="0.2">
      <c r="R135" s="27">
        <f>_xll.qlCalendarAdvance(Calendar,R134,"1D","f")</f>
        <v>42562</v>
      </c>
      <c r="S135" s="68">
        <f>_xll.qlInterpolationInterpolate(B12MInterpolation,R135,TRUE)</f>
        <v>5.1670119956065208E-3</v>
      </c>
    </row>
    <row r="136" spans="18:19" x14ac:dyDescent="0.2">
      <c r="R136" s="27">
        <f>_xll.qlCalendarAdvance(Calendar,R135,"1D","f")</f>
        <v>42563</v>
      </c>
      <c r="S136" s="68">
        <f>_xll.qlInterpolationInterpolate(B12MInterpolation,R136,TRUE)</f>
        <v>5.1660970558275662E-3</v>
      </c>
    </row>
    <row r="137" spans="18:19" x14ac:dyDescent="0.2">
      <c r="R137" s="27">
        <f>_xll.qlCalendarAdvance(Calendar,R136,"1D","f")</f>
        <v>42564</v>
      </c>
      <c r="S137" s="68">
        <f>_xll.qlInterpolationInterpolate(B12MInterpolation,R137,TRUE)</f>
        <v>5.1652098425838625E-3</v>
      </c>
    </row>
    <row r="138" spans="18:19" x14ac:dyDescent="0.2">
      <c r="R138" s="27">
        <f>_xll.qlCalendarAdvance(Calendar,R137,"1D","f")</f>
        <v>42565</v>
      </c>
      <c r="S138" s="68">
        <f>_xll.qlInterpolationInterpolate(B12MInterpolation,R138,TRUE)</f>
        <v>5.1643502978688336E-3</v>
      </c>
    </row>
    <row r="139" spans="18:19" x14ac:dyDescent="0.2">
      <c r="R139" s="27">
        <f>_xll.qlCalendarAdvance(Calendar,R138,"1D","f")</f>
        <v>42566</v>
      </c>
      <c r="S139" s="68">
        <f>_xll.qlInterpolationInterpolate(B12MInterpolation,R139,TRUE)</f>
        <v>5.1635183636759034E-3</v>
      </c>
    </row>
    <row r="140" spans="18:19" x14ac:dyDescent="0.2">
      <c r="R140" s="27">
        <f>_xll.qlCalendarAdvance(Calendar,R139,"1D","f")</f>
        <v>42569</v>
      </c>
      <c r="S140" s="68">
        <f>_xll.qlInterpolationInterpolate(B12MInterpolation,R140,TRUE)</f>
        <v>5.1611876441639403E-3</v>
      </c>
    </row>
    <row r="141" spans="18:19" x14ac:dyDescent="0.2">
      <c r="R141" s="27">
        <f>_xll.qlCalendarAdvance(Calendar,R140,"1D","f")</f>
        <v>42570</v>
      </c>
      <c r="S141" s="68">
        <f>_xll.qlInterpolationInterpolate(B12MInterpolation,R141,TRUE)</f>
        <v>5.1604655719936412E-3</v>
      </c>
    </row>
    <row r="142" spans="18:19" x14ac:dyDescent="0.2">
      <c r="R142" s="27">
        <f>_xll.qlCalendarAdvance(Calendar,R141,"1D","f")</f>
        <v>42571</v>
      </c>
      <c r="S142" s="68">
        <f>_xll.qlInterpolationInterpolate(B12MInterpolation,R142,TRUE)</f>
        <v>5.1597708203125576E-3</v>
      </c>
    </row>
    <row r="143" spans="18:19" x14ac:dyDescent="0.2">
      <c r="R143" s="27">
        <f>_xll.qlCalendarAdvance(Calendar,R142,"1D","f")</f>
        <v>42572</v>
      </c>
      <c r="S143" s="68">
        <f>_xll.qlInterpolationInterpolate(B12MInterpolation,R143,TRUE)</f>
        <v>5.1591033311141144E-3</v>
      </c>
    </row>
    <row r="144" spans="18:19" x14ac:dyDescent="0.2">
      <c r="R144" s="27">
        <f>_xll.qlCalendarAdvance(Calendar,R143,"1D","f")</f>
        <v>42573</v>
      </c>
      <c r="S144" s="68">
        <f>_xll.qlInterpolationInterpolate(B12MInterpolation,R144,TRUE)</f>
        <v>5.1584630463917345E-3</v>
      </c>
    </row>
    <row r="145" spans="18:19" x14ac:dyDescent="0.2">
      <c r="R145" s="27">
        <f>_xll.qlCalendarAdvance(Calendar,R144,"1D","f")</f>
        <v>42576</v>
      </c>
      <c r="S145" s="68">
        <f>_xll.qlInterpolationInterpolate(B12MInterpolation,R145,TRUE)</f>
        <v>5.1567048390152121E-3</v>
      </c>
    </row>
    <row r="146" spans="18:19" x14ac:dyDescent="0.2">
      <c r="R146" s="27">
        <f>_xll.qlCalendarAdvance(Calendar,R145,"1D","f")</f>
        <v>42577</v>
      </c>
      <c r="S146" s="68">
        <f>_xll.qlInterpolationInterpolate(B12MInterpolation,R146,TRUE)</f>
        <v>5.1561727921313229E-3</v>
      </c>
    </row>
    <row r="147" spans="18:19" x14ac:dyDescent="0.2">
      <c r="R147" s="27">
        <f>_xll.qlCalendarAdvance(Calendar,R146,"1D","f")</f>
        <v>42578</v>
      </c>
      <c r="S147" s="68">
        <f>_xll.qlInterpolationInterpolate(B12MInterpolation,R147,TRUE)</f>
        <v>5.1556676596906147E-3</v>
      </c>
    </row>
    <row r="148" spans="18:19" x14ac:dyDescent="0.2">
      <c r="R148" s="27">
        <f>_xll.qlCalendarAdvance(Calendar,R147,"1D","f")</f>
        <v>42579</v>
      </c>
      <c r="S148" s="68">
        <f>_xll.qlInterpolationInterpolate(B12MInterpolation,R148,TRUE)</f>
        <v>5.1551893836865115E-3</v>
      </c>
    </row>
    <row r="149" spans="18:19" x14ac:dyDescent="0.2">
      <c r="R149" s="27">
        <f>_xll.qlCalendarAdvance(Calendar,R148,"1D","f")</f>
        <v>42580</v>
      </c>
      <c r="S149" s="68">
        <f>_xll.qlInterpolationInterpolate(B12MInterpolation,R149,TRUE)</f>
        <v>5.1547379061124363E-3</v>
      </c>
    </row>
    <row r="150" spans="18:19" x14ac:dyDescent="0.2">
      <c r="R150" s="27">
        <f>_xll.qlCalendarAdvance(Calendar,R149,"1D","f")</f>
        <v>42583</v>
      </c>
      <c r="S150" s="68">
        <f>_xll.qlInterpolationInterpolate(B12MInterpolation,R150,TRUE)</f>
        <v>5.1535436839046196E-3</v>
      </c>
    </row>
    <row r="151" spans="18:19" x14ac:dyDescent="0.2">
      <c r="R151" s="27">
        <f>_xll.qlCalendarAdvance(Calendar,R150,"1D","f")</f>
        <v>42584</v>
      </c>
      <c r="S151" s="68">
        <f>_xll.qlInterpolationInterpolate(B12MInterpolation,R151,TRUE)</f>
        <v>5.1531988199848945E-3</v>
      </c>
    </row>
    <row r="152" spans="18:19" x14ac:dyDescent="0.2">
      <c r="R152" s="27">
        <f>_xll.qlCalendarAdvance(Calendar,R151,"1D","f")</f>
        <v>42585</v>
      </c>
      <c r="S152" s="68">
        <f>_xll.qlInterpolationInterpolate(B12MInterpolation,R152,TRUE)</f>
        <v>5.1528804644623161E-3</v>
      </c>
    </row>
    <row r="153" spans="18:19" x14ac:dyDescent="0.2">
      <c r="R153" s="27">
        <f>_xll.qlCalendarAdvance(Calendar,R152,"1D","f")</f>
        <v>42586</v>
      </c>
      <c r="S153" s="68">
        <f>_xll.qlInterpolationInterpolate(B12MInterpolation,R153,TRUE)</f>
        <v>5.1525885593303074E-3</v>
      </c>
    </row>
    <row r="154" spans="18:19" x14ac:dyDescent="0.2">
      <c r="R154" s="27">
        <f>_xll.qlCalendarAdvance(Calendar,R153,"1D","f")</f>
        <v>42587</v>
      </c>
      <c r="S154" s="68">
        <f>_xll.qlInterpolationInterpolate(B12MInterpolation,R154,TRUE)</f>
        <v>5.152323046582293E-3</v>
      </c>
    </row>
    <row r="155" spans="18:19" x14ac:dyDescent="0.2">
      <c r="R155" s="27">
        <f>_xll.qlCalendarAdvance(Calendar,R154,"1D","f")</f>
        <v>42590</v>
      </c>
      <c r="S155" s="68">
        <f>_xll.qlInterpolationInterpolate(B12MInterpolation,R155,TRUE)</f>
        <v>5.151684282576445E-3</v>
      </c>
    </row>
    <row r="156" spans="18:19" x14ac:dyDescent="0.2">
      <c r="R156" s="27">
        <f>_xll.qlCalendarAdvance(Calendar,R155,"1D","f")</f>
        <v>42591</v>
      </c>
      <c r="S156" s="68">
        <f>_xll.qlInterpolationInterpolate(B12MInterpolation,R156,TRUE)</f>
        <v>5.1515237592986395E-3</v>
      </c>
    </row>
    <row r="157" spans="18:19" x14ac:dyDescent="0.2">
      <c r="R157" s="27">
        <f>_xll.qlCalendarAdvance(Calendar,R156,"1D","f")</f>
        <v>42592</v>
      </c>
      <c r="S157" s="68">
        <f>_xll.qlInterpolationInterpolate(B12MInterpolation,R157,TRUE)</f>
        <v>5.1513893383719461E-3</v>
      </c>
    </row>
    <row r="158" spans="18:19" x14ac:dyDescent="0.2">
      <c r="R158" s="27">
        <f>_xll.qlCalendarAdvance(Calendar,R157,"1D","f")</f>
        <v>42593</v>
      </c>
      <c r="S158" s="68">
        <f>_xll.qlInterpolationInterpolate(B12MInterpolation,R158,TRUE)</f>
        <v>5.151280961789787E-3</v>
      </c>
    </row>
    <row r="159" spans="18:19" x14ac:dyDescent="0.2">
      <c r="R159" s="27">
        <f>_xll.qlCalendarAdvance(Calendar,R158,"1D","f")</f>
        <v>42594</v>
      </c>
      <c r="S159" s="68">
        <f>_xll.qlInterpolationInterpolate(B12MInterpolation,R159,TRUE)</f>
        <v>5.151198571545587E-3</v>
      </c>
    </row>
    <row r="160" spans="18:19" x14ac:dyDescent="0.2">
      <c r="R160" s="27">
        <f>_xll.qlCalendarAdvance(Calendar,R159,"1D","f")</f>
        <v>42597</v>
      </c>
      <c r="S160" s="68">
        <f>_xll.qlInterpolationInterpolate(B12MInterpolation,R160,TRUE)</f>
        <v>5.1511067387749725E-3</v>
      </c>
    </row>
    <row r="161" spans="18:19" x14ac:dyDescent="0.2">
      <c r="R161" s="27">
        <f>_xll.qlCalendarAdvance(Calendar,R160,"1D","f")</f>
        <v>42598</v>
      </c>
      <c r="S161" s="68">
        <f>_xll.qlInterpolationInterpolate(B12MInterpolation,R161,TRUE)</f>
        <v>5.1511277138168417E-3</v>
      </c>
    </row>
    <row r="162" spans="18:19" x14ac:dyDescent="0.2">
      <c r="R162" s="27">
        <f>_xll.qlCalendarAdvance(Calendar,R161,"1D","f")</f>
        <v>42599</v>
      </c>
      <c r="S162" s="68">
        <f>_xll.qlInterpolationInterpolate(B12MInterpolation,R162,TRUE)</f>
        <v>5.1511743851637868E-3</v>
      </c>
    </row>
    <row r="163" spans="18:19" x14ac:dyDescent="0.2">
      <c r="R163" s="27">
        <f>_xll.qlCalendarAdvance(Calendar,R162,"1D","f")</f>
        <v>42600</v>
      </c>
      <c r="S163" s="68">
        <f>_xll.qlInterpolationInterpolate(B12MInterpolation,R163,TRUE)</f>
        <v>5.1512466948092327E-3</v>
      </c>
    </row>
    <row r="164" spans="18:19" x14ac:dyDescent="0.2">
      <c r="R164" s="27">
        <f>_xll.qlCalendarAdvance(Calendar,R163,"1D","f")</f>
        <v>42601</v>
      </c>
      <c r="S164" s="68">
        <f>_xll.qlInterpolationInterpolate(B12MInterpolation,R164,TRUE)</f>
        <v>5.1513445847466014E-3</v>
      </c>
    </row>
    <row r="165" spans="18:19" x14ac:dyDescent="0.2">
      <c r="R165" s="27">
        <f>_xll.qlCalendarAdvance(Calendar,R164,"1D","f")</f>
        <v>42604</v>
      </c>
      <c r="S165" s="68">
        <f>_xll.qlInterpolationInterpolate(B12MInterpolation,R165,TRUE)</f>
        <v>5.1517911562444845E-3</v>
      </c>
    </row>
    <row r="166" spans="18:19" x14ac:dyDescent="0.2">
      <c r="R166" s="27">
        <f>_xll.qlCalendarAdvance(Calendar,R165,"1D","f")</f>
        <v>42605</v>
      </c>
      <c r="S166" s="68">
        <f>_xll.qlInterpolationInterpolate(B12MInterpolation,R166,TRUE)</f>
        <v>5.1519907872837828E-3</v>
      </c>
    </row>
    <row r="167" spans="18:19" x14ac:dyDescent="0.2">
      <c r="R167" s="27">
        <f>_xll.qlCalendarAdvance(Calendar,R166,"1D","f")</f>
        <v>42606</v>
      </c>
      <c r="S167" s="68">
        <f>_xll.qlInterpolationInterpolate(B12MInterpolation,R167,TRUE)</f>
        <v>5.1522157085821226E-3</v>
      </c>
    </row>
    <row r="168" spans="18:19" x14ac:dyDescent="0.2">
      <c r="R168" s="27">
        <f>_xll.qlCalendarAdvance(Calendar,R167,"1D","f")</f>
        <v>42607</v>
      </c>
      <c r="S168" s="68">
        <f>_xll.qlInterpolationInterpolate(B12MInterpolation,R168,TRUE)</f>
        <v>5.1524658621329269E-3</v>
      </c>
    </row>
    <row r="169" spans="18:19" x14ac:dyDescent="0.2">
      <c r="R169" s="27">
        <f>_xll.qlCalendarAdvance(Calendar,R168,"1D","f")</f>
        <v>42608</v>
      </c>
      <c r="S169" s="68">
        <f>_xll.qlInterpolationInterpolate(B12MInterpolation,R169,TRUE)</f>
        <v>5.1527411899296195E-3</v>
      </c>
    </row>
    <row r="170" spans="18:19" x14ac:dyDescent="0.2">
      <c r="R170" s="27">
        <f>_xll.qlCalendarAdvance(Calendar,R169,"1D","f")</f>
        <v>42612</v>
      </c>
      <c r="S170" s="68">
        <f>_xll.qlInterpolationInterpolate(B12MInterpolation,R170,TRUE)</f>
        <v>5.1540930834437469E-3</v>
      </c>
    </row>
    <row r="171" spans="18:19" x14ac:dyDescent="0.2">
      <c r="R171" s="27">
        <f>_xll.qlCalendarAdvance(Calendar,R170,"1D","f")</f>
        <v>42613</v>
      </c>
      <c r="S171" s="68">
        <f>_xll.qlInterpolationInterpolate(B12MInterpolation,R171,TRUE)</f>
        <v>5.1544934123712357E-3</v>
      </c>
    </row>
    <row r="172" spans="18:19" x14ac:dyDescent="0.2">
      <c r="R172" s="27">
        <f>_xll.qlCalendarAdvance(Calendar,R171,"1D","f")</f>
        <v>42614</v>
      </c>
      <c r="S172" s="68">
        <f>_xll.qlInterpolationInterpolate(B12MInterpolation,R172,TRUE)</f>
        <v>5.1549185675051536E-3</v>
      </c>
    </row>
    <row r="173" spans="18:19" x14ac:dyDescent="0.2">
      <c r="R173" s="27">
        <f>_xll.qlCalendarAdvance(Calendar,R172,"1D","f")</f>
        <v>42615</v>
      </c>
      <c r="S173" s="68">
        <f>_xll.qlInterpolationInterpolate(B12MInterpolation,R173,TRUE)</f>
        <v>5.1553684908389255E-3</v>
      </c>
    </row>
    <row r="174" spans="18:19" x14ac:dyDescent="0.2">
      <c r="R174" s="27">
        <f>_xll.qlCalendarAdvance(Calendar,R173,"1D","f")</f>
        <v>42618</v>
      </c>
      <c r="S174" s="68">
        <f>_xll.qlInterpolationInterpolate(B12MInterpolation,R174,TRUE)</f>
        <v>5.1568662899735959E-3</v>
      </c>
    </row>
    <row r="175" spans="18:19" x14ac:dyDescent="0.2">
      <c r="R175" s="27">
        <f>_xll.qlCalendarAdvance(Calendar,R174,"1D","f")</f>
        <v>42619</v>
      </c>
      <c r="S175" s="68">
        <f>_xll.qlInterpolationInterpolate(B12MInterpolation,R175,TRUE)</f>
        <v>5.1574147060410164E-3</v>
      </c>
    </row>
    <row r="176" spans="18:19" x14ac:dyDescent="0.2">
      <c r="R176" s="27">
        <f>_xll.qlCalendarAdvance(Calendar,R175,"1D","f")</f>
        <v>42620</v>
      </c>
      <c r="S176" s="68">
        <f>_xll.qlInterpolationInterpolate(B12MInterpolation,R176,TRUE)</f>
        <v>5.1579876002754085E-3</v>
      </c>
    </row>
    <row r="177" spans="18:19" x14ac:dyDescent="0.2">
      <c r="R177" s="27">
        <f>_xll.qlCalendarAdvance(Calendar,R176,"1D","f")</f>
        <v>42621</v>
      </c>
      <c r="S177" s="68">
        <f>_xll.qlInterpolationInterpolate(B12MInterpolation,R177,TRUE)</f>
        <v>5.1585849146701954E-3</v>
      </c>
    </row>
    <row r="178" spans="18:19" x14ac:dyDescent="0.2">
      <c r="R178" s="27">
        <f>_xll.qlCalendarAdvance(Calendar,R177,"1D","f")</f>
        <v>42622</v>
      </c>
      <c r="S178" s="68">
        <f>_xll.qlInterpolationInterpolate(B12MInterpolation,R178,TRUE)</f>
        <v>5.1592065912188009E-3</v>
      </c>
    </row>
    <row r="179" spans="18:19" x14ac:dyDescent="0.2">
      <c r="R179" s="27">
        <f>_xll.qlCalendarAdvance(Calendar,R178,"1D","f")</f>
        <v>42625</v>
      </c>
      <c r="S179" s="68">
        <f>_xll.qlInterpolationInterpolate(B12MInterpolation,R179,TRUE)</f>
        <v>5.1612172137217617E-3</v>
      </c>
    </row>
    <row r="180" spans="18:19" x14ac:dyDescent="0.2">
      <c r="R180" s="27">
        <f>_xll.qlCalendarAdvance(Calendar,R179,"1D","f")</f>
        <v>42626</v>
      </c>
      <c r="S180" s="68">
        <f>_xll.qlInterpolationInterpolate(B12MInterpolation,R180,TRUE)</f>
        <v>5.1619357588198762E-3</v>
      </c>
    </row>
    <row r="181" spans="18:19" x14ac:dyDescent="0.2">
      <c r="R181" s="27">
        <f>_xll.qlCalendarAdvance(Calendar,R180,"1D","f")</f>
        <v>42627</v>
      </c>
      <c r="S181" s="68">
        <f>_xll.qlInterpolationInterpolate(B12MInterpolation,R181,TRUE)</f>
        <v>5.1626783760389261E-3</v>
      </c>
    </row>
    <row r="182" spans="18:19" x14ac:dyDescent="0.2">
      <c r="R182" s="27">
        <f>_xll.qlCalendarAdvance(Calendar,R181,"1D","f")</f>
        <v>42628</v>
      </c>
      <c r="S182" s="68">
        <f>_xll.qlInterpolationInterpolate(B12MInterpolation,R182,TRUE)</f>
        <v>5.1634450073723363E-3</v>
      </c>
    </row>
    <row r="183" spans="18:19" x14ac:dyDescent="0.2">
      <c r="R183" s="27">
        <f>_xll.qlCalendarAdvance(Calendar,R182,"1D","f")</f>
        <v>42629</v>
      </c>
      <c r="S183" s="68">
        <f>_xll.qlInterpolationInterpolate(B12MInterpolation,R183,TRUE)</f>
        <v>5.1642355948135297E-3</v>
      </c>
    </row>
    <row r="184" spans="18:19" x14ac:dyDescent="0.2">
      <c r="R184" s="27">
        <f>_xll.qlCalendarAdvance(Calendar,R183,"1D","f")</f>
        <v>42632</v>
      </c>
      <c r="S184" s="68">
        <f>_xll.qlInterpolationInterpolate(B12MInterpolation,R184,TRUE)</f>
        <v>5.166750513718045E-3</v>
      </c>
    </row>
    <row r="185" spans="18:19" x14ac:dyDescent="0.2">
      <c r="R185" s="27">
        <f>_xll.qlCalendarAdvance(Calendar,R184,"1D","f")</f>
        <v>42633</v>
      </c>
      <c r="S185" s="68">
        <f>_xll.qlInterpolationInterpolate(B12MInterpolation,R185,TRUE)</f>
        <v>5.1676363455246069E-3</v>
      </c>
    </row>
    <row r="186" spans="18:19" x14ac:dyDescent="0.2">
      <c r="R186" s="27">
        <f>_xll.qlCalendarAdvance(Calendar,R185,"1D","f")</f>
        <v>42634</v>
      </c>
      <c r="S186" s="68">
        <f>_xll.qlInterpolationInterpolate(B12MInterpolation,R186,TRUE)</f>
        <v>5.1685458434060699E-3</v>
      </c>
    </row>
    <row r="187" spans="18:19" x14ac:dyDescent="0.2">
      <c r="R187" s="27">
        <f>_xll.qlCalendarAdvance(Calendar,R186,"1D","f")</f>
        <v>42635</v>
      </c>
      <c r="S187" s="68">
        <f>_xll.qlInterpolationInterpolate(B12MInterpolation,R187,TRUE)</f>
        <v>5.1694789493558577E-3</v>
      </c>
    </row>
    <row r="188" spans="18:19" x14ac:dyDescent="0.2">
      <c r="R188" s="27">
        <f>_xll.qlCalendarAdvance(Calendar,R187,"1D","f")</f>
        <v>42636</v>
      </c>
      <c r="S188" s="68">
        <f>_xll.qlInterpolationInterpolate(B12MInterpolation,R188,TRUE)</f>
        <v>5.1704356053673944E-3</v>
      </c>
    </row>
    <row r="189" spans="18:19" x14ac:dyDescent="0.2">
      <c r="R189" s="27">
        <f>_xll.qlCalendarAdvance(Calendar,R188,"1D","f")</f>
        <v>42639</v>
      </c>
      <c r="S189" s="68">
        <f>_xll.qlInterpolationInterpolate(B12MInterpolation,R189,TRUE)</f>
        <v>5.1734462937067282E-3</v>
      </c>
    </row>
    <row r="190" spans="18:19" x14ac:dyDescent="0.2">
      <c r="R190" s="27">
        <f>_xll.qlCalendarAdvance(Calendar,R189,"1D","f")</f>
        <v>42640</v>
      </c>
      <c r="S190" s="68">
        <f>_xll.qlInterpolationInterpolate(B12MInterpolation,R190,TRUE)</f>
        <v>5.1744965698994937E-3</v>
      </c>
    </row>
    <row r="191" spans="18:19" x14ac:dyDescent="0.2">
      <c r="R191" s="27">
        <f>_xll.qlCalendarAdvance(Calendar,R190,"1D","f")</f>
        <v>42641</v>
      </c>
      <c r="S191" s="68">
        <f>_xll.qlInterpolationInterpolate(B12MInterpolation,R191,TRUE)</f>
        <v>5.175570106121124E-3</v>
      </c>
    </row>
    <row r="192" spans="18:19" x14ac:dyDescent="0.2">
      <c r="R192" s="27">
        <f>_xll.qlCalendarAdvance(Calendar,R191,"1D","f")</f>
        <v>42642</v>
      </c>
      <c r="S192" s="68">
        <f>_xll.qlInterpolationInterpolate(B12MInterpolation,R192,TRUE)</f>
        <v>5.1766668443650448E-3</v>
      </c>
    </row>
    <row r="193" spans="18:19" x14ac:dyDescent="0.2">
      <c r="R193" s="27">
        <f>_xll.qlCalendarAdvance(Calendar,R192,"1D","f")</f>
        <v>42643</v>
      </c>
      <c r="S193" s="68">
        <f>_xll.qlInterpolationInterpolate(B12MInterpolation,R193,TRUE)</f>
        <v>5.177786726624679E-3</v>
      </c>
    </row>
    <row r="194" spans="18:19" x14ac:dyDescent="0.2">
      <c r="R194" s="27">
        <f>_xll.qlCalendarAdvance(Calendar,R193,"1D","f")</f>
        <v>42646</v>
      </c>
      <c r="S194" s="68">
        <f>_xll.qlInterpolationInterpolate(B12MInterpolation,R194,TRUE)</f>
        <v>5.1812799934795499E-3</v>
      </c>
    </row>
    <row r="195" spans="18:19" x14ac:dyDescent="0.2">
      <c r="R195" s="27">
        <f>_xll.qlCalendarAdvance(Calendar,R194,"1D","f")</f>
        <v>42647</v>
      </c>
      <c r="S195" s="68">
        <f>_xll.qlInterpolationInterpolate(B12MInterpolation,R195,TRUE)</f>
        <v>5.1824873453145109E-3</v>
      </c>
    </row>
    <row r="196" spans="18:19" x14ac:dyDescent="0.2">
      <c r="R196" s="27">
        <f>_xll.qlCalendarAdvance(Calendar,R195,"1D","f")</f>
        <v>42648</v>
      </c>
      <c r="S196" s="68">
        <f>_xll.qlInterpolationInterpolate(B12MInterpolation,R196,TRUE)</f>
        <v>5.1837155034323984E-3</v>
      </c>
    </row>
    <row r="197" spans="18:19" x14ac:dyDescent="0.2">
      <c r="R197" s="27">
        <f>_xll.qlCalendarAdvance(Calendar,R196,"1D","f")</f>
        <v>42649</v>
      </c>
      <c r="S197" s="68">
        <f>_xll.qlInterpolationInterpolate(B12MInterpolation,R197,TRUE)</f>
        <v>5.1849640727379678E-3</v>
      </c>
    </row>
    <row r="198" spans="18:19" x14ac:dyDescent="0.2">
      <c r="R198" s="27">
        <f>_xll.qlCalendarAdvance(Calendar,R197,"1D","f")</f>
        <v>42650</v>
      </c>
      <c r="S198" s="68">
        <f>_xll.qlInterpolationInterpolate(B12MInterpolation,R198,TRUE)</f>
        <v>5.1862326581359752E-3</v>
      </c>
    </row>
    <row r="199" spans="18:19" x14ac:dyDescent="0.2">
      <c r="R199" s="27">
        <f>_xll.qlCalendarAdvance(Calendar,R198,"1D","f")</f>
        <v>42653</v>
      </c>
      <c r="S199" s="68">
        <f>_xll.qlInterpolationInterpolate(B12MInterpolation,R199,TRUE)</f>
        <v>5.1901545599321751E-3</v>
      </c>
    </row>
    <row r="200" spans="18:19" x14ac:dyDescent="0.2">
      <c r="R200" s="27">
        <f>_xll.qlCalendarAdvance(Calendar,R199,"1D","f")</f>
        <v>42654</v>
      </c>
      <c r="S200" s="68">
        <f>_xll.qlInterpolationInterpolate(B12MInterpolation,R200,TRUE)</f>
        <v>5.1914992587474848E-3</v>
      </c>
    </row>
    <row r="201" spans="18:19" x14ac:dyDescent="0.2">
      <c r="R201" s="27">
        <f>_xll.qlCalendarAdvance(Calendar,R200,"1D","f")</f>
        <v>42655</v>
      </c>
      <c r="S201" s="68">
        <f>_xll.qlInterpolationInterpolate(B12MInterpolation,R201,TRUE)</f>
        <v>5.1928619981790091E-3</v>
      </c>
    </row>
    <row r="202" spans="18:19" x14ac:dyDescent="0.2">
      <c r="R202" s="27">
        <f>_xll.qlCalendarAdvance(Calendar,R201,"1D","f")</f>
        <v>42656</v>
      </c>
      <c r="S202" s="68">
        <f>_xll.qlInterpolationInterpolate(B12MInterpolation,R202,TRUE)</f>
        <v>5.1942423831315013E-3</v>
      </c>
    </row>
    <row r="203" spans="18:19" x14ac:dyDescent="0.2">
      <c r="R203" s="27">
        <f>_xll.qlCalendarAdvance(Calendar,R202,"1D","f")</f>
        <v>42657</v>
      </c>
      <c r="S203" s="68">
        <f>_xll.qlInterpolationInterpolate(B12MInterpolation,R203,TRUE)</f>
        <v>5.1956400185097177E-3</v>
      </c>
    </row>
    <row r="204" spans="18:19" x14ac:dyDescent="0.2">
      <c r="R204" s="27">
        <f>_xll.qlCalendarAdvance(Calendar,R203,"1D","f")</f>
        <v>42660</v>
      </c>
      <c r="S204" s="68">
        <f>_xll.qlInterpolationInterpolate(B12MInterpolation,R204,TRUE)</f>
        <v>5.1999324762462655E-3</v>
      </c>
    </row>
    <row r="205" spans="18:19" x14ac:dyDescent="0.2">
      <c r="R205" s="27">
        <f>_xll.qlCalendarAdvance(Calendar,R204,"1D","f")</f>
        <v>42661</v>
      </c>
      <c r="S205" s="68">
        <f>_xll.qlInterpolationInterpolate(B12MInterpolation,R205,TRUE)</f>
        <v>5.2013951623749314E-3</v>
      </c>
    </row>
    <row r="206" spans="18:19" x14ac:dyDescent="0.2">
      <c r="R206" s="27">
        <f>_xll.qlCalendarAdvance(Calendar,R205,"1D","f")</f>
        <v>42662</v>
      </c>
      <c r="S206" s="68">
        <f>_xll.qlInterpolationInterpolate(B12MInterpolation,R206,TRUE)</f>
        <v>5.2028731234530978E-3</v>
      </c>
    </row>
    <row r="207" spans="18:19" x14ac:dyDescent="0.2">
      <c r="R207" s="27">
        <f>_xll.qlCalendarAdvance(Calendar,R206,"1D","f")</f>
        <v>42663</v>
      </c>
      <c r="S207" s="68">
        <f>_xll.qlInterpolationInterpolate(B12MInterpolation,R207,TRUE)</f>
        <v>5.2043659643855201E-3</v>
      </c>
    </row>
    <row r="208" spans="18:19" x14ac:dyDescent="0.2">
      <c r="R208" s="27">
        <f>_xll.qlCalendarAdvance(Calendar,R207,"1D","f")</f>
        <v>42664</v>
      </c>
      <c r="S208" s="68">
        <f>_xll.qlInterpolationInterpolate(B12MInterpolation,R208,TRUE)</f>
        <v>5.2058732900769527E-3</v>
      </c>
    </row>
    <row r="209" spans="18:19" x14ac:dyDescent="0.2">
      <c r="R209" s="27">
        <f>_xll.qlCalendarAdvance(Calendar,R208,"1D","f")</f>
        <v>42667</v>
      </c>
      <c r="S209" s="68">
        <f>_xll.qlInterpolationInterpolate(B12MInterpolation,R209,TRUE)</f>
        <v>5.2104782247528684E-3</v>
      </c>
    </row>
    <row r="210" spans="18:19" x14ac:dyDescent="0.2">
      <c r="R210" s="27">
        <f>_xll.qlCalendarAdvance(Calendar,R209,"1D","f")</f>
        <v>42668</v>
      </c>
      <c r="S210" s="68">
        <f>_xll.qlInterpolationInterpolate(B12MInterpolation,R210,TRUE)</f>
        <v>5.2120395385278967E-3</v>
      </c>
    </row>
    <row r="211" spans="18:19" x14ac:dyDescent="0.2">
      <c r="R211" s="27">
        <f>_xll.qlCalendarAdvance(Calendar,R210,"1D","f")</f>
        <v>42669</v>
      </c>
      <c r="S211" s="68">
        <f>_xll.qlInterpolationInterpolate(B12MInterpolation,R211,TRUE)</f>
        <v>5.2136133615857116E-3</v>
      </c>
    </row>
    <row r="212" spans="18:19" x14ac:dyDescent="0.2">
      <c r="R212" s="27">
        <f>_xll.qlCalendarAdvance(Calendar,R211,"1D","f")</f>
        <v>42670</v>
      </c>
      <c r="S212" s="68">
        <f>_xll.qlInterpolationInterpolate(B12MInterpolation,R212,TRUE)</f>
        <v>5.2151992988310695E-3</v>
      </c>
    </row>
    <row r="213" spans="18:19" x14ac:dyDescent="0.2">
      <c r="R213" s="27">
        <f>_xll.qlCalendarAdvance(Calendar,R212,"1D","f")</f>
        <v>42671</v>
      </c>
      <c r="S213" s="68">
        <f>_xll.qlInterpolationInterpolate(B12MInterpolation,R213,TRUE)</f>
        <v>5.2167969551687246E-3</v>
      </c>
    </row>
    <row r="214" spans="18:19" x14ac:dyDescent="0.2">
      <c r="R214" s="27">
        <f>_xll.qlCalendarAdvance(Calendar,R213,"1D","f")</f>
        <v>42674</v>
      </c>
      <c r="S214" s="68">
        <f>_xll.qlInterpolationInterpolate(B12MInterpolation,R214,TRUE)</f>
        <v>5.2216562877830273E-3</v>
      </c>
    </row>
    <row r="215" spans="18:19" x14ac:dyDescent="0.2">
      <c r="R215" s="27">
        <f>_xll.qlCalendarAdvance(Calendar,R214,"1D","f")</f>
        <v>42675</v>
      </c>
      <c r="S215" s="68">
        <f>_xll.qlInterpolationInterpolate(B12MInterpolation,R215,TRUE)</f>
        <v>5.2232968695374252E-3</v>
      </c>
    </row>
    <row r="216" spans="18:19" x14ac:dyDescent="0.2">
      <c r="R216" s="27">
        <f>_xll.qlCalendarAdvance(Calendar,R215,"1D","f")</f>
        <v>42676</v>
      </c>
      <c r="S216" s="68">
        <f>_xll.qlInterpolationInterpolate(B12MInterpolation,R216,TRUE)</f>
        <v>5.224947194907896E-3</v>
      </c>
    </row>
    <row r="217" spans="18:19" x14ac:dyDescent="0.2">
      <c r="R217" s="27">
        <f>_xll.qlCalendarAdvance(Calendar,R216,"1D","f")</f>
        <v>42677</v>
      </c>
      <c r="S217" s="68">
        <f>_xll.qlInterpolationInterpolate(B12MInterpolation,R217,TRUE)</f>
        <v>5.2266068687991966E-3</v>
      </c>
    </row>
    <row r="218" spans="18:19" x14ac:dyDescent="0.2">
      <c r="R218" s="27">
        <f>_xll.qlCalendarAdvance(Calendar,R217,"1D","f")</f>
        <v>42678</v>
      </c>
      <c r="S218" s="68">
        <f>_xll.qlInterpolationInterpolate(B12MInterpolation,R218,TRUE)</f>
        <v>5.2282754961160806E-3</v>
      </c>
    </row>
    <row r="219" spans="18:19" x14ac:dyDescent="0.2">
      <c r="R219" s="27">
        <f>_xll.qlCalendarAdvance(Calendar,R218,"1D","f")</f>
        <v>42681</v>
      </c>
      <c r="S219" s="68">
        <f>_xll.qlInterpolationInterpolate(B12MInterpolation,R219,TRUE)</f>
        <v>5.2333311476677902E-3</v>
      </c>
    </row>
    <row r="220" spans="18:19" x14ac:dyDescent="0.2">
      <c r="R220" s="27">
        <f>_xll.qlCalendarAdvance(Calendar,R219,"1D","f")</f>
        <v>42682</v>
      </c>
      <c r="S220" s="68">
        <f>_xll.qlInterpolationInterpolate(B12MInterpolation,R220,TRUE)</f>
        <v>5.2350316377345633E-3</v>
      </c>
    </row>
    <row r="221" spans="18:19" x14ac:dyDescent="0.2">
      <c r="R221" s="27">
        <f>_xll.qlCalendarAdvance(Calendar,R220,"1D","f")</f>
        <v>42683</v>
      </c>
      <c r="S221" s="68">
        <f>_xll.qlInterpolationInterpolate(B12MInterpolation,R221,TRUE)</f>
        <v>5.2367391057506971E-3</v>
      </c>
    </row>
    <row r="222" spans="18:19" x14ac:dyDescent="0.2">
      <c r="R222" s="27">
        <f>_xll.qlCalendarAdvance(Calendar,R221,"1D","f")</f>
        <v>42684</v>
      </c>
      <c r="S222" s="68">
        <f>_xll.qlInterpolationInterpolate(B12MInterpolation,R222,TRUE)</f>
        <v>5.2384531566209459E-3</v>
      </c>
    </row>
    <row r="223" spans="18:19" x14ac:dyDescent="0.2">
      <c r="R223" s="27">
        <f>_xll.qlCalendarAdvance(Calendar,R222,"1D","f")</f>
        <v>42685</v>
      </c>
      <c r="S223" s="68">
        <f>_xll.qlInterpolationInterpolate(B12MInterpolation,R223,TRUE)</f>
        <v>5.2401733952500661E-3</v>
      </c>
    </row>
    <row r="224" spans="18:19" x14ac:dyDescent="0.2">
      <c r="R224" s="27">
        <f>_xll.qlCalendarAdvance(Calendar,R223,"1D","f")</f>
        <v>42688</v>
      </c>
      <c r="S224" s="68">
        <f>_xll.qlInterpolationInterpolate(B12MInterpolation,R224,TRUE)</f>
        <v>5.2453672867382025E-3</v>
      </c>
    </row>
    <row r="225" spans="18:19" x14ac:dyDescent="0.2">
      <c r="R225" s="27">
        <f>_xll.qlCalendarAdvance(Calendar,R224,"1D","f")</f>
        <v>42689</v>
      </c>
      <c r="S225" s="68">
        <f>_xll.qlInterpolationInterpolate(B12MInterpolation,R225,TRUE)</f>
        <v>5.247108325450358E-3</v>
      </c>
    </row>
    <row r="226" spans="18:19" x14ac:dyDescent="0.2">
      <c r="R226" s="27">
        <f>_xll.qlCalendarAdvance(Calendar,R225,"1D","f")</f>
        <v>42690</v>
      </c>
      <c r="S226" s="68">
        <f>_xll.qlInterpolationInterpolate(B12MInterpolation,R226,TRUE)</f>
        <v>5.2488535764451602E-3</v>
      </c>
    </row>
    <row r="227" spans="18:19" x14ac:dyDescent="0.2">
      <c r="R227" s="27">
        <f>_xll.qlCalendarAdvance(Calendar,R226,"1D","f")</f>
        <v>42691</v>
      </c>
      <c r="S227" s="68">
        <f>_xll.qlInterpolationInterpolate(B12MInterpolation,R227,TRUE)</f>
        <v>5.2506026446273646E-3</v>
      </c>
    </row>
    <row r="228" spans="18:19" x14ac:dyDescent="0.2">
      <c r="R228" s="27">
        <f>_xll.qlCalendarAdvance(Calendar,R227,"1D","f")</f>
        <v>42692</v>
      </c>
      <c r="S228" s="68">
        <f>_xll.qlInterpolationInterpolate(B12MInterpolation,R228,TRUE)</f>
        <v>5.2523551349017263E-3</v>
      </c>
    </row>
    <row r="229" spans="18:19" x14ac:dyDescent="0.2">
      <c r="R229" s="27">
        <f>_xll.qlCalendarAdvance(Calendar,R228,"1D","f")</f>
        <v>42695</v>
      </c>
      <c r="S229" s="68">
        <f>_xll.qlInterpolationInterpolate(B12MInterpolation,R229,TRUE)</f>
        <v>5.2576291873253096E-3</v>
      </c>
    </row>
    <row r="230" spans="18:19" x14ac:dyDescent="0.2">
      <c r="R230" s="27">
        <f>_xll.qlCalendarAdvance(Calendar,R229,"1D","f")</f>
        <v>42696</v>
      </c>
      <c r="S230" s="68">
        <f>_xll.qlInterpolationInterpolate(B12MInterpolation,R230,TRUE)</f>
        <v>5.2593914150158537E-3</v>
      </c>
    </row>
    <row r="231" spans="18:19" x14ac:dyDescent="0.2">
      <c r="R231" s="27">
        <f>_xll.qlCalendarAdvance(Calendar,R230,"1D","f")</f>
        <v>42697</v>
      </c>
      <c r="S231" s="68">
        <f>_xll.qlInterpolationInterpolate(B12MInterpolation,R231,TRUE)</f>
        <v>5.2611550893223308E-3</v>
      </c>
    </row>
    <row r="232" spans="18:19" x14ac:dyDescent="0.2">
      <c r="R232" s="27">
        <f>_xll.qlCalendarAdvance(Calendar,R231,"1D","f")</f>
        <v>42698</v>
      </c>
      <c r="S232" s="68">
        <f>_xll.qlInterpolationInterpolate(B12MInterpolation,R232,TRUE)</f>
        <v>5.2629198151494978E-3</v>
      </c>
    </row>
    <row r="233" spans="18:19" x14ac:dyDescent="0.2">
      <c r="R233" s="27">
        <f>_xll.qlCalendarAdvance(Calendar,R232,"1D","f")</f>
        <v>42699</v>
      </c>
      <c r="S233" s="68">
        <f>_xll.qlInterpolationInterpolate(B12MInterpolation,R233,TRUE)</f>
        <v>5.2646851974021084E-3</v>
      </c>
    </row>
    <row r="234" spans="18:19" x14ac:dyDescent="0.2">
      <c r="R234" s="27">
        <f>_xll.qlCalendarAdvance(Calendar,R233,"1D","f")</f>
        <v>42702</v>
      </c>
      <c r="S234" s="68">
        <f>_xll.qlInterpolationInterpolate(B12MInterpolation,R234,TRUE)</f>
        <v>5.2699813317601566E-3</v>
      </c>
    </row>
    <row r="235" spans="18:19" x14ac:dyDescent="0.2">
      <c r="R235" s="27">
        <f>_xll.qlCalendarAdvance(Calendar,R234,"1D","f")</f>
        <v>42703</v>
      </c>
      <c r="S235" s="68">
        <f>_xll.qlInterpolationInterpolate(B12MInterpolation,R235,TRUE)</f>
        <v>5.2717453887620967E-3</v>
      </c>
    </row>
    <row r="236" spans="18:19" x14ac:dyDescent="0.2">
      <c r="R236" s="27">
        <f>_xll.qlCalendarAdvance(Calendar,R235,"1D","f")</f>
        <v>42704</v>
      </c>
      <c r="S236" s="68">
        <f>_xll.qlInterpolationInterpolate(B12MInterpolation,R236,TRUE)</f>
        <v>5.2735081267132559E-3</v>
      </c>
    </row>
    <row r="237" spans="18:19" x14ac:dyDescent="0.2">
      <c r="R237" s="27">
        <f>_xll.qlCalendarAdvance(Calendar,R236,"1D","f")</f>
        <v>42705</v>
      </c>
      <c r="S237" s="68">
        <f>_xll.qlInterpolationInterpolate(B12MInterpolation,R237,TRUE)</f>
        <v>5.2752691505183911E-3</v>
      </c>
    </row>
    <row r="238" spans="18:19" x14ac:dyDescent="0.2">
      <c r="R238" s="27">
        <f>_xll.qlCalendarAdvance(Calendar,R237,"1D","f")</f>
        <v>42706</v>
      </c>
      <c r="S238" s="68">
        <f>_xll.qlInterpolationInterpolate(B12MInterpolation,R238,TRUE)</f>
        <v>5.2770280650822569E-3</v>
      </c>
    </row>
    <row r="239" spans="18:19" x14ac:dyDescent="0.2">
      <c r="R239" s="27">
        <f>_xll.qlCalendarAdvance(Calendar,R238,"1D","f")</f>
        <v>42709</v>
      </c>
      <c r="S239" s="68">
        <f>_xll.qlInterpolationInterpolate(B12MInterpolation,R239,TRUE)</f>
        <v>5.2822882023737909E-3</v>
      </c>
    </row>
    <row r="240" spans="18:19" x14ac:dyDescent="0.2">
      <c r="R240" s="27">
        <f>_xll.qlCalendarAdvance(Calendar,R239,"1D","f")</f>
        <v>42710</v>
      </c>
      <c r="S240" s="68">
        <f>_xll.qlInterpolationInterpolate(B12MInterpolation,R240,TRUE)</f>
        <v>5.2840347290201324E-3</v>
      </c>
    </row>
    <row r="241" spans="18:19" x14ac:dyDescent="0.2">
      <c r="R241" s="27">
        <f>_xll.qlCalendarAdvance(Calendar,R240,"1D","f")</f>
        <v>42711</v>
      </c>
      <c r="S241" s="68">
        <f>_xll.qlInterpolationInterpolate(B12MInterpolation,R241,TRUE)</f>
        <v>5.2857771709489808E-3</v>
      </c>
    </row>
    <row r="242" spans="18:19" x14ac:dyDescent="0.2">
      <c r="R242" s="27">
        <f>_xll.qlCalendarAdvance(Calendar,R241,"1D","f")</f>
        <v>42712</v>
      </c>
      <c r="S242" s="68">
        <f>_xll.qlInterpolationInterpolate(B12MInterpolation,R242,TRUE)</f>
        <v>5.2875151330650906E-3</v>
      </c>
    </row>
    <row r="243" spans="18:19" x14ac:dyDescent="0.2">
      <c r="R243" s="27">
        <f>_xll.qlCalendarAdvance(Calendar,R242,"1D","f")</f>
        <v>42713</v>
      </c>
      <c r="S243" s="68">
        <f>_xll.qlInterpolationInterpolate(B12MInterpolation,R243,TRUE)</f>
        <v>5.2892482202732188E-3</v>
      </c>
    </row>
    <row r="244" spans="18:19" x14ac:dyDescent="0.2">
      <c r="R244" s="27">
        <f>_xll.qlCalendarAdvance(Calendar,R243,"1D","f")</f>
        <v>42716</v>
      </c>
      <c r="S244" s="68">
        <f>_xll.qlInterpolationInterpolate(B12MInterpolation,R244,TRUE)</f>
        <v>5.2944142814972586E-3</v>
      </c>
    </row>
    <row r="245" spans="18:19" x14ac:dyDescent="0.2">
      <c r="R245" s="27">
        <f>_xll.qlCalendarAdvance(Calendar,R244,"1D","f")</f>
        <v>42717</v>
      </c>
      <c r="S245" s="68">
        <f>_xll.qlInterpolationInterpolate(B12MInterpolation,R245,TRUE)</f>
        <v>5.2961239181210078E-3</v>
      </c>
    </row>
    <row r="246" spans="18:19" x14ac:dyDescent="0.2">
      <c r="R246" s="27">
        <f>_xll.qlCalendarAdvance(Calendar,R245,"1D","f")</f>
        <v>42718</v>
      </c>
      <c r="S246" s="68">
        <f>_xll.qlInterpolationInterpolate(B12MInterpolation,R246,TRUE)</f>
        <v>5.2978267043605511E-3</v>
      </c>
    </row>
    <row r="247" spans="18:19" x14ac:dyDescent="0.2">
      <c r="R247" s="27">
        <f>_xll.qlCalendarAdvance(Calendar,R246,"1D","f")</f>
        <v>42719</v>
      </c>
      <c r="S247" s="68">
        <f>_xll.qlInterpolationInterpolate(B12MInterpolation,R247,TRUE)</f>
        <v>5.2995222451206426E-3</v>
      </c>
    </row>
    <row r="248" spans="18:19" x14ac:dyDescent="0.2">
      <c r="R248" s="27">
        <f>_xll.qlCalendarAdvance(Calendar,R247,"1D","f")</f>
        <v>42720</v>
      </c>
      <c r="S248" s="68">
        <f>_xll.qlInterpolationInterpolate(B12MInterpolation,R248,TRUE)</f>
        <v>5.3012101453060387E-3</v>
      </c>
    </row>
    <row r="249" spans="18:19" x14ac:dyDescent="0.2">
      <c r="R249" s="27">
        <f>_xll.qlCalendarAdvance(Calendar,R248,"1D","f")</f>
        <v>42723</v>
      </c>
      <c r="S249" s="68">
        <f>_xll.qlInterpolationInterpolate(B12MInterpolation,R249,TRUE)</f>
        <v>5.3062240514616032E-3</v>
      </c>
    </row>
    <row r="250" spans="18:19" x14ac:dyDescent="0.2">
      <c r="R250" s="27">
        <f>_xll.qlCalendarAdvance(Calendar,R249,"1D","f")</f>
        <v>42724</v>
      </c>
      <c r="S250" s="68">
        <f>_xll.qlInterpolationInterpolate(B12MInterpolation,R250,TRUE)</f>
        <v>5.3078774383957675E-3</v>
      </c>
    </row>
    <row r="251" spans="18:19" x14ac:dyDescent="0.2">
      <c r="R251" s="27">
        <f>_xll.qlCalendarAdvance(Calendar,R250,"1D","f")</f>
        <v>42725</v>
      </c>
      <c r="S251" s="68">
        <f>_xll.qlInterpolationInterpolate(B12MInterpolation,R251,TRUE)</f>
        <v>5.3095212092790127E-3</v>
      </c>
    </row>
    <row r="252" spans="18:19" x14ac:dyDescent="0.2">
      <c r="R252" s="27">
        <f>_xll.qlCalendarAdvance(Calendar,R251,"1D","f")</f>
        <v>42726</v>
      </c>
      <c r="S252" s="68">
        <f>_xll.qlInterpolationInterpolate(B12MInterpolation,R252,TRUE)</f>
        <v>5.3111549690160924E-3</v>
      </c>
    </row>
    <row r="253" spans="18:19" x14ac:dyDescent="0.2">
      <c r="R253" s="27">
        <f>_xll.qlCalendarAdvance(Calendar,R252,"1D","f")</f>
        <v>42727</v>
      </c>
      <c r="S253" s="68">
        <f>_xll.qlInterpolationInterpolate(B12MInterpolation,R253,TRUE)</f>
        <v>5.3127783225117636E-3</v>
      </c>
    </row>
    <row r="254" spans="18:19" x14ac:dyDescent="0.2">
      <c r="R254" s="27">
        <f>_xll.qlCalendarAdvance(Calendar,R253,"1D","f")</f>
        <v>42732</v>
      </c>
      <c r="S254" s="68">
        <f>_xll.qlInterpolationInterpolate(B12MInterpolation,R254,TRUE)</f>
        <v>5.3207251680354112E-3</v>
      </c>
    </row>
    <row r="255" spans="18:19" x14ac:dyDescent="0.2">
      <c r="R255" s="27">
        <f>_xll.qlCalendarAdvance(Calendar,R254,"1D","f")</f>
        <v>42733</v>
      </c>
      <c r="S255" s="68">
        <f>_xll.qlInterpolationInterpolate(B12MInterpolation,R255,TRUE)</f>
        <v>5.3222777870824863E-3</v>
      </c>
    </row>
    <row r="256" spans="18:19" x14ac:dyDescent="0.2">
      <c r="R256" s="27">
        <f>_xll.qlCalendarAdvance(Calendar,R255,"1D","f")</f>
        <v>42734</v>
      </c>
      <c r="S256" s="68">
        <f>_xll.qlInterpolationInterpolate(B12MInterpolation,R256,TRUE)</f>
        <v>5.3238172342214389E-3</v>
      </c>
    </row>
    <row r="257" spans="18:19" x14ac:dyDescent="0.2">
      <c r="R257" s="27">
        <f>_xll.qlCalendarAdvance(Calendar,R256,"1D","f")</f>
        <v>42738</v>
      </c>
      <c r="S257" s="68">
        <f>_xll.qlInterpolationInterpolate(B12MInterpolation,R257,TRUE)</f>
        <v>5.3298398251997031E-3</v>
      </c>
    </row>
    <row r="258" spans="18:19" x14ac:dyDescent="0.2">
      <c r="R258" s="27">
        <f>_xll.qlCalendarAdvance(Calendar,R257,"1D","f")</f>
        <v>42739</v>
      </c>
      <c r="S258" s="68">
        <f>_xll.qlInterpolationInterpolate(B12MInterpolation,R258,TRUE)</f>
        <v>5.3313117024306701E-3</v>
      </c>
    </row>
    <row r="259" spans="18:19" x14ac:dyDescent="0.2">
      <c r="R259" s="27">
        <f>_xll.qlCalendarAdvance(Calendar,R258,"1D","f")</f>
        <v>42740</v>
      </c>
      <c r="S259" s="68">
        <f>_xll.qlInterpolationInterpolate(B12MInterpolation,R259,TRUE)</f>
        <v>5.3327701106548157E-3</v>
      </c>
    </row>
    <row r="260" spans="18:19" x14ac:dyDescent="0.2">
      <c r="R260" s="27">
        <f>_xll.qlCalendarAdvance(Calendar,R259,"1D","f")</f>
        <v>42741</v>
      </c>
      <c r="S260" s="68">
        <f>_xll.qlInterpolationInterpolate(B12MInterpolation,R260,TRUE)</f>
        <v>5.3342150694714501E-3</v>
      </c>
    </row>
    <row r="261" spans="18:19" x14ac:dyDescent="0.2">
      <c r="R261" s="27">
        <f>_xll.qlCalendarAdvance(Calendar,R260,"1D","f")</f>
        <v>42744</v>
      </c>
      <c r="S261" s="68">
        <f>_xll.qlInterpolationInterpolate(B12MInterpolation,R261,TRUE)</f>
        <v>5.3384694454693751E-3</v>
      </c>
    </row>
    <row r="262" spans="18:19" x14ac:dyDescent="0.2">
      <c r="R262" s="27">
        <f>_xll.qlCalendarAdvance(Calendar,R261,"1D","f")</f>
        <v>42745</v>
      </c>
      <c r="S262" s="68">
        <f>_xll.qlInterpolationInterpolate(B12MInterpolation,R262,TRUE)</f>
        <v>5.3398608026490558E-3</v>
      </c>
    </row>
    <row r="263" spans="18:19" x14ac:dyDescent="0.2">
      <c r="R263" s="27">
        <f>_xll.qlCalendarAdvance(Calendar,R262,"1D","f")</f>
        <v>42746</v>
      </c>
      <c r="S263" s="68">
        <f>_xll.qlInterpolationInterpolate(B12MInterpolation,R263,TRUE)</f>
        <v>5.341238808417771E-3</v>
      </c>
    </row>
    <row r="264" spans="18:19" x14ac:dyDescent="0.2">
      <c r="R264" s="27">
        <f>_xll.qlCalendarAdvance(Calendar,R263,"1D","f")</f>
        <v>42747</v>
      </c>
      <c r="S264" s="68">
        <f>_xll.qlInterpolationInterpolate(B12MInterpolation,R264,TRUE)</f>
        <v>5.3426034823748298E-3</v>
      </c>
    </row>
    <row r="265" spans="18:19" x14ac:dyDescent="0.2">
      <c r="R265" s="27">
        <f>_xll.qlCalendarAdvance(Calendar,R264,"1D","f")</f>
        <v>42748</v>
      </c>
      <c r="S265" s="68">
        <f>_xll.qlInterpolationInterpolate(B12MInterpolation,R265,TRUE)</f>
        <v>5.3439548441195413E-3</v>
      </c>
    </row>
    <row r="266" spans="18:19" x14ac:dyDescent="0.2">
      <c r="R266" s="27">
        <f>_xll.qlCalendarAdvance(Calendar,R265,"1D","f")</f>
        <v>42751</v>
      </c>
      <c r="S266" s="68">
        <f>_xll.qlInterpolationInterpolate(B12MInterpolation,R266,TRUE)</f>
        <v>5.3479292520726904E-3</v>
      </c>
    </row>
    <row r="267" spans="18:19" x14ac:dyDescent="0.2">
      <c r="R267" s="71">
        <f>_xll.qlCalendarAdvance(Calendar,R266,"1D","f")</f>
        <v>42752</v>
      </c>
      <c r="S267" s="214">
        <f>_xll.qlInterpolationInterpolate(B12MInterpolation,R267,TRUE)</f>
        <v>5.3492275609611081E-3</v>
      </c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B2" sqref="B2"/>
    </sheetView>
  </sheetViews>
  <sheetFormatPr defaultRowHeight="11.25" x14ac:dyDescent="0.2"/>
  <cols>
    <col min="1" max="1" width="3.1640625" style="144" customWidth="1"/>
    <col min="2" max="2" width="4.6640625" style="144" bestFit="1" customWidth="1"/>
    <col min="3" max="4" width="3.5" style="144" bestFit="1" customWidth="1"/>
    <col min="5" max="5" width="5.5" style="144" bestFit="1" customWidth="1"/>
    <col min="6" max="6" width="4.6640625" style="144" customWidth="1"/>
    <col min="7" max="7" width="3.5" style="144" bestFit="1" customWidth="1"/>
    <col min="8" max="8" width="21.33203125" style="144" customWidth="1"/>
    <col min="9" max="9" width="33.33203125" style="144" bestFit="1" customWidth="1"/>
    <col min="10" max="10" width="30.33203125" style="144" customWidth="1"/>
    <col min="11" max="11" width="34.83203125" style="144" customWidth="1"/>
    <col min="12" max="12" width="24.83203125" style="144" customWidth="1"/>
    <col min="13" max="13" width="3.33203125" style="144" customWidth="1"/>
    <col min="14" max="14" width="3.1640625" style="144" customWidth="1"/>
    <col min="15" max="16384" width="9.33203125" style="144"/>
  </cols>
  <sheetData>
    <row r="1" spans="1:13" x14ac:dyDescent="0.2">
      <c r="A1" s="355"/>
      <c r="B1" s="356"/>
      <c r="C1" s="356"/>
      <c r="D1" s="356"/>
      <c r="E1" s="356" t="str">
        <f>IF(_xll.qlCalendarIsHoliday(LiborCalendar,_xll.qlSettingsEvaluationDate(),Trigger),"1D","0D")</f>
        <v>1D</v>
      </c>
      <c r="F1" s="356"/>
      <c r="G1" s="356"/>
      <c r="H1" s="356"/>
      <c r="I1" s="356"/>
      <c r="J1" s="356"/>
      <c r="K1" s="356"/>
      <c r="L1" s="357"/>
      <c r="M1" s="358"/>
    </row>
    <row r="2" spans="1:13" s="369" customFormat="1" ht="22.5" customHeight="1" x14ac:dyDescent="0.2">
      <c r="A2" s="365"/>
      <c r="B2" s="366"/>
      <c r="C2" s="366"/>
      <c r="D2" s="366"/>
      <c r="E2" s="366" t="s">
        <v>104</v>
      </c>
      <c r="F2" s="366"/>
      <c r="G2" s="366"/>
      <c r="H2" s="366" t="s">
        <v>108</v>
      </c>
      <c r="I2" s="366" t="s">
        <v>138</v>
      </c>
      <c r="J2" s="367" t="s">
        <v>184</v>
      </c>
      <c r="K2" s="367" t="s">
        <v>186</v>
      </c>
      <c r="L2" s="367" t="s">
        <v>182</v>
      </c>
      <c r="M2" s="368"/>
    </row>
    <row r="3" spans="1:13" x14ac:dyDescent="0.2">
      <c r="A3" s="359"/>
      <c r="B3" s="152" t="s">
        <v>19</v>
      </c>
      <c r="C3" s="153" t="s">
        <v>176</v>
      </c>
      <c r="D3" s="153" t="s">
        <v>175</v>
      </c>
      <c r="E3" s="153" t="str">
        <f>E1</f>
        <v>1D</v>
      </c>
      <c r="F3" s="153" t="s">
        <v>139</v>
      </c>
      <c r="G3" s="153" t="s">
        <v>175</v>
      </c>
      <c r="H3" s="154" t="str">
        <f t="shared" ref="H3:H36" si="0">IF(F3=0,0,Currency&amp;$F3&amp;$G3&amp;$B3&amp;QuoteSuffix)</f>
        <v>USD6L3L1Y_Quote</v>
      </c>
      <c r="I3" s="155" t="str">
        <f t="shared" ref="I3:I36" si="1">PROPER(Currency)&amp;IborType&amp;"SwapForBasisCalc"&amp;$B3</f>
        <v>UsdLiborSwapForBasisCalc1Y</v>
      </c>
      <c r="J3" s="156" t="str">
        <f t="shared" ref="J3:J36" si="2">Currency&amp;$C3&amp;$D3&amp;$B3&amp;IF(H3=0,,"_S"&amp;$F3&amp;$G3)&amp;QuoteSuffix</f>
        <v>USDAM3L1Y_S6L3L_Quote</v>
      </c>
      <c r="K3" s="156" t="str">
        <f>_xll.qlForwardSwapQuote(J3,I3,H3,E3,Permanent,Trigger,ObjectOverwrite)</f>
        <v>USDAM3L1Y_S6L3L_Quote#0000</v>
      </c>
      <c r="L3" s="370" t="str">
        <f>_xll.ohRangeRetrieveError(K3)</f>
        <v/>
      </c>
      <c r="M3" s="360"/>
    </row>
    <row r="4" spans="1:13" x14ac:dyDescent="0.2">
      <c r="A4" s="359"/>
      <c r="B4" s="157" t="s">
        <v>141</v>
      </c>
      <c r="C4" s="131" t="s">
        <v>176</v>
      </c>
      <c r="D4" s="131" t="s">
        <v>175</v>
      </c>
      <c r="E4" s="131" t="str">
        <f t="shared" ref="E4:E36" si="3">E3</f>
        <v>1D</v>
      </c>
      <c r="F4" s="131" t="s">
        <v>139</v>
      </c>
      <c r="G4" s="131" t="s">
        <v>175</v>
      </c>
      <c r="H4" s="158" t="str">
        <f t="shared" si="0"/>
        <v>USD6L3L2Y_Quote</v>
      </c>
      <c r="I4" s="159" t="str">
        <f t="shared" si="1"/>
        <v>UsdLiborSwapForBasisCalc2Y</v>
      </c>
      <c r="J4" s="160" t="str">
        <f t="shared" si="2"/>
        <v>USDAM3L2Y_S6L3L_Quote</v>
      </c>
      <c r="K4" s="160" t="str">
        <f>_xll.qlForwardSwapQuote(J4,I4,H4,E4,Permanent,Trigger,ObjectOverwrite)</f>
        <v>USDAM3L2Y_S6L3L_Quote#0000</v>
      </c>
      <c r="L4" s="371" t="str">
        <f>_xll.ohRangeRetrieveError(K4)</f>
        <v/>
      </c>
      <c r="M4" s="360"/>
    </row>
    <row r="5" spans="1:13" x14ac:dyDescent="0.2">
      <c r="A5" s="359"/>
      <c r="B5" s="157" t="s">
        <v>73</v>
      </c>
      <c r="C5" s="131" t="s">
        <v>176</v>
      </c>
      <c r="D5" s="131" t="s">
        <v>175</v>
      </c>
      <c r="E5" s="131" t="str">
        <f t="shared" si="3"/>
        <v>1D</v>
      </c>
      <c r="F5" s="131" t="s">
        <v>139</v>
      </c>
      <c r="G5" s="131" t="s">
        <v>175</v>
      </c>
      <c r="H5" s="158" t="str">
        <f t="shared" si="0"/>
        <v>USD6L3L3Y_Quote</v>
      </c>
      <c r="I5" s="159" t="str">
        <f t="shared" si="1"/>
        <v>UsdLiborSwapForBasisCalc3Y</v>
      </c>
      <c r="J5" s="160" t="str">
        <f t="shared" si="2"/>
        <v>USDAM3L3Y_S6L3L_Quote</v>
      </c>
      <c r="K5" s="160" t="str">
        <f>_xll.qlForwardSwapQuote(J5,I5,H5,E5,Permanent,Trigger,ObjectOverwrite)</f>
        <v>USDAM3L3Y_S6L3L_Quote#0000</v>
      </c>
      <c r="L5" s="371" t="str">
        <f>_xll.ohRangeRetrieveError(K5)</f>
        <v/>
      </c>
      <c r="M5" s="360"/>
    </row>
    <row r="6" spans="1:13" x14ac:dyDescent="0.2">
      <c r="A6" s="359"/>
      <c r="B6" s="157" t="s">
        <v>74</v>
      </c>
      <c r="C6" s="131" t="s">
        <v>176</v>
      </c>
      <c r="D6" s="131" t="s">
        <v>175</v>
      </c>
      <c r="E6" s="131" t="str">
        <f t="shared" si="3"/>
        <v>1D</v>
      </c>
      <c r="F6" s="131" t="s">
        <v>139</v>
      </c>
      <c r="G6" s="131" t="s">
        <v>175</v>
      </c>
      <c r="H6" s="158" t="str">
        <f t="shared" si="0"/>
        <v>USD6L3L4Y_Quote</v>
      </c>
      <c r="I6" s="159" t="str">
        <f t="shared" si="1"/>
        <v>UsdLiborSwapForBasisCalc4Y</v>
      </c>
      <c r="J6" s="160" t="str">
        <f t="shared" si="2"/>
        <v>USDAM3L4Y_S6L3L_Quote</v>
      </c>
      <c r="K6" s="160" t="str">
        <f>_xll.qlForwardSwapQuote(J6,I6,H6,E6,Permanent,Trigger,ObjectOverwrite)</f>
        <v>USDAM3L4Y_S6L3L_Quote#0000</v>
      </c>
      <c r="L6" s="371" t="str">
        <f>_xll.ohRangeRetrieveError(K6)</f>
        <v/>
      </c>
      <c r="M6" s="360"/>
    </row>
    <row r="7" spans="1:13" x14ac:dyDescent="0.2">
      <c r="A7" s="359"/>
      <c r="B7" s="157" t="s">
        <v>75</v>
      </c>
      <c r="C7" s="131" t="s">
        <v>176</v>
      </c>
      <c r="D7" s="131" t="s">
        <v>175</v>
      </c>
      <c r="E7" s="131" t="str">
        <f t="shared" si="3"/>
        <v>1D</v>
      </c>
      <c r="F7" s="131" t="s">
        <v>139</v>
      </c>
      <c r="G7" s="131" t="s">
        <v>175</v>
      </c>
      <c r="H7" s="158" t="str">
        <f t="shared" si="0"/>
        <v>USD6L3L5Y_Quote</v>
      </c>
      <c r="I7" s="159" t="str">
        <f t="shared" si="1"/>
        <v>UsdLiborSwapForBasisCalc5Y</v>
      </c>
      <c r="J7" s="160" t="str">
        <f t="shared" si="2"/>
        <v>USDAM3L5Y_S6L3L_Quote</v>
      </c>
      <c r="K7" s="160" t="str">
        <f>_xll.qlForwardSwapQuote(J7,I7,H7,E7,Permanent,Trigger,ObjectOverwrite)</f>
        <v>USDAM3L5Y_S6L3L_Quote#0000</v>
      </c>
      <c r="L7" s="371" t="str">
        <f>_xll.ohRangeRetrieveError(K7)</f>
        <v/>
      </c>
      <c r="M7" s="360"/>
    </row>
    <row r="8" spans="1:13" x14ac:dyDescent="0.2">
      <c r="A8" s="359"/>
      <c r="B8" s="157" t="s">
        <v>117</v>
      </c>
      <c r="C8" s="131" t="s">
        <v>176</v>
      </c>
      <c r="D8" s="131" t="s">
        <v>175</v>
      </c>
      <c r="E8" s="131" t="str">
        <f t="shared" si="3"/>
        <v>1D</v>
      </c>
      <c r="F8" s="131" t="s">
        <v>139</v>
      </c>
      <c r="G8" s="131" t="s">
        <v>175</v>
      </c>
      <c r="H8" s="158" t="str">
        <f t="shared" si="0"/>
        <v>USD6L3L6Y_Quote</v>
      </c>
      <c r="I8" s="159" t="str">
        <f t="shared" si="1"/>
        <v>UsdLiborSwapForBasisCalc6Y</v>
      </c>
      <c r="J8" s="160" t="str">
        <f t="shared" si="2"/>
        <v>USDAM3L6Y_S6L3L_Quote</v>
      </c>
      <c r="K8" s="160" t="str">
        <f>_xll.qlForwardSwapQuote(J8,I8,H8,E8,Permanent,Trigger,ObjectOverwrite)</f>
        <v>USDAM3L6Y_S6L3L_Quote#0000</v>
      </c>
      <c r="L8" s="371" t="str">
        <f>_xll.ohRangeRetrieveError(K8)</f>
        <v/>
      </c>
      <c r="M8" s="360"/>
    </row>
    <row r="9" spans="1:13" x14ac:dyDescent="0.2">
      <c r="A9" s="359"/>
      <c r="B9" s="157" t="s">
        <v>118</v>
      </c>
      <c r="C9" s="131" t="s">
        <v>176</v>
      </c>
      <c r="D9" s="131" t="s">
        <v>175</v>
      </c>
      <c r="E9" s="131" t="str">
        <f t="shared" si="3"/>
        <v>1D</v>
      </c>
      <c r="F9" s="131" t="s">
        <v>139</v>
      </c>
      <c r="G9" s="131" t="s">
        <v>175</v>
      </c>
      <c r="H9" s="158" t="str">
        <f t="shared" si="0"/>
        <v>USD6L3L7Y_Quote</v>
      </c>
      <c r="I9" s="159" t="str">
        <f t="shared" si="1"/>
        <v>UsdLiborSwapForBasisCalc7Y</v>
      </c>
      <c r="J9" s="160" t="str">
        <f t="shared" si="2"/>
        <v>USDAM3L7Y_S6L3L_Quote</v>
      </c>
      <c r="K9" s="160" t="str">
        <f>_xll.qlForwardSwapQuote(J9,I9,H9,E9,Permanent,Trigger,ObjectOverwrite)</f>
        <v>USDAM3L7Y_S6L3L_Quote#0000</v>
      </c>
      <c r="L9" s="371" t="str">
        <f>_xll.ohRangeRetrieveError(K9)</f>
        <v/>
      </c>
      <c r="M9" s="360"/>
    </row>
    <row r="10" spans="1:13" x14ac:dyDescent="0.2">
      <c r="A10" s="359"/>
      <c r="B10" s="157" t="s">
        <v>119</v>
      </c>
      <c r="C10" s="131" t="s">
        <v>176</v>
      </c>
      <c r="D10" s="131" t="s">
        <v>175</v>
      </c>
      <c r="E10" s="131" t="str">
        <f t="shared" si="3"/>
        <v>1D</v>
      </c>
      <c r="F10" s="131" t="s">
        <v>139</v>
      </c>
      <c r="G10" s="131" t="s">
        <v>175</v>
      </c>
      <c r="H10" s="158" t="str">
        <f t="shared" si="0"/>
        <v>USD6L3L8Y_Quote</v>
      </c>
      <c r="I10" s="159" t="str">
        <f t="shared" si="1"/>
        <v>UsdLiborSwapForBasisCalc8Y</v>
      </c>
      <c r="J10" s="160" t="str">
        <f t="shared" si="2"/>
        <v>USDAM3L8Y_S6L3L_Quote</v>
      </c>
      <c r="K10" s="160" t="str">
        <f>_xll.qlForwardSwapQuote(J10,I10,H10,E10,Permanent,Trigger,ObjectOverwrite)</f>
        <v>USDAM3L8Y_S6L3L_Quote#0000</v>
      </c>
      <c r="L10" s="371" t="str">
        <f>_xll.ohRangeRetrieveError(K10)</f>
        <v/>
      </c>
      <c r="M10" s="360"/>
    </row>
    <row r="11" spans="1:13" x14ac:dyDescent="0.2">
      <c r="A11" s="359"/>
      <c r="B11" s="157" t="s">
        <v>142</v>
      </c>
      <c r="C11" s="131" t="s">
        <v>176</v>
      </c>
      <c r="D11" s="131" t="s">
        <v>175</v>
      </c>
      <c r="E11" s="131" t="str">
        <f t="shared" si="3"/>
        <v>1D</v>
      </c>
      <c r="F11" s="131" t="s">
        <v>139</v>
      </c>
      <c r="G11" s="131" t="s">
        <v>175</v>
      </c>
      <c r="H11" s="158" t="str">
        <f t="shared" si="0"/>
        <v>USD6L3L9Y_Quote</v>
      </c>
      <c r="I11" s="159" t="str">
        <f t="shared" si="1"/>
        <v>UsdLiborSwapForBasisCalc9Y</v>
      </c>
      <c r="J11" s="160" t="str">
        <f t="shared" si="2"/>
        <v>USDAM3L9Y_S6L3L_Quote</v>
      </c>
      <c r="K11" s="160" t="str">
        <f>_xll.qlForwardSwapQuote(J11,I11,H11,E11,Permanent,Trigger,ObjectOverwrite)</f>
        <v>USDAM3L9Y_S6L3L_Quote#0000</v>
      </c>
      <c r="L11" s="371" t="str">
        <f>_xll.ohRangeRetrieveError(K11)</f>
        <v/>
      </c>
      <c r="M11" s="360"/>
    </row>
    <row r="12" spans="1:13" x14ac:dyDescent="0.2">
      <c r="A12" s="359"/>
      <c r="B12" s="157" t="s">
        <v>143</v>
      </c>
      <c r="C12" s="131" t="s">
        <v>176</v>
      </c>
      <c r="D12" s="131" t="s">
        <v>175</v>
      </c>
      <c r="E12" s="131" t="str">
        <f t="shared" si="3"/>
        <v>1D</v>
      </c>
      <c r="F12" s="131" t="s">
        <v>139</v>
      </c>
      <c r="G12" s="131" t="s">
        <v>175</v>
      </c>
      <c r="H12" s="158" t="str">
        <f t="shared" si="0"/>
        <v>USD6L3L10Y_Quote</v>
      </c>
      <c r="I12" s="159" t="str">
        <f t="shared" si="1"/>
        <v>UsdLiborSwapForBasisCalc10Y</v>
      </c>
      <c r="J12" s="160" t="str">
        <f t="shared" si="2"/>
        <v>USDAM3L10Y_S6L3L_Quote</v>
      </c>
      <c r="K12" s="160" t="str">
        <f>_xll.qlForwardSwapQuote(J12,I12,H12,E12,Permanent,Trigger,ObjectOverwrite)</f>
        <v>USDAM3L10Y_S6L3L_Quote#0000</v>
      </c>
      <c r="L12" s="371" t="str">
        <f>_xll.ohRangeRetrieveError(K12)</f>
        <v/>
      </c>
      <c r="M12" s="360"/>
    </row>
    <row r="13" spans="1:13" x14ac:dyDescent="0.2">
      <c r="A13" s="359"/>
      <c r="B13" s="157" t="s">
        <v>144</v>
      </c>
      <c r="C13" s="131" t="s">
        <v>176</v>
      </c>
      <c r="D13" s="131" t="s">
        <v>175</v>
      </c>
      <c r="E13" s="131" t="str">
        <f t="shared" si="3"/>
        <v>1D</v>
      </c>
      <c r="F13" s="131" t="s">
        <v>139</v>
      </c>
      <c r="G13" s="131" t="s">
        <v>175</v>
      </c>
      <c r="H13" s="158" t="str">
        <f t="shared" si="0"/>
        <v>USD6L3L11Y_Quote</v>
      </c>
      <c r="I13" s="159" t="str">
        <f t="shared" si="1"/>
        <v>UsdLiborSwapForBasisCalc11Y</v>
      </c>
      <c r="J13" s="160" t="str">
        <f t="shared" si="2"/>
        <v>USDAM3L11Y_S6L3L_Quote</v>
      </c>
      <c r="K13" s="160" t="str">
        <f>_xll.qlForwardSwapQuote(J13,I13,H13,E13,Permanent,Trigger,ObjectOverwrite)</f>
        <v>USDAM3L11Y_S6L3L_Quote#0000</v>
      </c>
      <c r="L13" s="371" t="str">
        <f>_xll.ohRangeRetrieveError(K13)</f>
        <v/>
      </c>
      <c r="M13" s="360"/>
    </row>
    <row r="14" spans="1:13" x14ac:dyDescent="0.2">
      <c r="A14" s="359"/>
      <c r="B14" s="157" t="s">
        <v>145</v>
      </c>
      <c r="C14" s="131" t="s">
        <v>176</v>
      </c>
      <c r="D14" s="131" t="s">
        <v>175</v>
      </c>
      <c r="E14" s="131" t="str">
        <f t="shared" si="3"/>
        <v>1D</v>
      </c>
      <c r="F14" s="131" t="s">
        <v>139</v>
      </c>
      <c r="G14" s="131" t="s">
        <v>175</v>
      </c>
      <c r="H14" s="158" t="str">
        <f t="shared" si="0"/>
        <v>USD6L3L12Y_Quote</v>
      </c>
      <c r="I14" s="159" t="str">
        <f t="shared" si="1"/>
        <v>UsdLiborSwapForBasisCalc12Y</v>
      </c>
      <c r="J14" s="160" t="str">
        <f t="shared" si="2"/>
        <v>USDAM3L12Y_S6L3L_Quote</v>
      </c>
      <c r="K14" s="160" t="str">
        <f>_xll.qlForwardSwapQuote(J14,I14,H14,E14,Permanent,Trigger,ObjectOverwrite)</f>
        <v>USDAM3L12Y_S6L3L_Quote#0000</v>
      </c>
      <c r="L14" s="371" t="str">
        <f>_xll.ohRangeRetrieveError(K14)</f>
        <v/>
      </c>
      <c r="M14" s="360"/>
    </row>
    <row r="15" spans="1:13" x14ac:dyDescent="0.2">
      <c r="A15" s="359"/>
      <c r="B15" s="157" t="s">
        <v>146</v>
      </c>
      <c r="C15" s="131" t="s">
        <v>176</v>
      </c>
      <c r="D15" s="131" t="s">
        <v>175</v>
      </c>
      <c r="E15" s="131" t="str">
        <f t="shared" si="3"/>
        <v>1D</v>
      </c>
      <c r="F15" s="131" t="s">
        <v>139</v>
      </c>
      <c r="G15" s="131" t="s">
        <v>175</v>
      </c>
      <c r="H15" s="158" t="str">
        <f t="shared" si="0"/>
        <v>USD6L3L13Y_Quote</v>
      </c>
      <c r="I15" s="159" t="str">
        <f t="shared" si="1"/>
        <v>UsdLiborSwapForBasisCalc13Y</v>
      </c>
      <c r="J15" s="160" t="str">
        <f t="shared" si="2"/>
        <v>USDAM3L13Y_S6L3L_Quote</v>
      </c>
      <c r="K15" s="160" t="str">
        <f>_xll.qlForwardSwapQuote(J15,I15,H15,E15,Permanent,Trigger,ObjectOverwrite)</f>
        <v>USDAM3L13Y_S6L3L_Quote#0000</v>
      </c>
      <c r="L15" s="371" t="str">
        <f>_xll.ohRangeRetrieveError(K15)</f>
        <v/>
      </c>
      <c r="M15" s="360"/>
    </row>
    <row r="16" spans="1:13" x14ac:dyDescent="0.2">
      <c r="A16" s="359"/>
      <c r="B16" s="157" t="s">
        <v>147</v>
      </c>
      <c r="C16" s="131" t="s">
        <v>176</v>
      </c>
      <c r="D16" s="131" t="s">
        <v>175</v>
      </c>
      <c r="E16" s="131" t="str">
        <f t="shared" si="3"/>
        <v>1D</v>
      </c>
      <c r="F16" s="131" t="s">
        <v>139</v>
      </c>
      <c r="G16" s="131" t="s">
        <v>175</v>
      </c>
      <c r="H16" s="158" t="str">
        <f t="shared" si="0"/>
        <v>USD6L3L14Y_Quote</v>
      </c>
      <c r="I16" s="159" t="str">
        <f t="shared" si="1"/>
        <v>UsdLiborSwapForBasisCalc14Y</v>
      </c>
      <c r="J16" s="160" t="str">
        <f t="shared" si="2"/>
        <v>USDAM3L14Y_S6L3L_Quote</v>
      </c>
      <c r="K16" s="160" t="str">
        <f>_xll.qlForwardSwapQuote(J16,I16,H16,E16,Permanent,Trigger,ObjectOverwrite)</f>
        <v>USDAM3L14Y_S6L3L_Quote#0000</v>
      </c>
      <c r="L16" s="371" t="str">
        <f>_xll.ohRangeRetrieveError(K16)</f>
        <v/>
      </c>
      <c r="M16" s="360"/>
    </row>
    <row r="17" spans="1:13" x14ac:dyDescent="0.2">
      <c r="A17" s="359"/>
      <c r="B17" s="157" t="s">
        <v>148</v>
      </c>
      <c r="C17" s="131" t="s">
        <v>176</v>
      </c>
      <c r="D17" s="131" t="s">
        <v>175</v>
      </c>
      <c r="E17" s="131" t="str">
        <f t="shared" si="3"/>
        <v>1D</v>
      </c>
      <c r="F17" s="131" t="s">
        <v>139</v>
      </c>
      <c r="G17" s="131" t="s">
        <v>175</v>
      </c>
      <c r="H17" s="158" t="str">
        <f t="shared" si="0"/>
        <v>USD6L3L15Y_Quote</v>
      </c>
      <c r="I17" s="159" t="str">
        <f t="shared" si="1"/>
        <v>UsdLiborSwapForBasisCalc15Y</v>
      </c>
      <c r="J17" s="160" t="str">
        <f t="shared" si="2"/>
        <v>USDAM3L15Y_S6L3L_Quote</v>
      </c>
      <c r="K17" s="160" t="str">
        <f>_xll.qlForwardSwapQuote(J17,I17,H17,E17,Permanent,Trigger,ObjectOverwrite)</f>
        <v>USDAM3L15Y_S6L3L_Quote#0000</v>
      </c>
      <c r="L17" s="371" t="str">
        <f>_xll.ohRangeRetrieveError(K17)</f>
        <v/>
      </c>
      <c r="M17" s="360"/>
    </row>
    <row r="18" spans="1:13" x14ac:dyDescent="0.2">
      <c r="A18" s="359"/>
      <c r="B18" s="157" t="s">
        <v>149</v>
      </c>
      <c r="C18" s="131" t="s">
        <v>176</v>
      </c>
      <c r="D18" s="131" t="s">
        <v>175</v>
      </c>
      <c r="E18" s="131" t="str">
        <f t="shared" si="3"/>
        <v>1D</v>
      </c>
      <c r="F18" s="131" t="s">
        <v>139</v>
      </c>
      <c r="G18" s="131" t="s">
        <v>175</v>
      </c>
      <c r="H18" s="158" t="str">
        <f t="shared" si="0"/>
        <v>USD6L3L16Y_Quote</v>
      </c>
      <c r="I18" s="159" t="str">
        <f t="shared" si="1"/>
        <v>UsdLiborSwapForBasisCalc16Y</v>
      </c>
      <c r="J18" s="160" t="str">
        <f t="shared" si="2"/>
        <v>USDAM3L16Y_S6L3L_Quote</v>
      </c>
      <c r="K18" s="160" t="str">
        <f>_xll.qlForwardSwapQuote(J18,I18,H18,E18,Permanent,Trigger,ObjectOverwrite)</f>
        <v>USDAM3L16Y_S6L3L_Quote#0000</v>
      </c>
      <c r="L18" s="371" t="str">
        <f>_xll.ohRangeRetrieveError(K18)</f>
        <v/>
      </c>
      <c r="M18" s="360"/>
    </row>
    <row r="19" spans="1:13" x14ac:dyDescent="0.2">
      <c r="A19" s="359"/>
      <c r="B19" s="157" t="s">
        <v>150</v>
      </c>
      <c r="C19" s="131" t="s">
        <v>176</v>
      </c>
      <c r="D19" s="131" t="s">
        <v>175</v>
      </c>
      <c r="E19" s="131" t="str">
        <f t="shared" si="3"/>
        <v>1D</v>
      </c>
      <c r="F19" s="131" t="s">
        <v>139</v>
      </c>
      <c r="G19" s="131" t="s">
        <v>175</v>
      </c>
      <c r="H19" s="158" t="str">
        <f t="shared" si="0"/>
        <v>USD6L3L17Y_Quote</v>
      </c>
      <c r="I19" s="159" t="str">
        <f t="shared" si="1"/>
        <v>UsdLiborSwapForBasisCalc17Y</v>
      </c>
      <c r="J19" s="160" t="str">
        <f t="shared" si="2"/>
        <v>USDAM3L17Y_S6L3L_Quote</v>
      </c>
      <c r="K19" s="160" t="str">
        <f>_xll.qlForwardSwapQuote(J19,I19,H19,E19,Permanent,Trigger,ObjectOverwrite)</f>
        <v>USDAM3L17Y_S6L3L_Quote#0000</v>
      </c>
      <c r="L19" s="371" t="str">
        <f>_xll.ohRangeRetrieveError(K19)</f>
        <v/>
      </c>
      <c r="M19" s="360"/>
    </row>
    <row r="20" spans="1:13" x14ac:dyDescent="0.2">
      <c r="A20" s="359"/>
      <c r="B20" s="157" t="s">
        <v>151</v>
      </c>
      <c r="C20" s="131" t="s">
        <v>176</v>
      </c>
      <c r="D20" s="131" t="s">
        <v>175</v>
      </c>
      <c r="E20" s="131" t="str">
        <f t="shared" si="3"/>
        <v>1D</v>
      </c>
      <c r="F20" s="131" t="s">
        <v>139</v>
      </c>
      <c r="G20" s="131" t="s">
        <v>175</v>
      </c>
      <c r="H20" s="158" t="str">
        <f t="shared" si="0"/>
        <v>USD6L3L18Y_Quote</v>
      </c>
      <c r="I20" s="159" t="str">
        <f t="shared" si="1"/>
        <v>UsdLiborSwapForBasisCalc18Y</v>
      </c>
      <c r="J20" s="160" t="str">
        <f t="shared" si="2"/>
        <v>USDAM3L18Y_S6L3L_Quote</v>
      </c>
      <c r="K20" s="160" t="str">
        <f>_xll.qlForwardSwapQuote(J20,I20,H20,E20,Permanent,Trigger,ObjectOverwrite)</f>
        <v>USDAM3L18Y_S6L3L_Quote#0000</v>
      </c>
      <c r="L20" s="371" t="str">
        <f>_xll.ohRangeRetrieveError(K20)</f>
        <v/>
      </c>
      <c r="M20" s="360"/>
    </row>
    <row r="21" spans="1:13" x14ac:dyDescent="0.2">
      <c r="A21" s="359"/>
      <c r="B21" s="157" t="s">
        <v>152</v>
      </c>
      <c r="C21" s="131" t="s">
        <v>176</v>
      </c>
      <c r="D21" s="131" t="s">
        <v>175</v>
      </c>
      <c r="E21" s="131" t="str">
        <f t="shared" si="3"/>
        <v>1D</v>
      </c>
      <c r="F21" s="131" t="s">
        <v>139</v>
      </c>
      <c r="G21" s="131" t="s">
        <v>175</v>
      </c>
      <c r="H21" s="158" t="str">
        <f t="shared" si="0"/>
        <v>USD6L3L19Y_Quote</v>
      </c>
      <c r="I21" s="159" t="str">
        <f t="shared" si="1"/>
        <v>UsdLiborSwapForBasisCalc19Y</v>
      </c>
      <c r="J21" s="160" t="str">
        <f t="shared" si="2"/>
        <v>USDAM3L19Y_S6L3L_Quote</v>
      </c>
      <c r="K21" s="160" t="str">
        <f>_xll.qlForwardSwapQuote(J21,I21,H21,E21,Permanent,Trigger,ObjectOverwrite)</f>
        <v>USDAM3L19Y_S6L3L_Quote#0000</v>
      </c>
      <c r="L21" s="371" t="str">
        <f>_xll.ohRangeRetrieveError(K21)</f>
        <v/>
      </c>
      <c r="M21" s="360"/>
    </row>
    <row r="22" spans="1:13" x14ac:dyDescent="0.2">
      <c r="A22" s="359"/>
      <c r="B22" s="157" t="s">
        <v>153</v>
      </c>
      <c r="C22" s="131" t="s">
        <v>176</v>
      </c>
      <c r="D22" s="131" t="s">
        <v>175</v>
      </c>
      <c r="E22" s="131" t="str">
        <f t="shared" si="3"/>
        <v>1D</v>
      </c>
      <c r="F22" s="131" t="s">
        <v>139</v>
      </c>
      <c r="G22" s="131" t="s">
        <v>175</v>
      </c>
      <c r="H22" s="158" t="str">
        <f t="shared" si="0"/>
        <v>USD6L3L20Y_Quote</v>
      </c>
      <c r="I22" s="159" t="str">
        <f t="shared" si="1"/>
        <v>UsdLiborSwapForBasisCalc20Y</v>
      </c>
      <c r="J22" s="160" t="str">
        <f t="shared" si="2"/>
        <v>USDAM3L20Y_S6L3L_Quote</v>
      </c>
      <c r="K22" s="160" t="str">
        <f>_xll.qlForwardSwapQuote(J22,I22,H22,E22,Permanent,Trigger,ObjectOverwrite)</f>
        <v>USDAM3L20Y_S6L3L_Quote#0000</v>
      </c>
      <c r="L22" s="371" t="str">
        <f>_xll.ohRangeRetrieveError(K22)</f>
        <v/>
      </c>
      <c r="M22" s="360"/>
    </row>
    <row r="23" spans="1:13" x14ac:dyDescent="0.2">
      <c r="A23" s="359"/>
      <c r="B23" s="157" t="s">
        <v>154</v>
      </c>
      <c r="C23" s="131" t="s">
        <v>176</v>
      </c>
      <c r="D23" s="131" t="s">
        <v>175</v>
      </c>
      <c r="E23" s="131" t="str">
        <f t="shared" si="3"/>
        <v>1D</v>
      </c>
      <c r="F23" s="131" t="s">
        <v>139</v>
      </c>
      <c r="G23" s="131" t="s">
        <v>175</v>
      </c>
      <c r="H23" s="158" t="str">
        <f t="shared" si="0"/>
        <v>USD6L3L21Y_Quote</v>
      </c>
      <c r="I23" s="159" t="str">
        <f t="shared" si="1"/>
        <v>UsdLiborSwapForBasisCalc21Y</v>
      </c>
      <c r="J23" s="160" t="str">
        <f t="shared" si="2"/>
        <v>USDAM3L21Y_S6L3L_Quote</v>
      </c>
      <c r="K23" s="160" t="str">
        <f>_xll.qlForwardSwapQuote(J23,I23,H23,E23,Permanent,Trigger,ObjectOverwrite)</f>
        <v>USDAM3L21Y_S6L3L_Quote#0000</v>
      </c>
      <c r="L23" s="371" t="str">
        <f>_xll.ohRangeRetrieveError(K23)</f>
        <v/>
      </c>
      <c r="M23" s="360"/>
    </row>
    <row r="24" spans="1:13" x14ac:dyDescent="0.2">
      <c r="A24" s="359"/>
      <c r="B24" s="157" t="s">
        <v>155</v>
      </c>
      <c r="C24" s="131" t="s">
        <v>176</v>
      </c>
      <c r="D24" s="131" t="s">
        <v>175</v>
      </c>
      <c r="E24" s="131" t="str">
        <f t="shared" si="3"/>
        <v>1D</v>
      </c>
      <c r="F24" s="131" t="s">
        <v>139</v>
      </c>
      <c r="G24" s="131" t="s">
        <v>175</v>
      </c>
      <c r="H24" s="158" t="str">
        <f t="shared" si="0"/>
        <v>USD6L3L22Y_Quote</v>
      </c>
      <c r="I24" s="159" t="str">
        <f t="shared" si="1"/>
        <v>UsdLiborSwapForBasisCalc22Y</v>
      </c>
      <c r="J24" s="160" t="str">
        <f t="shared" si="2"/>
        <v>USDAM3L22Y_S6L3L_Quote</v>
      </c>
      <c r="K24" s="160" t="str">
        <f>_xll.qlForwardSwapQuote(J24,I24,H24,E24,Permanent,Trigger,ObjectOverwrite)</f>
        <v>USDAM3L22Y_S6L3L_Quote#0000</v>
      </c>
      <c r="L24" s="371" t="str">
        <f>_xll.ohRangeRetrieveError(K24)</f>
        <v/>
      </c>
      <c r="M24" s="360"/>
    </row>
    <row r="25" spans="1:13" x14ac:dyDescent="0.2">
      <c r="A25" s="359"/>
      <c r="B25" s="157" t="s">
        <v>156</v>
      </c>
      <c r="C25" s="131" t="s">
        <v>176</v>
      </c>
      <c r="D25" s="131" t="s">
        <v>175</v>
      </c>
      <c r="E25" s="131" t="str">
        <f t="shared" si="3"/>
        <v>1D</v>
      </c>
      <c r="F25" s="131" t="s">
        <v>139</v>
      </c>
      <c r="G25" s="131" t="s">
        <v>175</v>
      </c>
      <c r="H25" s="158" t="str">
        <f t="shared" si="0"/>
        <v>USD6L3L23Y_Quote</v>
      </c>
      <c r="I25" s="159" t="str">
        <f t="shared" si="1"/>
        <v>UsdLiborSwapForBasisCalc23Y</v>
      </c>
      <c r="J25" s="160" t="str">
        <f t="shared" si="2"/>
        <v>USDAM3L23Y_S6L3L_Quote</v>
      </c>
      <c r="K25" s="160" t="str">
        <f>_xll.qlForwardSwapQuote(J25,I25,H25,E25,Permanent,Trigger,ObjectOverwrite)</f>
        <v>USDAM3L23Y_S6L3L_Quote#0000</v>
      </c>
      <c r="L25" s="371" t="str">
        <f>_xll.ohRangeRetrieveError(K25)</f>
        <v/>
      </c>
      <c r="M25" s="360"/>
    </row>
    <row r="26" spans="1:13" x14ac:dyDescent="0.2">
      <c r="A26" s="359"/>
      <c r="B26" s="157" t="s">
        <v>157</v>
      </c>
      <c r="C26" s="131" t="s">
        <v>176</v>
      </c>
      <c r="D26" s="131" t="s">
        <v>175</v>
      </c>
      <c r="E26" s="131" t="str">
        <f t="shared" si="3"/>
        <v>1D</v>
      </c>
      <c r="F26" s="131" t="s">
        <v>139</v>
      </c>
      <c r="G26" s="131" t="s">
        <v>175</v>
      </c>
      <c r="H26" s="158" t="str">
        <f t="shared" si="0"/>
        <v>USD6L3L24Y_Quote</v>
      </c>
      <c r="I26" s="159" t="str">
        <f t="shared" si="1"/>
        <v>UsdLiborSwapForBasisCalc24Y</v>
      </c>
      <c r="J26" s="160" t="str">
        <f t="shared" si="2"/>
        <v>USDAM3L24Y_S6L3L_Quote</v>
      </c>
      <c r="K26" s="160" t="str">
        <f>_xll.qlForwardSwapQuote(J26,I26,H26,E26,Permanent,Trigger,ObjectOverwrite)</f>
        <v>USDAM3L24Y_S6L3L_Quote#0000</v>
      </c>
      <c r="L26" s="371" t="str">
        <f>_xll.ohRangeRetrieveError(K26)</f>
        <v/>
      </c>
      <c r="M26" s="360"/>
    </row>
    <row r="27" spans="1:13" x14ac:dyDescent="0.2">
      <c r="A27" s="359"/>
      <c r="B27" s="157" t="s">
        <v>158</v>
      </c>
      <c r="C27" s="131" t="s">
        <v>176</v>
      </c>
      <c r="D27" s="131" t="s">
        <v>175</v>
      </c>
      <c r="E27" s="131" t="str">
        <f t="shared" si="3"/>
        <v>1D</v>
      </c>
      <c r="F27" s="131" t="s">
        <v>139</v>
      </c>
      <c r="G27" s="131" t="s">
        <v>175</v>
      </c>
      <c r="H27" s="158" t="str">
        <f t="shared" si="0"/>
        <v>USD6L3L25Y_Quote</v>
      </c>
      <c r="I27" s="159" t="str">
        <f t="shared" si="1"/>
        <v>UsdLiborSwapForBasisCalc25Y</v>
      </c>
      <c r="J27" s="160" t="str">
        <f t="shared" si="2"/>
        <v>USDAM3L25Y_S6L3L_Quote</v>
      </c>
      <c r="K27" s="160" t="str">
        <f>_xll.qlForwardSwapQuote(J27,I27,H27,E27,Permanent,Trigger,ObjectOverwrite)</f>
        <v>USDAM3L25Y_S6L3L_Quote#0000</v>
      </c>
      <c r="L27" s="371" t="str">
        <f>_xll.ohRangeRetrieveError(K27)</f>
        <v/>
      </c>
      <c r="M27" s="360"/>
    </row>
    <row r="28" spans="1:13" x14ac:dyDescent="0.2">
      <c r="A28" s="359"/>
      <c r="B28" s="157" t="s">
        <v>159</v>
      </c>
      <c r="C28" s="131" t="s">
        <v>176</v>
      </c>
      <c r="D28" s="131" t="s">
        <v>175</v>
      </c>
      <c r="E28" s="131" t="str">
        <f t="shared" si="3"/>
        <v>1D</v>
      </c>
      <c r="F28" s="131" t="s">
        <v>139</v>
      </c>
      <c r="G28" s="131" t="s">
        <v>175</v>
      </c>
      <c r="H28" s="158" t="str">
        <f t="shared" si="0"/>
        <v>USD6L3L26Y_Quote</v>
      </c>
      <c r="I28" s="159" t="str">
        <f t="shared" si="1"/>
        <v>UsdLiborSwapForBasisCalc26Y</v>
      </c>
      <c r="J28" s="160" t="str">
        <f t="shared" si="2"/>
        <v>USDAM3L26Y_S6L3L_Quote</v>
      </c>
      <c r="K28" s="160" t="str">
        <f>_xll.qlForwardSwapQuote(J28,I28,H28,E28,Permanent,Trigger,ObjectOverwrite)</f>
        <v>USDAM3L26Y_S6L3L_Quote#0000</v>
      </c>
      <c r="L28" s="371" t="str">
        <f>_xll.ohRangeRetrieveError(K28)</f>
        <v/>
      </c>
      <c r="M28" s="360"/>
    </row>
    <row r="29" spans="1:13" x14ac:dyDescent="0.2">
      <c r="A29" s="359"/>
      <c r="B29" s="157" t="s">
        <v>160</v>
      </c>
      <c r="C29" s="131" t="s">
        <v>176</v>
      </c>
      <c r="D29" s="131" t="s">
        <v>175</v>
      </c>
      <c r="E29" s="131" t="str">
        <f t="shared" si="3"/>
        <v>1D</v>
      </c>
      <c r="F29" s="131" t="s">
        <v>139</v>
      </c>
      <c r="G29" s="131" t="s">
        <v>175</v>
      </c>
      <c r="H29" s="158" t="str">
        <f t="shared" si="0"/>
        <v>USD6L3L27Y_Quote</v>
      </c>
      <c r="I29" s="159" t="str">
        <f t="shared" si="1"/>
        <v>UsdLiborSwapForBasisCalc27Y</v>
      </c>
      <c r="J29" s="160" t="str">
        <f t="shared" si="2"/>
        <v>USDAM3L27Y_S6L3L_Quote</v>
      </c>
      <c r="K29" s="160" t="str">
        <f>_xll.qlForwardSwapQuote(J29,I29,H29,E29,Permanent,Trigger,ObjectOverwrite)</f>
        <v>USDAM3L27Y_S6L3L_Quote#0000</v>
      </c>
      <c r="L29" s="371" t="str">
        <f>_xll.ohRangeRetrieveError(K29)</f>
        <v/>
      </c>
      <c r="M29" s="360"/>
    </row>
    <row r="30" spans="1:13" x14ac:dyDescent="0.2">
      <c r="A30" s="359"/>
      <c r="B30" s="157" t="s">
        <v>161</v>
      </c>
      <c r="C30" s="131" t="s">
        <v>176</v>
      </c>
      <c r="D30" s="131" t="s">
        <v>175</v>
      </c>
      <c r="E30" s="131" t="str">
        <f t="shared" si="3"/>
        <v>1D</v>
      </c>
      <c r="F30" s="131" t="s">
        <v>139</v>
      </c>
      <c r="G30" s="131" t="s">
        <v>175</v>
      </c>
      <c r="H30" s="158" t="str">
        <f t="shared" si="0"/>
        <v>USD6L3L28Y_Quote</v>
      </c>
      <c r="I30" s="159" t="str">
        <f t="shared" si="1"/>
        <v>UsdLiborSwapForBasisCalc28Y</v>
      </c>
      <c r="J30" s="160" t="str">
        <f t="shared" si="2"/>
        <v>USDAM3L28Y_S6L3L_Quote</v>
      </c>
      <c r="K30" s="160" t="str">
        <f>_xll.qlForwardSwapQuote(J30,I30,H30,E30,Permanent,Trigger,ObjectOverwrite)</f>
        <v>USDAM3L28Y_S6L3L_Quote#0000</v>
      </c>
      <c r="L30" s="371" t="str">
        <f>_xll.ohRangeRetrieveError(K30)</f>
        <v/>
      </c>
      <c r="M30" s="360"/>
    </row>
    <row r="31" spans="1:13" x14ac:dyDescent="0.2">
      <c r="A31" s="359"/>
      <c r="B31" s="157" t="s">
        <v>162</v>
      </c>
      <c r="C31" s="131" t="s">
        <v>176</v>
      </c>
      <c r="D31" s="131" t="s">
        <v>175</v>
      </c>
      <c r="E31" s="131" t="str">
        <f t="shared" si="3"/>
        <v>1D</v>
      </c>
      <c r="F31" s="131" t="s">
        <v>139</v>
      </c>
      <c r="G31" s="131" t="s">
        <v>175</v>
      </c>
      <c r="H31" s="158" t="str">
        <f t="shared" si="0"/>
        <v>USD6L3L29Y_Quote</v>
      </c>
      <c r="I31" s="159" t="str">
        <f t="shared" si="1"/>
        <v>UsdLiborSwapForBasisCalc29Y</v>
      </c>
      <c r="J31" s="160" t="str">
        <f t="shared" si="2"/>
        <v>USDAM3L29Y_S6L3L_Quote</v>
      </c>
      <c r="K31" s="160" t="str">
        <f>_xll.qlForwardSwapQuote(J31,I31,H31,E31,Permanent,Trigger,ObjectOverwrite)</f>
        <v>USDAM3L29Y_S6L3L_Quote#0000</v>
      </c>
      <c r="L31" s="371" t="str">
        <f>_xll.ohRangeRetrieveError(K31)</f>
        <v/>
      </c>
      <c r="M31" s="360"/>
    </row>
    <row r="32" spans="1:13" x14ac:dyDescent="0.2">
      <c r="A32" s="359"/>
      <c r="B32" s="157" t="s">
        <v>163</v>
      </c>
      <c r="C32" s="131" t="s">
        <v>176</v>
      </c>
      <c r="D32" s="131" t="s">
        <v>175</v>
      </c>
      <c r="E32" s="131" t="str">
        <f t="shared" si="3"/>
        <v>1D</v>
      </c>
      <c r="F32" s="131" t="s">
        <v>139</v>
      </c>
      <c r="G32" s="131" t="s">
        <v>175</v>
      </c>
      <c r="H32" s="158" t="str">
        <f t="shared" si="0"/>
        <v>USD6L3L30Y_Quote</v>
      </c>
      <c r="I32" s="159" t="str">
        <f t="shared" si="1"/>
        <v>UsdLiborSwapForBasisCalc30Y</v>
      </c>
      <c r="J32" s="160" t="str">
        <f t="shared" si="2"/>
        <v>USDAM3L30Y_S6L3L_Quote</v>
      </c>
      <c r="K32" s="160" t="str">
        <f>_xll.qlForwardSwapQuote(J32,I32,H32,E32,Permanent,Trigger,ObjectOverwrite)</f>
        <v>USDAM3L30Y_S6L3L_Quote#0000</v>
      </c>
      <c r="L32" s="371" t="str">
        <f>_xll.ohRangeRetrieveError(K32)</f>
        <v/>
      </c>
      <c r="M32" s="360"/>
    </row>
    <row r="33" spans="1:13" x14ac:dyDescent="0.2">
      <c r="A33" s="359"/>
      <c r="B33" s="157" t="s">
        <v>164</v>
      </c>
      <c r="C33" s="131" t="s">
        <v>176</v>
      </c>
      <c r="D33" s="131" t="s">
        <v>175</v>
      </c>
      <c r="E33" s="131" t="str">
        <f t="shared" si="3"/>
        <v>1D</v>
      </c>
      <c r="F33" s="131" t="s">
        <v>139</v>
      </c>
      <c r="G33" s="131" t="s">
        <v>175</v>
      </c>
      <c r="H33" s="158" t="str">
        <f t="shared" si="0"/>
        <v>USD6L3L35Y_Quote</v>
      </c>
      <c r="I33" s="159" t="str">
        <f t="shared" si="1"/>
        <v>UsdLiborSwapForBasisCalc35Y</v>
      </c>
      <c r="J33" s="160" t="str">
        <f t="shared" si="2"/>
        <v>USDAM3L35Y_S6L3L_Quote</v>
      </c>
      <c r="K33" s="160" t="str">
        <f>_xll.qlForwardSwapQuote(J33,I33,H33,E33,Permanent,Trigger,ObjectOverwrite)</f>
        <v>USDAM3L35Y_S6L3L_Quote#0000</v>
      </c>
      <c r="L33" s="371" t="str">
        <f>_xll.ohRangeRetrieveError(K33)</f>
        <v/>
      </c>
      <c r="M33" s="360"/>
    </row>
    <row r="34" spans="1:13" x14ac:dyDescent="0.2">
      <c r="A34" s="359"/>
      <c r="B34" s="157" t="s">
        <v>165</v>
      </c>
      <c r="C34" s="131" t="s">
        <v>176</v>
      </c>
      <c r="D34" s="131" t="s">
        <v>175</v>
      </c>
      <c r="E34" s="131" t="str">
        <f t="shared" si="3"/>
        <v>1D</v>
      </c>
      <c r="F34" s="131" t="s">
        <v>139</v>
      </c>
      <c r="G34" s="131" t="s">
        <v>175</v>
      </c>
      <c r="H34" s="158" t="str">
        <f t="shared" si="0"/>
        <v>USD6L3L40Y_Quote</v>
      </c>
      <c r="I34" s="159" t="str">
        <f t="shared" si="1"/>
        <v>UsdLiborSwapForBasisCalc40Y</v>
      </c>
      <c r="J34" s="160" t="str">
        <f t="shared" si="2"/>
        <v>USDAM3L40Y_S6L3L_Quote</v>
      </c>
      <c r="K34" s="160" t="str">
        <f>_xll.qlForwardSwapQuote(J34,I34,H34,E34,Permanent,Trigger,ObjectOverwrite)</f>
        <v>USDAM3L40Y_S6L3L_Quote#0000</v>
      </c>
      <c r="L34" s="371" t="str">
        <f>_xll.ohRangeRetrieveError(K34)</f>
        <v/>
      </c>
      <c r="M34" s="360"/>
    </row>
    <row r="35" spans="1:13" x14ac:dyDescent="0.2">
      <c r="A35" s="359"/>
      <c r="B35" s="157" t="s">
        <v>166</v>
      </c>
      <c r="C35" s="131" t="s">
        <v>176</v>
      </c>
      <c r="D35" s="131" t="s">
        <v>175</v>
      </c>
      <c r="E35" s="131" t="str">
        <f t="shared" si="3"/>
        <v>1D</v>
      </c>
      <c r="F35" s="131" t="s">
        <v>139</v>
      </c>
      <c r="G35" s="131" t="s">
        <v>175</v>
      </c>
      <c r="H35" s="158" t="str">
        <f t="shared" si="0"/>
        <v>USD6L3L50Y_Quote</v>
      </c>
      <c r="I35" s="159" t="str">
        <f t="shared" si="1"/>
        <v>UsdLiborSwapForBasisCalc50Y</v>
      </c>
      <c r="J35" s="160" t="str">
        <f t="shared" si="2"/>
        <v>USDAM3L50Y_S6L3L_Quote</v>
      </c>
      <c r="K35" s="160" t="str">
        <f>_xll.qlForwardSwapQuote(J35,I35,H35,E35,Permanent,Trigger,ObjectOverwrite)</f>
        <v>USDAM3L50Y_S6L3L_Quote#0000</v>
      </c>
      <c r="L35" s="371" t="str">
        <f>_xll.ohRangeRetrieveError(K35)</f>
        <v/>
      </c>
      <c r="M35" s="360"/>
    </row>
    <row r="36" spans="1:13" x14ac:dyDescent="0.2">
      <c r="A36" s="359"/>
      <c r="B36" s="161" t="s">
        <v>167</v>
      </c>
      <c r="C36" s="136" t="s">
        <v>176</v>
      </c>
      <c r="D36" s="136" t="s">
        <v>175</v>
      </c>
      <c r="E36" s="136" t="str">
        <f t="shared" si="3"/>
        <v>1D</v>
      </c>
      <c r="F36" s="136" t="s">
        <v>139</v>
      </c>
      <c r="G36" s="136" t="s">
        <v>175</v>
      </c>
      <c r="H36" s="162" t="str">
        <f t="shared" si="0"/>
        <v>USD6L3L60Y_Quote</v>
      </c>
      <c r="I36" s="163" t="str">
        <f t="shared" si="1"/>
        <v>UsdLiborSwapForBasisCalc60Y</v>
      </c>
      <c r="J36" s="164" t="str">
        <f t="shared" si="2"/>
        <v>USDAM3L60Y_S6L3L_Quote</v>
      </c>
      <c r="K36" s="164" t="str">
        <f>_xll.qlForwardSwapQuote(J36,I36,H36,E36,Permanent,Trigger,ObjectOverwrite)</f>
        <v>USDAM3L60Y_S6L3L_Quote#0000</v>
      </c>
      <c r="L36" s="372" t="str">
        <f>_xll.ohRangeRetrieveError(K36)</f>
        <v/>
      </c>
      <c r="M36" s="360"/>
    </row>
    <row r="37" spans="1:13" x14ac:dyDescent="0.2">
      <c r="A37" s="361"/>
      <c r="B37" s="362"/>
      <c r="C37" s="362"/>
      <c r="D37" s="362"/>
      <c r="E37" s="362"/>
      <c r="F37" s="362"/>
      <c r="G37" s="362"/>
      <c r="H37" s="362"/>
      <c r="I37" s="362"/>
      <c r="J37" s="362"/>
      <c r="K37" s="363"/>
      <c r="L37" s="363"/>
      <c r="M37" s="364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B2" sqref="B2"/>
    </sheetView>
  </sheetViews>
  <sheetFormatPr defaultRowHeight="11.25" x14ac:dyDescent="0.2"/>
  <cols>
    <col min="1" max="1" width="3.1640625" style="144" customWidth="1"/>
    <col min="2" max="2" width="4.6640625" style="144" bestFit="1" customWidth="1"/>
    <col min="3" max="4" width="3.5" style="144" bestFit="1" customWidth="1"/>
    <col min="5" max="5" width="5.5" style="144" bestFit="1" customWidth="1"/>
    <col min="6" max="6" width="4.6640625" style="144" bestFit="1" customWidth="1"/>
    <col min="7" max="7" width="3.5" style="144" bestFit="1" customWidth="1"/>
    <col min="8" max="8" width="21.33203125" style="144" bestFit="1" customWidth="1"/>
    <col min="9" max="9" width="33.33203125" style="144" bestFit="1" customWidth="1"/>
    <col min="10" max="10" width="30.33203125" style="144" bestFit="1" customWidth="1"/>
    <col min="11" max="11" width="34.83203125" style="144" bestFit="1" customWidth="1"/>
    <col min="12" max="12" width="24.83203125" style="144" customWidth="1"/>
    <col min="13" max="14" width="3.33203125" style="144" customWidth="1"/>
    <col min="15" max="15" width="4.6640625" style="144" bestFit="1" customWidth="1"/>
    <col min="16" max="16" width="3.6640625" style="144" bestFit="1" customWidth="1"/>
    <col min="17" max="17" width="3.1640625" style="144" bestFit="1" customWidth="1"/>
    <col min="18" max="18" width="3.83203125" style="144" bestFit="1" customWidth="1"/>
    <col min="19" max="19" width="4.6640625" style="144" bestFit="1" customWidth="1"/>
    <col min="20" max="20" width="4.1640625" style="144" bestFit="1" customWidth="1"/>
    <col min="21" max="16384" width="9.33203125" style="144"/>
  </cols>
  <sheetData>
    <row r="1" spans="1:13" x14ac:dyDescent="0.2">
      <c r="A1" s="355"/>
      <c r="B1" s="356"/>
      <c r="C1" s="356"/>
      <c r="D1" s="356"/>
      <c r="E1" s="356" t="str">
        <f>IF(_xll.qlCalendarIsHoliday(LiborCalendar,_xll.qlSettingsEvaluationDate(),Trigger),"1D","0D")</f>
        <v>1D</v>
      </c>
      <c r="F1" s="356"/>
      <c r="G1" s="356"/>
      <c r="H1" s="356"/>
      <c r="I1" s="356"/>
      <c r="J1" s="356"/>
      <c r="K1" s="356"/>
      <c r="L1" s="357"/>
      <c r="M1" s="358"/>
    </row>
    <row r="2" spans="1:13" s="369" customFormat="1" ht="22.5" x14ac:dyDescent="0.2">
      <c r="A2" s="365"/>
      <c r="B2" s="366"/>
      <c r="C2" s="366"/>
      <c r="D2" s="366"/>
      <c r="E2" s="366" t="s">
        <v>104</v>
      </c>
      <c r="F2" s="366"/>
      <c r="G2" s="366"/>
      <c r="H2" s="366" t="s">
        <v>108</v>
      </c>
      <c r="I2" s="366" t="s">
        <v>138</v>
      </c>
      <c r="J2" s="367" t="s">
        <v>184</v>
      </c>
      <c r="K2" s="367" t="s">
        <v>186</v>
      </c>
      <c r="L2" s="367" t="s">
        <v>182</v>
      </c>
      <c r="M2" s="368"/>
    </row>
    <row r="3" spans="1:13" x14ac:dyDescent="0.2">
      <c r="A3" s="359"/>
      <c r="B3" s="165" t="s">
        <v>19</v>
      </c>
      <c r="C3" s="153" t="s">
        <v>176</v>
      </c>
      <c r="D3" s="153" t="s">
        <v>175</v>
      </c>
      <c r="E3" s="153" t="s">
        <v>112</v>
      </c>
      <c r="F3" s="153" t="s">
        <v>140</v>
      </c>
      <c r="G3" s="153" t="s">
        <v>175</v>
      </c>
      <c r="H3" s="166" t="str">
        <f t="shared" ref="H3:H36" si="0">IF(F3=0,0,Currency&amp;$F3&amp;$G3&amp;$B3&amp;QuoteSuffix)</f>
        <v>USD12L3L1Y_Quote</v>
      </c>
      <c r="I3" s="155" t="str">
        <f t="shared" ref="I3:I36" si="1">Currency&amp;IborType&amp;"SwapForBasisCalc"&amp;$B3</f>
        <v>USDLiborSwapForBasisCalc1Y</v>
      </c>
      <c r="J3" s="156" t="str">
        <f t="shared" ref="J3:J36" si="2">Currency&amp;$C3&amp;$D3&amp;$B3&amp;IF(H3=0,,"_S"&amp;$F3&amp;$G3)&amp;QuoteSuffix</f>
        <v>USDAM3L1Y_S12L3L_Quote</v>
      </c>
      <c r="K3" s="156" t="str">
        <f>_xll.qlForwardSwapQuote(J3,I3,H3,E3,Permanent,Trigger,ObjectOverwrite)</f>
        <v>USDAM3L1Y_S12L3L_Quote#0000</v>
      </c>
      <c r="L3" s="370" t="str">
        <f>_xll.ohRangeRetrieveError(K3)</f>
        <v/>
      </c>
      <c r="M3" s="360"/>
    </row>
    <row r="4" spans="1:13" x14ac:dyDescent="0.2">
      <c r="A4" s="359"/>
      <c r="B4" s="167" t="s">
        <v>141</v>
      </c>
      <c r="C4" s="131" t="s">
        <v>176</v>
      </c>
      <c r="D4" s="131" t="s">
        <v>175</v>
      </c>
      <c r="E4" s="131" t="s">
        <v>112</v>
      </c>
      <c r="F4" s="131" t="s">
        <v>140</v>
      </c>
      <c r="G4" s="131" t="s">
        <v>175</v>
      </c>
      <c r="H4" s="168" t="str">
        <f t="shared" si="0"/>
        <v>USD12L3L2Y_Quote</v>
      </c>
      <c r="I4" s="159" t="str">
        <f t="shared" si="1"/>
        <v>USDLiborSwapForBasisCalc2Y</v>
      </c>
      <c r="J4" s="160" t="str">
        <f t="shared" si="2"/>
        <v>USDAM3L2Y_S12L3L_Quote</v>
      </c>
      <c r="K4" s="160" t="str">
        <f>_xll.qlForwardSwapQuote(J4,I4,H4,E4,Permanent,Trigger,ObjectOverwrite)</f>
        <v>USDAM3L2Y_S12L3L_Quote#0000</v>
      </c>
      <c r="L4" s="371" t="str">
        <f>_xll.ohRangeRetrieveError(K4)</f>
        <v/>
      </c>
      <c r="M4" s="360"/>
    </row>
    <row r="5" spans="1:13" x14ac:dyDescent="0.2">
      <c r="A5" s="359"/>
      <c r="B5" s="167" t="s">
        <v>73</v>
      </c>
      <c r="C5" s="131" t="s">
        <v>176</v>
      </c>
      <c r="D5" s="131" t="s">
        <v>175</v>
      </c>
      <c r="E5" s="131" t="s">
        <v>112</v>
      </c>
      <c r="F5" s="131" t="s">
        <v>140</v>
      </c>
      <c r="G5" s="131" t="s">
        <v>175</v>
      </c>
      <c r="H5" s="168" t="str">
        <f t="shared" si="0"/>
        <v>USD12L3L3Y_Quote</v>
      </c>
      <c r="I5" s="159" t="str">
        <f t="shared" si="1"/>
        <v>USDLiborSwapForBasisCalc3Y</v>
      </c>
      <c r="J5" s="160" t="str">
        <f t="shared" si="2"/>
        <v>USDAM3L3Y_S12L3L_Quote</v>
      </c>
      <c r="K5" s="160" t="str">
        <f>_xll.qlForwardSwapQuote(J5,I5,H5,E5,Permanent,Trigger,ObjectOverwrite)</f>
        <v>USDAM3L3Y_S12L3L_Quote#0000</v>
      </c>
      <c r="L5" s="371" t="str">
        <f>_xll.ohRangeRetrieveError(K5)</f>
        <v/>
      </c>
      <c r="M5" s="360"/>
    </row>
    <row r="6" spans="1:13" x14ac:dyDescent="0.2">
      <c r="A6" s="359"/>
      <c r="B6" s="167" t="s">
        <v>74</v>
      </c>
      <c r="C6" s="131" t="s">
        <v>176</v>
      </c>
      <c r="D6" s="131" t="s">
        <v>175</v>
      </c>
      <c r="E6" s="131" t="s">
        <v>112</v>
      </c>
      <c r="F6" s="131" t="s">
        <v>140</v>
      </c>
      <c r="G6" s="131" t="s">
        <v>175</v>
      </c>
      <c r="H6" s="168" t="str">
        <f t="shared" si="0"/>
        <v>USD12L3L4Y_Quote</v>
      </c>
      <c r="I6" s="159" t="str">
        <f t="shared" si="1"/>
        <v>USDLiborSwapForBasisCalc4Y</v>
      </c>
      <c r="J6" s="160" t="str">
        <f t="shared" si="2"/>
        <v>USDAM3L4Y_S12L3L_Quote</v>
      </c>
      <c r="K6" s="160" t="str">
        <f>_xll.qlForwardSwapQuote(J6,I6,H6,E6,Permanent,Trigger,ObjectOverwrite)</f>
        <v>USDAM3L4Y_S12L3L_Quote#0000</v>
      </c>
      <c r="L6" s="371" t="str">
        <f>_xll.ohRangeRetrieveError(K6)</f>
        <v/>
      </c>
      <c r="M6" s="360"/>
    </row>
    <row r="7" spans="1:13" x14ac:dyDescent="0.2">
      <c r="A7" s="359"/>
      <c r="B7" s="167" t="s">
        <v>75</v>
      </c>
      <c r="C7" s="131" t="s">
        <v>176</v>
      </c>
      <c r="D7" s="131" t="s">
        <v>175</v>
      </c>
      <c r="E7" s="131" t="s">
        <v>112</v>
      </c>
      <c r="F7" s="131" t="s">
        <v>140</v>
      </c>
      <c r="G7" s="131" t="s">
        <v>175</v>
      </c>
      <c r="H7" s="168" t="str">
        <f t="shared" si="0"/>
        <v>USD12L3L5Y_Quote</v>
      </c>
      <c r="I7" s="159" t="str">
        <f t="shared" si="1"/>
        <v>USDLiborSwapForBasisCalc5Y</v>
      </c>
      <c r="J7" s="160" t="str">
        <f t="shared" si="2"/>
        <v>USDAM3L5Y_S12L3L_Quote</v>
      </c>
      <c r="K7" s="160" t="str">
        <f>_xll.qlForwardSwapQuote(J7,I7,H7,E7,Permanent,Trigger,ObjectOverwrite)</f>
        <v>USDAM3L5Y_S12L3L_Quote#0000</v>
      </c>
      <c r="L7" s="371" t="str">
        <f>_xll.ohRangeRetrieveError(K7)</f>
        <v/>
      </c>
      <c r="M7" s="360"/>
    </row>
    <row r="8" spans="1:13" x14ac:dyDescent="0.2">
      <c r="A8" s="359"/>
      <c r="B8" s="167" t="s">
        <v>117</v>
      </c>
      <c r="C8" s="131" t="s">
        <v>176</v>
      </c>
      <c r="D8" s="131" t="s">
        <v>175</v>
      </c>
      <c r="E8" s="131" t="s">
        <v>112</v>
      </c>
      <c r="F8" s="131" t="s">
        <v>140</v>
      </c>
      <c r="G8" s="131" t="s">
        <v>175</v>
      </c>
      <c r="H8" s="168" t="str">
        <f t="shared" si="0"/>
        <v>USD12L3L6Y_Quote</v>
      </c>
      <c r="I8" s="159" t="str">
        <f t="shared" si="1"/>
        <v>USDLiborSwapForBasisCalc6Y</v>
      </c>
      <c r="J8" s="160" t="str">
        <f t="shared" si="2"/>
        <v>USDAM3L6Y_S12L3L_Quote</v>
      </c>
      <c r="K8" s="160" t="str">
        <f>_xll.qlForwardSwapQuote(J8,I8,H8,E8,Permanent,Trigger,ObjectOverwrite)</f>
        <v>USDAM3L6Y_S12L3L_Quote#0000</v>
      </c>
      <c r="L8" s="371" t="str">
        <f>_xll.ohRangeRetrieveError(K8)</f>
        <v/>
      </c>
      <c r="M8" s="360"/>
    </row>
    <row r="9" spans="1:13" x14ac:dyDescent="0.2">
      <c r="A9" s="359"/>
      <c r="B9" s="167" t="s">
        <v>118</v>
      </c>
      <c r="C9" s="131" t="s">
        <v>176</v>
      </c>
      <c r="D9" s="131" t="s">
        <v>175</v>
      </c>
      <c r="E9" s="131" t="s">
        <v>112</v>
      </c>
      <c r="F9" s="131" t="s">
        <v>140</v>
      </c>
      <c r="G9" s="131" t="s">
        <v>175</v>
      </c>
      <c r="H9" s="168" t="str">
        <f t="shared" si="0"/>
        <v>USD12L3L7Y_Quote</v>
      </c>
      <c r="I9" s="159" t="str">
        <f t="shared" si="1"/>
        <v>USDLiborSwapForBasisCalc7Y</v>
      </c>
      <c r="J9" s="160" t="str">
        <f t="shared" si="2"/>
        <v>USDAM3L7Y_S12L3L_Quote</v>
      </c>
      <c r="K9" s="160" t="str">
        <f>_xll.qlForwardSwapQuote(J9,I9,H9,E9,Permanent,Trigger,ObjectOverwrite)</f>
        <v>USDAM3L7Y_S12L3L_Quote#0000</v>
      </c>
      <c r="L9" s="371" t="str">
        <f>_xll.ohRangeRetrieveError(K9)</f>
        <v/>
      </c>
      <c r="M9" s="360"/>
    </row>
    <row r="10" spans="1:13" x14ac:dyDescent="0.2">
      <c r="A10" s="359"/>
      <c r="B10" s="167" t="s">
        <v>119</v>
      </c>
      <c r="C10" s="131" t="s">
        <v>176</v>
      </c>
      <c r="D10" s="131" t="s">
        <v>175</v>
      </c>
      <c r="E10" s="131" t="s">
        <v>112</v>
      </c>
      <c r="F10" s="131" t="s">
        <v>140</v>
      </c>
      <c r="G10" s="131" t="s">
        <v>175</v>
      </c>
      <c r="H10" s="168" t="str">
        <f t="shared" si="0"/>
        <v>USD12L3L8Y_Quote</v>
      </c>
      <c r="I10" s="159" t="str">
        <f t="shared" si="1"/>
        <v>USDLiborSwapForBasisCalc8Y</v>
      </c>
      <c r="J10" s="160" t="str">
        <f t="shared" si="2"/>
        <v>USDAM3L8Y_S12L3L_Quote</v>
      </c>
      <c r="K10" s="160" t="str">
        <f>_xll.qlForwardSwapQuote(J10,I10,H10,E10,Permanent,Trigger,ObjectOverwrite)</f>
        <v>USDAM3L8Y_S12L3L_Quote#0000</v>
      </c>
      <c r="L10" s="371" t="str">
        <f>_xll.ohRangeRetrieveError(K10)</f>
        <v/>
      </c>
      <c r="M10" s="360"/>
    </row>
    <row r="11" spans="1:13" x14ac:dyDescent="0.2">
      <c r="A11" s="359"/>
      <c r="B11" s="167" t="s">
        <v>142</v>
      </c>
      <c r="C11" s="131" t="s">
        <v>176</v>
      </c>
      <c r="D11" s="131" t="s">
        <v>175</v>
      </c>
      <c r="E11" s="131" t="s">
        <v>112</v>
      </c>
      <c r="F11" s="131" t="s">
        <v>140</v>
      </c>
      <c r="G11" s="131" t="s">
        <v>175</v>
      </c>
      <c r="H11" s="168" t="str">
        <f t="shared" si="0"/>
        <v>USD12L3L9Y_Quote</v>
      </c>
      <c r="I11" s="159" t="str">
        <f t="shared" si="1"/>
        <v>USDLiborSwapForBasisCalc9Y</v>
      </c>
      <c r="J11" s="160" t="str">
        <f t="shared" si="2"/>
        <v>USDAM3L9Y_S12L3L_Quote</v>
      </c>
      <c r="K11" s="160" t="str">
        <f>_xll.qlForwardSwapQuote(J11,I11,H11,E11,Permanent,Trigger,ObjectOverwrite)</f>
        <v>USDAM3L9Y_S12L3L_Quote#0000</v>
      </c>
      <c r="L11" s="371" t="str">
        <f>_xll.ohRangeRetrieveError(K11)</f>
        <v/>
      </c>
      <c r="M11" s="360"/>
    </row>
    <row r="12" spans="1:13" x14ac:dyDescent="0.2">
      <c r="A12" s="359"/>
      <c r="B12" s="167" t="s">
        <v>143</v>
      </c>
      <c r="C12" s="131" t="s">
        <v>176</v>
      </c>
      <c r="D12" s="131" t="s">
        <v>175</v>
      </c>
      <c r="E12" s="131" t="s">
        <v>112</v>
      </c>
      <c r="F12" s="131" t="s">
        <v>140</v>
      </c>
      <c r="G12" s="131" t="s">
        <v>175</v>
      </c>
      <c r="H12" s="168" t="str">
        <f t="shared" si="0"/>
        <v>USD12L3L10Y_Quote</v>
      </c>
      <c r="I12" s="159" t="str">
        <f t="shared" si="1"/>
        <v>USDLiborSwapForBasisCalc10Y</v>
      </c>
      <c r="J12" s="160" t="str">
        <f t="shared" si="2"/>
        <v>USDAM3L10Y_S12L3L_Quote</v>
      </c>
      <c r="K12" s="160" t="str">
        <f>_xll.qlForwardSwapQuote(J12,I12,H12,E12,Permanent,Trigger,ObjectOverwrite)</f>
        <v>USDAM3L10Y_S12L3L_Quote#0000</v>
      </c>
      <c r="L12" s="371" t="str">
        <f>_xll.ohRangeRetrieveError(K12)</f>
        <v/>
      </c>
      <c r="M12" s="360"/>
    </row>
    <row r="13" spans="1:13" x14ac:dyDescent="0.2">
      <c r="A13" s="359"/>
      <c r="B13" s="167" t="s">
        <v>144</v>
      </c>
      <c r="C13" s="131" t="s">
        <v>176</v>
      </c>
      <c r="D13" s="131" t="s">
        <v>175</v>
      </c>
      <c r="E13" s="131" t="s">
        <v>112</v>
      </c>
      <c r="F13" s="131" t="s">
        <v>140</v>
      </c>
      <c r="G13" s="131" t="s">
        <v>175</v>
      </c>
      <c r="H13" s="168" t="str">
        <f t="shared" si="0"/>
        <v>USD12L3L11Y_Quote</v>
      </c>
      <c r="I13" s="159" t="str">
        <f t="shared" si="1"/>
        <v>USDLiborSwapForBasisCalc11Y</v>
      </c>
      <c r="J13" s="160" t="str">
        <f t="shared" si="2"/>
        <v>USDAM3L11Y_S12L3L_Quote</v>
      </c>
      <c r="K13" s="160" t="str">
        <f>_xll.qlForwardSwapQuote(J13,I13,H13,E13,Permanent,Trigger,ObjectOverwrite)</f>
        <v>USDAM3L11Y_S12L3L_Quote#0000</v>
      </c>
      <c r="L13" s="371" t="str">
        <f>_xll.ohRangeRetrieveError(K13)</f>
        <v/>
      </c>
      <c r="M13" s="360"/>
    </row>
    <row r="14" spans="1:13" x14ac:dyDescent="0.2">
      <c r="A14" s="359"/>
      <c r="B14" s="167" t="s">
        <v>145</v>
      </c>
      <c r="C14" s="131" t="s">
        <v>176</v>
      </c>
      <c r="D14" s="131" t="s">
        <v>175</v>
      </c>
      <c r="E14" s="131" t="s">
        <v>112</v>
      </c>
      <c r="F14" s="131" t="s">
        <v>140</v>
      </c>
      <c r="G14" s="131" t="s">
        <v>175</v>
      </c>
      <c r="H14" s="168" t="str">
        <f t="shared" si="0"/>
        <v>USD12L3L12Y_Quote</v>
      </c>
      <c r="I14" s="159" t="str">
        <f t="shared" si="1"/>
        <v>USDLiborSwapForBasisCalc12Y</v>
      </c>
      <c r="J14" s="160" t="str">
        <f t="shared" si="2"/>
        <v>USDAM3L12Y_S12L3L_Quote</v>
      </c>
      <c r="K14" s="160" t="str">
        <f>_xll.qlForwardSwapQuote(J14,I14,H14,E14,Permanent,Trigger,ObjectOverwrite)</f>
        <v>USDAM3L12Y_S12L3L_Quote#0000</v>
      </c>
      <c r="L14" s="371" t="str">
        <f>_xll.ohRangeRetrieveError(K14)</f>
        <v/>
      </c>
      <c r="M14" s="360"/>
    </row>
    <row r="15" spans="1:13" x14ac:dyDescent="0.2">
      <c r="A15" s="359"/>
      <c r="B15" s="167" t="s">
        <v>146</v>
      </c>
      <c r="C15" s="131" t="s">
        <v>176</v>
      </c>
      <c r="D15" s="131" t="s">
        <v>175</v>
      </c>
      <c r="E15" s="131" t="s">
        <v>112</v>
      </c>
      <c r="F15" s="131" t="s">
        <v>140</v>
      </c>
      <c r="G15" s="131" t="s">
        <v>175</v>
      </c>
      <c r="H15" s="168" t="str">
        <f t="shared" si="0"/>
        <v>USD12L3L13Y_Quote</v>
      </c>
      <c r="I15" s="159" t="str">
        <f t="shared" si="1"/>
        <v>USDLiborSwapForBasisCalc13Y</v>
      </c>
      <c r="J15" s="160" t="str">
        <f t="shared" si="2"/>
        <v>USDAM3L13Y_S12L3L_Quote</v>
      </c>
      <c r="K15" s="160" t="str">
        <f>_xll.qlForwardSwapQuote(J15,I15,H15,E15,Permanent,Trigger,ObjectOverwrite)</f>
        <v>USDAM3L13Y_S12L3L_Quote#0000</v>
      </c>
      <c r="L15" s="371" t="str">
        <f>_xll.ohRangeRetrieveError(K15)</f>
        <v/>
      </c>
      <c r="M15" s="360"/>
    </row>
    <row r="16" spans="1:13" x14ac:dyDescent="0.2">
      <c r="A16" s="359"/>
      <c r="B16" s="167" t="s">
        <v>147</v>
      </c>
      <c r="C16" s="131" t="s">
        <v>176</v>
      </c>
      <c r="D16" s="131" t="s">
        <v>175</v>
      </c>
      <c r="E16" s="131" t="s">
        <v>112</v>
      </c>
      <c r="F16" s="131" t="s">
        <v>140</v>
      </c>
      <c r="G16" s="131" t="s">
        <v>175</v>
      </c>
      <c r="H16" s="168" t="str">
        <f t="shared" si="0"/>
        <v>USD12L3L14Y_Quote</v>
      </c>
      <c r="I16" s="159" t="str">
        <f t="shared" si="1"/>
        <v>USDLiborSwapForBasisCalc14Y</v>
      </c>
      <c r="J16" s="160" t="str">
        <f t="shared" si="2"/>
        <v>USDAM3L14Y_S12L3L_Quote</v>
      </c>
      <c r="K16" s="160" t="str">
        <f>_xll.qlForwardSwapQuote(J16,I16,H16,E16,Permanent,Trigger,ObjectOverwrite)</f>
        <v>USDAM3L14Y_S12L3L_Quote#0000</v>
      </c>
      <c r="L16" s="371" t="str">
        <f>_xll.ohRangeRetrieveError(K16)</f>
        <v/>
      </c>
      <c r="M16" s="360"/>
    </row>
    <row r="17" spans="1:13" x14ac:dyDescent="0.2">
      <c r="A17" s="359"/>
      <c r="B17" s="167" t="s">
        <v>148</v>
      </c>
      <c r="C17" s="131" t="s">
        <v>176</v>
      </c>
      <c r="D17" s="131" t="s">
        <v>175</v>
      </c>
      <c r="E17" s="131" t="s">
        <v>112</v>
      </c>
      <c r="F17" s="131" t="s">
        <v>140</v>
      </c>
      <c r="G17" s="131" t="s">
        <v>175</v>
      </c>
      <c r="H17" s="168" t="str">
        <f t="shared" si="0"/>
        <v>USD12L3L15Y_Quote</v>
      </c>
      <c r="I17" s="159" t="str">
        <f t="shared" si="1"/>
        <v>USDLiborSwapForBasisCalc15Y</v>
      </c>
      <c r="J17" s="160" t="str">
        <f t="shared" si="2"/>
        <v>USDAM3L15Y_S12L3L_Quote</v>
      </c>
      <c r="K17" s="160" t="str">
        <f>_xll.qlForwardSwapQuote(J17,I17,H17,E17,Permanent,Trigger,ObjectOverwrite)</f>
        <v>USDAM3L15Y_S12L3L_Quote#0000</v>
      </c>
      <c r="L17" s="371" t="str">
        <f>_xll.ohRangeRetrieveError(K17)</f>
        <v/>
      </c>
      <c r="M17" s="360"/>
    </row>
    <row r="18" spans="1:13" x14ac:dyDescent="0.2">
      <c r="A18" s="359"/>
      <c r="B18" s="167" t="s">
        <v>149</v>
      </c>
      <c r="C18" s="131" t="s">
        <v>176</v>
      </c>
      <c r="D18" s="131" t="s">
        <v>175</v>
      </c>
      <c r="E18" s="131" t="s">
        <v>112</v>
      </c>
      <c r="F18" s="131" t="s">
        <v>140</v>
      </c>
      <c r="G18" s="131" t="s">
        <v>175</v>
      </c>
      <c r="H18" s="168" t="str">
        <f t="shared" si="0"/>
        <v>USD12L3L16Y_Quote</v>
      </c>
      <c r="I18" s="159" t="str">
        <f t="shared" si="1"/>
        <v>USDLiborSwapForBasisCalc16Y</v>
      </c>
      <c r="J18" s="160" t="str">
        <f t="shared" si="2"/>
        <v>USDAM3L16Y_S12L3L_Quote</v>
      </c>
      <c r="K18" s="160" t="str">
        <f>_xll.qlForwardSwapQuote(J18,I18,H18,E18,Permanent,Trigger,ObjectOverwrite)</f>
        <v>USDAM3L16Y_S12L3L_Quote#0000</v>
      </c>
      <c r="L18" s="371" t="str">
        <f>_xll.ohRangeRetrieveError(K18)</f>
        <v/>
      </c>
      <c r="M18" s="360"/>
    </row>
    <row r="19" spans="1:13" x14ac:dyDescent="0.2">
      <c r="A19" s="359"/>
      <c r="B19" s="167" t="s">
        <v>150</v>
      </c>
      <c r="C19" s="131" t="s">
        <v>176</v>
      </c>
      <c r="D19" s="131" t="s">
        <v>175</v>
      </c>
      <c r="E19" s="131" t="s">
        <v>112</v>
      </c>
      <c r="F19" s="131" t="s">
        <v>140</v>
      </c>
      <c r="G19" s="131" t="s">
        <v>175</v>
      </c>
      <c r="H19" s="168" t="str">
        <f t="shared" si="0"/>
        <v>USD12L3L17Y_Quote</v>
      </c>
      <c r="I19" s="159" t="str">
        <f t="shared" si="1"/>
        <v>USDLiborSwapForBasisCalc17Y</v>
      </c>
      <c r="J19" s="160" t="str">
        <f t="shared" si="2"/>
        <v>USDAM3L17Y_S12L3L_Quote</v>
      </c>
      <c r="K19" s="160" t="str">
        <f>_xll.qlForwardSwapQuote(J19,I19,H19,E19,Permanent,Trigger,ObjectOverwrite)</f>
        <v>USDAM3L17Y_S12L3L_Quote#0000</v>
      </c>
      <c r="L19" s="371" t="str">
        <f>_xll.ohRangeRetrieveError(K19)</f>
        <v/>
      </c>
      <c r="M19" s="360"/>
    </row>
    <row r="20" spans="1:13" x14ac:dyDescent="0.2">
      <c r="A20" s="359"/>
      <c r="B20" s="167" t="s">
        <v>151</v>
      </c>
      <c r="C20" s="131" t="s">
        <v>176</v>
      </c>
      <c r="D20" s="131" t="s">
        <v>175</v>
      </c>
      <c r="E20" s="131" t="s">
        <v>112</v>
      </c>
      <c r="F20" s="131" t="s">
        <v>140</v>
      </c>
      <c r="G20" s="131" t="s">
        <v>175</v>
      </c>
      <c r="H20" s="168" t="str">
        <f t="shared" si="0"/>
        <v>USD12L3L18Y_Quote</v>
      </c>
      <c r="I20" s="159" t="str">
        <f t="shared" si="1"/>
        <v>USDLiborSwapForBasisCalc18Y</v>
      </c>
      <c r="J20" s="160" t="str">
        <f t="shared" si="2"/>
        <v>USDAM3L18Y_S12L3L_Quote</v>
      </c>
      <c r="K20" s="160" t="str">
        <f>_xll.qlForwardSwapQuote(J20,I20,H20,E20,Permanent,Trigger,ObjectOverwrite)</f>
        <v>USDAM3L18Y_S12L3L_Quote#0000</v>
      </c>
      <c r="L20" s="371" t="str">
        <f>_xll.ohRangeRetrieveError(K20)</f>
        <v/>
      </c>
      <c r="M20" s="360"/>
    </row>
    <row r="21" spans="1:13" x14ac:dyDescent="0.2">
      <c r="A21" s="359"/>
      <c r="B21" s="167" t="s">
        <v>152</v>
      </c>
      <c r="C21" s="131" t="s">
        <v>176</v>
      </c>
      <c r="D21" s="131" t="s">
        <v>175</v>
      </c>
      <c r="E21" s="131" t="s">
        <v>112</v>
      </c>
      <c r="F21" s="131" t="s">
        <v>140</v>
      </c>
      <c r="G21" s="131" t="s">
        <v>175</v>
      </c>
      <c r="H21" s="168" t="str">
        <f t="shared" si="0"/>
        <v>USD12L3L19Y_Quote</v>
      </c>
      <c r="I21" s="159" t="str">
        <f t="shared" si="1"/>
        <v>USDLiborSwapForBasisCalc19Y</v>
      </c>
      <c r="J21" s="160" t="str">
        <f t="shared" si="2"/>
        <v>USDAM3L19Y_S12L3L_Quote</v>
      </c>
      <c r="K21" s="160" t="str">
        <f>_xll.qlForwardSwapQuote(J21,I21,H21,E21,Permanent,Trigger,ObjectOverwrite)</f>
        <v>USDAM3L19Y_S12L3L_Quote#0000</v>
      </c>
      <c r="L21" s="371" t="str">
        <f>_xll.ohRangeRetrieveError(K21)</f>
        <v/>
      </c>
      <c r="M21" s="360"/>
    </row>
    <row r="22" spans="1:13" x14ac:dyDescent="0.2">
      <c r="A22" s="359"/>
      <c r="B22" s="167" t="s">
        <v>153</v>
      </c>
      <c r="C22" s="131" t="s">
        <v>176</v>
      </c>
      <c r="D22" s="131" t="s">
        <v>175</v>
      </c>
      <c r="E22" s="131" t="s">
        <v>112</v>
      </c>
      <c r="F22" s="131" t="s">
        <v>140</v>
      </c>
      <c r="G22" s="131" t="s">
        <v>175</v>
      </c>
      <c r="H22" s="168" t="str">
        <f t="shared" si="0"/>
        <v>USD12L3L20Y_Quote</v>
      </c>
      <c r="I22" s="159" t="str">
        <f t="shared" si="1"/>
        <v>USDLiborSwapForBasisCalc20Y</v>
      </c>
      <c r="J22" s="160" t="str">
        <f t="shared" si="2"/>
        <v>USDAM3L20Y_S12L3L_Quote</v>
      </c>
      <c r="K22" s="160" t="str">
        <f>_xll.qlForwardSwapQuote(J22,I22,H22,E22,Permanent,Trigger,ObjectOverwrite)</f>
        <v>USDAM3L20Y_S12L3L_Quote#0000</v>
      </c>
      <c r="L22" s="371" t="str">
        <f>_xll.ohRangeRetrieveError(K22)</f>
        <v/>
      </c>
      <c r="M22" s="360"/>
    </row>
    <row r="23" spans="1:13" x14ac:dyDescent="0.2">
      <c r="A23" s="359"/>
      <c r="B23" s="167" t="s">
        <v>154</v>
      </c>
      <c r="C23" s="131" t="s">
        <v>176</v>
      </c>
      <c r="D23" s="131" t="s">
        <v>175</v>
      </c>
      <c r="E23" s="131" t="s">
        <v>112</v>
      </c>
      <c r="F23" s="131" t="s">
        <v>140</v>
      </c>
      <c r="G23" s="131" t="s">
        <v>175</v>
      </c>
      <c r="H23" s="168" t="str">
        <f t="shared" si="0"/>
        <v>USD12L3L21Y_Quote</v>
      </c>
      <c r="I23" s="159" t="str">
        <f t="shared" si="1"/>
        <v>USDLiborSwapForBasisCalc21Y</v>
      </c>
      <c r="J23" s="160" t="str">
        <f t="shared" si="2"/>
        <v>USDAM3L21Y_S12L3L_Quote</v>
      </c>
      <c r="K23" s="160" t="str">
        <f>_xll.qlForwardSwapQuote(J23,I23,H23,E23,Permanent,Trigger,ObjectOverwrite)</f>
        <v>USDAM3L21Y_S12L3L_Quote#0000</v>
      </c>
      <c r="L23" s="371" t="str">
        <f>_xll.ohRangeRetrieveError(K23)</f>
        <v/>
      </c>
      <c r="M23" s="360"/>
    </row>
    <row r="24" spans="1:13" x14ac:dyDescent="0.2">
      <c r="A24" s="359"/>
      <c r="B24" s="167" t="s">
        <v>155</v>
      </c>
      <c r="C24" s="131" t="s">
        <v>176</v>
      </c>
      <c r="D24" s="131" t="s">
        <v>175</v>
      </c>
      <c r="E24" s="131" t="s">
        <v>112</v>
      </c>
      <c r="F24" s="131" t="s">
        <v>140</v>
      </c>
      <c r="G24" s="131" t="s">
        <v>175</v>
      </c>
      <c r="H24" s="168" t="str">
        <f t="shared" si="0"/>
        <v>USD12L3L22Y_Quote</v>
      </c>
      <c r="I24" s="159" t="str">
        <f t="shared" si="1"/>
        <v>USDLiborSwapForBasisCalc22Y</v>
      </c>
      <c r="J24" s="160" t="str">
        <f t="shared" si="2"/>
        <v>USDAM3L22Y_S12L3L_Quote</v>
      </c>
      <c r="K24" s="160" t="str">
        <f>_xll.qlForwardSwapQuote(J24,I24,H24,E24,Permanent,Trigger,ObjectOverwrite)</f>
        <v>USDAM3L22Y_S12L3L_Quote#0000</v>
      </c>
      <c r="L24" s="371" t="str">
        <f>_xll.ohRangeRetrieveError(K24)</f>
        <v/>
      </c>
      <c r="M24" s="360"/>
    </row>
    <row r="25" spans="1:13" x14ac:dyDescent="0.2">
      <c r="A25" s="359"/>
      <c r="B25" s="167" t="s">
        <v>156</v>
      </c>
      <c r="C25" s="131" t="s">
        <v>176</v>
      </c>
      <c r="D25" s="131" t="s">
        <v>175</v>
      </c>
      <c r="E25" s="131" t="s">
        <v>112</v>
      </c>
      <c r="F25" s="131" t="s">
        <v>140</v>
      </c>
      <c r="G25" s="131" t="s">
        <v>175</v>
      </c>
      <c r="H25" s="168" t="str">
        <f t="shared" si="0"/>
        <v>USD12L3L23Y_Quote</v>
      </c>
      <c r="I25" s="159" t="str">
        <f t="shared" si="1"/>
        <v>USDLiborSwapForBasisCalc23Y</v>
      </c>
      <c r="J25" s="160" t="str">
        <f t="shared" si="2"/>
        <v>USDAM3L23Y_S12L3L_Quote</v>
      </c>
      <c r="K25" s="160" t="str">
        <f>_xll.qlForwardSwapQuote(J25,I25,H25,E25,Permanent,Trigger,ObjectOverwrite)</f>
        <v>USDAM3L23Y_S12L3L_Quote#0000</v>
      </c>
      <c r="L25" s="371" t="str">
        <f>_xll.ohRangeRetrieveError(K25)</f>
        <v/>
      </c>
      <c r="M25" s="360"/>
    </row>
    <row r="26" spans="1:13" x14ac:dyDescent="0.2">
      <c r="A26" s="359"/>
      <c r="B26" s="167" t="s">
        <v>157</v>
      </c>
      <c r="C26" s="131" t="s">
        <v>176</v>
      </c>
      <c r="D26" s="131" t="s">
        <v>175</v>
      </c>
      <c r="E26" s="131" t="s">
        <v>112</v>
      </c>
      <c r="F26" s="131" t="s">
        <v>140</v>
      </c>
      <c r="G26" s="131" t="s">
        <v>175</v>
      </c>
      <c r="H26" s="168" t="str">
        <f t="shared" si="0"/>
        <v>USD12L3L24Y_Quote</v>
      </c>
      <c r="I26" s="159" t="str">
        <f t="shared" si="1"/>
        <v>USDLiborSwapForBasisCalc24Y</v>
      </c>
      <c r="J26" s="160" t="str">
        <f t="shared" si="2"/>
        <v>USDAM3L24Y_S12L3L_Quote</v>
      </c>
      <c r="K26" s="160" t="str">
        <f>_xll.qlForwardSwapQuote(J26,I26,H26,E26,Permanent,Trigger,ObjectOverwrite)</f>
        <v>USDAM3L24Y_S12L3L_Quote#0000</v>
      </c>
      <c r="L26" s="371" t="str">
        <f>_xll.ohRangeRetrieveError(K26)</f>
        <v/>
      </c>
      <c r="M26" s="360"/>
    </row>
    <row r="27" spans="1:13" x14ac:dyDescent="0.2">
      <c r="A27" s="359"/>
      <c r="B27" s="167" t="s">
        <v>158</v>
      </c>
      <c r="C27" s="131" t="s">
        <v>176</v>
      </c>
      <c r="D27" s="131" t="s">
        <v>175</v>
      </c>
      <c r="E27" s="131" t="s">
        <v>112</v>
      </c>
      <c r="F27" s="131" t="s">
        <v>140</v>
      </c>
      <c r="G27" s="131" t="s">
        <v>175</v>
      </c>
      <c r="H27" s="168" t="str">
        <f t="shared" si="0"/>
        <v>USD12L3L25Y_Quote</v>
      </c>
      <c r="I27" s="159" t="str">
        <f t="shared" si="1"/>
        <v>USDLiborSwapForBasisCalc25Y</v>
      </c>
      <c r="J27" s="160" t="str">
        <f t="shared" si="2"/>
        <v>USDAM3L25Y_S12L3L_Quote</v>
      </c>
      <c r="K27" s="160" t="str">
        <f>_xll.qlForwardSwapQuote(J27,I27,H27,E27,Permanent,Trigger,ObjectOverwrite)</f>
        <v>USDAM3L25Y_S12L3L_Quote#0000</v>
      </c>
      <c r="L27" s="371" t="str">
        <f>_xll.ohRangeRetrieveError(K27)</f>
        <v/>
      </c>
      <c r="M27" s="360"/>
    </row>
    <row r="28" spans="1:13" x14ac:dyDescent="0.2">
      <c r="A28" s="359"/>
      <c r="B28" s="167" t="s">
        <v>159</v>
      </c>
      <c r="C28" s="131" t="s">
        <v>176</v>
      </c>
      <c r="D28" s="131" t="s">
        <v>175</v>
      </c>
      <c r="E28" s="131" t="s">
        <v>112</v>
      </c>
      <c r="F28" s="131" t="s">
        <v>140</v>
      </c>
      <c r="G28" s="131" t="s">
        <v>175</v>
      </c>
      <c r="H28" s="168" t="str">
        <f t="shared" si="0"/>
        <v>USD12L3L26Y_Quote</v>
      </c>
      <c r="I28" s="159" t="str">
        <f t="shared" si="1"/>
        <v>USDLiborSwapForBasisCalc26Y</v>
      </c>
      <c r="J28" s="160" t="str">
        <f t="shared" si="2"/>
        <v>USDAM3L26Y_S12L3L_Quote</v>
      </c>
      <c r="K28" s="160" t="str">
        <f>_xll.qlForwardSwapQuote(J28,I28,H28,E28,Permanent,Trigger,ObjectOverwrite)</f>
        <v>USDAM3L26Y_S12L3L_Quote#0000</v>
      </c>
      <c r="L28" s="371" t="str">
        <f>_xll.ohRangeRetrieveError(K28)</f>
        <v/>
      </c>
      <c r="M28" s="360"/>
    </row>
    <row r="29" spans="1:13" x14ac:dyDescent="0.2">
      <c r="A29" s="359"/>
      <c r="B29" s="167" t="s">
        <v>160</v>
      </c>
      <c r="C29" s="131" t="s">
        <v>176</v>
      </c>
      <c r="D29" s="131" t="s">
        <v>175</v>
      </c>
      <c r="E29" s="131" t="s">
        <v>112</v>
      </c>
      <c r="F29" s="131" t="s">
        <v>140</v>
      </c>
      <c r="G29" s="131" t="s">
        <v>175</v>
      </c>
      <c r="H29" s="168" t="str">
        <f t="shared" si="0"/>
        <v>USD12L3L27Y_Quote</v>
      </c>
      <c r="I29" s="159" t="str">
        <f t="shared" si="1"/>
        <v>USDLiborSwapForBasisCalc27Y</v>
      </c>
      <c r="J29" s="160" t="str">
        <f t="shared" si="2"/>
        <v>USDAM3L27Y_S12L3L_Quote</v>
      </c>
      <c r="K29" s="160" t="str">
        <f>_xll.qlForwardSwapQuote(J29,I29,H29,E29,Permanent,Trigger,ObjectOverwrite)</f>
        <v>USDAM3L27Y_S12L3L_Quote#0000</v>
      </c>
      <c r="L29" s="371" t="str">
        <f>_xll.ohRangeRetrieveError(K29)</f>
        <v/>
      </c>
      <c r="M29" s="360"/>
    </row>
    <row r="30" spans="1:13" x14ac:dyDescent="0.2">
      <c r="A30" s="359"/>
      <c r="B30" s="167" t="s">
        <v>161</v>
      </c>
      <c r="C30" s="131" t="s">
        <v>176</v>
      </c>
      <c r="D30" s="131" t="s">
        <v>175</v>
      </c>
      <c r="E30" s="131" t="s">
        <v>112</v>
      </c>
      <c r="F30" s="131" t="s">
        <v>140</v>
      </c>
      <c r="G30" s="131" t="s">
        <v>175</v>
      </c>
      <c r="H30" s="168" t="str">
        <f t="shared" si="0"/>
        <v>USD12L3L28Y_Quote</v>
      </c>
      <c r="I30" s="159" t="str">
        <f t="shared" si="1"/>
        <v>USDLiborSwapForBasisCalc28Y</v>
      </c>
      <c r="J30" s="160" t="str">
        <f t="shared" si="2"/>
        <v>USDAM3L28Y_S12L3L_Quote</v>
      </c>
      <c r="K30" s="160" t="str">
        <f>_xll.qlForwardSwapQuote(J30,I30,H30,E30,Permanent,Trigger,ObjectOverwrite)</f>
        <v>USDAM3L28Y_S12L3L_Quote#0000</v>
      </c>
      <c r="L30" s="371" t="str">
        <f>_xll.ohRangeRetrieveError(K30)</f>
        <v/>
      </c>
      <c r="M30" s="360"/>
    </row>
    <row r="31" spans="1:13" x14ac:dyDescent="0.2">
      <c r="A31" s="359"/>
      <c r="B31" s="167" t="s">
        <v>162</v>
      </c>
      <c r="C31" s="131" t="s">
        <v>176</v>
      </c>
      <c r="D31" s="131" t="s">
        <v>175</v>
      </c>
      <c r="E31" s="131" t="s">
        <v>112</v>
      </c>
      <c r="F31" s="131" t="s">
        <v>140</v>
      </c>
      <c r="G31" s="131" t="s">
        <v>175</v>
      </c>
      <c r="H31" s="168" t="str">
        <f t="shared" si="0"/>
        <v>USD12L3L29Y_Quote</v>
      </c>
      <c r="I31" s="159" t="str">
        <f t="shared" si="1"/>
        <v>USDLiborSwapForBasisCalc29Y</v>
      </c>
      <c r="J31" s="160" t="str">
        <f t="shared" si="2"/>
        <v>USDAM3L29Y_S12L3L_Quote</v>
      </c>
      <c r="K31" s="160" t="str">
        <f>_xll.qlForwardSwapQuote(J31,I31,H31,E31,Permanent,Trigger,ObjectOverwrite)</f>
        <v>USDAM3L29Y_S12L3L_Quote#0000</v>
      </c>
      <c r="L31" s="371" t="str">
        <f>_xll.ohRangeRetrieveError(K31)</f>
        <v/>
      </c>
      <c r="M31" s="360"/>
    </row>
    <row r="32" spans="1:13" x14ac:dyDescent="0.2">
      <c r="A32" s="359"/>
      <c r="B32" s="167" t="s">
        <v>163</v>
      </c>
      <c r="C32" s="131" t="s">
        <v>176</v>
      </c>
      <c r="D32" s="131" t="s">
        <v>175</v>
      </c>
      <c r="E32" s="131" t="s">
        <v>112</v>
      </c>
      <c r="F32" s="131" t="s">
        <v>140</v>
      </c>
      <c r="G32" s="131" t="s">
        <v>175</v>
      </c>
      <c r="H32" s="168" t="str">
        <f t="shared" si="0"/>
        <v>USD12L3L30Y_Quote</v>
      </c>
      <c r="I32" s="159" t="str">
        <f t="shared" si="1"/>
        <v>USDLiborSwapForBasisCalc30Y</v>
      </c>
      <c r="J32" s="160" t="str">
        <f t="shared" si="2"/>
        <v>USDAM3L30Y_S12L3L_Quote</v>
      </c>
      <c r="K32" s="160" t="str">
        <f>_xll.qlForwardSwapQuote(J32,I32,H32,E32,Permanent,Trigger,ObjectOverwrite)</f>
        <v>USDAM3L30Y_S12L3L_Quote#0000</v>
      </c>
      <c r="L32" s="371" t="str">
        <f>_xll.ohRangeRetrieveError(K32)</f>
        <v/>
      </c>
      <c r="M32" s="360"/>
    </row>
    <row r="33" spans="1:13" x14ac:dyDescent="0.2">
      <c r="A33" s="359"/>
      <c r="B33" s="167" t="s">
        <v>164</v>
      </c>
      <c r="C33" s="131" t="s">
        <v>176</v>
      </c>
      <c r="D33" s="131" t="s">
        <v>175</v>
      </c>
      <c r="E33" s="131" t="s">
        <v>112</v>
      </c>
      <c r="F33" s="131" t="s">
        <v>140</v>
      </c>
      <c r="G33" s="131" t="s">
        <v>175</v>
      </c>
      <c r="H33" s="168" t="str">
        <f t="shared" si="0"/>
        <v>USD12L3L35Y_Quote</v>
      </c>
      <c r="I33" s="159" t="str">
        <f t="shared" si="1"/>
        <v>USDLiborSwapForBasisCalc35Y</v>
      </c>
      <c r="J33" s="160" t="str">
        <f t="shared" si="2"/>
        <v>USDAM3L35Y_S12L3L_Quote</v>
      </c>
      <c r="K33" s="160" t="str">
        <f>_xll.qlForwardSwapQuote(J33,I33,H33,E33,Permanent,Trigger,ObjectOverwrite)</f>
        <v>USDAM3L35Y_S12L3L_Quote#0000</v>
      </c>
      <c r="L33" s="371" t="str">
        <f>_xll.ohRangeRetrieveError(K33)</f>
        <v/>
      </c>
      <c r="M33" s="360"/>
    </row>
    <row r="34" spans="1:13" x14ac:dyDescent="0.2">
      <c r="A34" s="359"/>
      <c r="B34" s="167" t="s">
        <v>165</v>
      </c>
      <c r="C34" s="131" t="s">
        <v>176</v>
      </c>
      <c r="D34" s="131" t="s">
        <v>175</v>
      </c>
      <c r="E34" s="131" t="s">
        <v>112</v>
      </c>
      <c r="F34" s="131" t="s">
        <v>140</v>
      </c>
      <c r="G34" s="131" t="s">
        <v>175</v>
      </c>
      <c r="H34" s="168" t="str">
        <f t="shared" si="0"/>
        <v>USD12L3L40Y_Quote</v>
      </c>
      <c r="I34" s="159" t="str">
        <f t="shared" si="1"/>
        <v>USDLiborSwapForBasisCalc40Y</v>
      </c>
      <c r="J34" s="160" t="str">
        <f t="shared" si="2"/>
        <v>USDAM3L40Y_S12L3L_Quote</v>
      </c>
      <c r="K34" s="160" t="str">
        <f>_xll.qlForwardSwapQuote(J34,I34,H34,E34,Permanent,Trigger,ObjectOverwrite)</f>
        <v>USDAM3L40Y_S12L3L_Quote#0000</v>
      </c>
      <c r="L34" s="371" t="str">
        <f>_xll.ohRangeRetrieveError(K34)</f>
        <v/>
      </c>
      <c r="M34" s="360"/>
    </row>
    <row r="35" spans="1:13" x14ac:dyDescent="0.2">
      <c r="A35" s="359"/>
      <c r="B35" s="167" t="s">
        <v>166</v>
      </c>
      <c r="C35" s="131" t="s">
        <v>176</v>
      </c>
      <c r="D35" s="131" t="s">
        <v>175</v>
      </c>
      <c r="E35" s="131" t="s">
        <v>112</v>
      </c>
      <c r="F35" s="131" t="s">
        <v>140</v>
      </c>
      <c r="G35" s="131" t="s">
        <v>175</v>
      </c>
      <c r="H35" s="168" t="str">
        <f t="shared" si="0"/>
        <v>USD12L3L50Y_Quote</v>
      </c>
      <c r="I35" s="159" t="str">
        <f t="shared" si="1"/>
        <v>USDLiborSwapForBasisCalc50Y</v>
      </c>
      <c r="J35" s="160" t="str">
        <f t="shared" si="2"/>
        <v>USDAM3L50Y_S12L3L_Quote</v>
      </c>
      <c r="K35" s="160" t="str">
        <f>_xll.qlForwardSwapQuote(J35,I35,H35,E35,Permanent,Trigger,ObjectOverwrite)</f>
        <v>USDAM3L50Y_S12L3L_Quote#0000</v>
      </c>
      <c r="L35" s="371" t="str">
        <f>_xll.ohRangeRetrieveError(K35)</f>
        <v/>
      </c>
      <c r="M35" s="360"/>
    </row>
    <row r="36" spans="1:13" x14ac:dyDescent="0.2">
      <c r="A36" s="359"/>
      <c r="B36" s="169" t="s">
        <v>167</v>
      </c>
      <c r="C36" s="136" t="s">
        <v>176</v>
      </c>
      <c r="D36" s="136" t="s">
        <v>175</v>
      </c>
      <c r="E36" s="136" t="s">
        <v>112</v>
      </c>
      <c r="F36" s="136" t="s">
        <v>140</v>
      </c>
      <c r="G36" s="136" t="s">
        <v>175</v>
      </c>
      <c r="H36" s="170" t="str">
        <f t="shared" si="0"/>
        <v>USD12L3L60Y_Quote</v>
      </c>
      <c r="I36" s="163" t="str">
        <f t="shared" si="1"/>
        <v>USDLiborSwapForBasisCalc60Y</v>
      </c>
      <c r="J36" s="164" t="str">
        <f t="shared" si="2"/>
        <v>USDAM3L60Y_S12L3L_Quote</v>
      </c>
      <c r="K36" s="164" t="str">
        <f>_xll.qlForwardSwapQuote(J36,I36,H36,E36,Permanent,Trigger,ObjectOverwrite)</f>
        <v>USDAM3L60Y_S12L3L_Quote#0000</v>
      </c>
      <c r="L36" s="372" t="str">
        <f>_xll.ohRangeRetrieveError(K36)</f>
        <v/>
      </c>
      <c r="M36" s="360"/>
    </row>
    <row r="37" spans="1:13" x14ac:dyDescent="0.2">
      <c r="A37" s="361"/>
      <c r="B37" s="362"/>
      <c r="C37" s="362"/>
      <c r="D37" s="362"/>
      <c r="E37" s="362"/>
      <c r="F37" s="362"/>
      <c r="G37" s="362"/>
      <c r="H37" s="362"/>
      <c r="I37" s="362"/>
      <c r="J37" s="362"/>
      <c r="K37" s="363"/>
      <c r="L37" s="363"/>
      <c r="M37" s="36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50</vt:i4>
      </vt:variant>
    </vt:vector>
  </HeadingPairs>
  <TitlesOfParts>
    <vt:vector size="62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ZANZI MADDALENA</cp:lastModifiedBy>
  <cp:lastPrinted>2014-03-18T13:51:31Z</cp:lastPrinted>
  <dcterms:created xsi:type="dcterms:W3CDTF">2007-10-30T15:41:10Z</dcterms:created>
  <dcterms:modified xsi:type="dcterms:W3CDTF">2015-12-24T09:40:02Z</dcterms:modified>
</cp:coreProperties>
</file>