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25" yWindow="-15" windowWidth="19170" windowHeight="13455"/>
  </bookViews>
  <sheets>
    <sheet name="GeneralSettings" sheetId="1" r:id="rId1"/>
    <sheet name="USDON" sheetId="14" r:id="rId2"/>
    <sheet name="USD3M" sheetId="15" r:id="rId3"/>
    <sheet name="USD1M" sheetId="12" r:id="rId4"/>
    <sheet name="USD6M" sheetId="11" r:id="rId5"/>
    <sheet name="USD1Y" sheetId="13" r:id="rId6"/>
    <sheet name="USDSTD" sheetId="2" r:id="rId7"/>
  </sheets>
  <definedNames>
    <definedName name="Calendar">GeneralSettings!$I$10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GeneralSettings!$D$8</definedName>
    <definedName name="HolidayCheck">GeneralSettings!$I$9</definedName>
    <definedName name="IncludeFlag" localSheetId="2">USD3M!$P$3:$P$88</definedName>
    <definedName name="IncludeFlag" localSheetId="1">USDON!$L$3:$L$56</definedName>
    <definedName name="JoinCalendar">GeneralSettings!$I$8</definedName>
    <definedName name="LiborCalendar">GeneralSettings!$I$6</definedName>
    <definedName name="LocalCalendar">GeneralSettings!$I$7</definedName>
    <definedName name="MinDistance" localSheetId="2">USD3M!$R$3:$R$88</definedName>
    <definedName name="MinDistance" localSheetId="1">USDON!$N$3:$N$56</definedName>
    <definedName name="ObjectOverwrite">GeneralSettings!$D$6</definedName>
    <definedName name="Permanent">GeneralSettings!$D$4</definedName>
    <definedName name="PillarDate">GeneralSettings!$D$10</definedName>
    <definedName name="Priority" localSheetId="2">USD3M!$Q$3:$Q$88</definedName>
    <definedName name="Priority" localSheetId="1">USDON!$M$3:$M$56</definedName>
    <definedName name="QuoteSuffix">GeneralSettings!$D$9</definedName>
    <definedName name="RateHelpers" localSheetId="2">USD3M!$M$3:$M$88</definedName>
    <definedName name="RateHelpers" localSheetId="1">USDON!$I$3:$I$56</definedName>
    <definedName name="Settlementdate">GeneralSettings!$I$4</definedName>
    <definedName name="Trigger">GeneralSettings!$D$5</definedName>
    <definedName name="YieldCurve_1M">GeneralSettings!$I$28</definedName>
    <definedName name="YieldCurve_1Y">GeneralSettings!$D$42</definedName>
    <definedName name="YieldCurve_3M">GeneralSettings!$I$14</definedName>
    <definedName name="YieldCurve_6M">GeneralSettings!$D$28</definedName>
    <definedName name="YieldCurve_ON">GeneralSettings!$D$14</definedName>
    <definedName name="YieldCurve_STD">GeneralSettings!$I$42</definedName>
  </definedNames>
  <calcPr calcId="145621"/>
</workbook>
</file>

<file path=xl/calcChain.xml><?xml version="1.0" encoding="utf-8"?>
<calcChain xmlns="http://schemas.openxmlformats.org/spreadsheetml/2006/main">
  <c r="L83" i="15" l="1"/>
  <c r="L84" i="15"/>
  <c r="L85" i="15"/>
  <c r="L86" i="15"/>
  <c r="L87" i="15"/>
  <c r="L88" i="15"/>
  <c r="L82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44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90" i="15"/>
  <c r="H96" i="15"/>
  <c r="H95" i="15"/>
  <c r="H94" i="15"/>
  <c r="H93" i="15"/>
  <c r="H92" i="15"/>
  <c r="H91" i="15"/>
  <c r="G96" i="15"/>
  <c r="G95" i="15"/>
  <c r="G94" i="15"/>
  <c r="G93" i="15"/>
  <c r="G92" i="15"/>
  <c r="G91" i="15"/>
  <c r="G90" i="15"/>
  <c r="H86" i="15"/>
  <c r="H87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C23" i="15"/>
  <c r="H23" i="15" s="1"/>
  <c r="C22" i="15"/>
  <c r="H22" i="15" s="1"/>
  <c r="C21" i="15"/>
  <c r="H21" i="15" s="1"/>
  <c r="C20" i="15"/>
  <c r="H20" i="15" s="1"/>
  <c r="C19" i="15"/>
  <c r="H19" i="15" s="1"/>
  <c r="C18" i="15"/>
  <c r="H18" i="15" s="1"/>
  <c r="C17" i="15"/>
  <c r="H17" i="15" s="1"/>
  <c r="C16" i="15"/>
  <c r="H16" i="15" s="1"/>
  <c r="C15" i="15"/>
  <c r="H15" i="15" s="1"/>
  <c r="C14" i="15"/>
  <c r="H14" i="15" s="1"/>
  <c r="C13" i="15"/>
  <c r="H13" i="15" s="1"/>
  <c r="C12" i="15"/>
  <c r="H12" i="15" s="1"/>
  <c r="G23" i="15"/>
  <c r="G18" i="15"/>
  <c r="G19" i="15"/>
  <c r="G20" i="15"/>
  <c r="G21" i="15"/>
  <c r="G22" i="15"/>
  <c r="G17" i="15"/>
  <c r="G16" i="15"/>
  <c r="G15" i="15"/>
  <c r="G14" i="15"/>
  <c r="G13" i="15"/>
  <c r="G12" i="15"/>
  <c r="H1" i="15"/>
  <c r="H4" i="15" s="1"/>
  <c r="H9" i="15"/>
  <c r="C6" i="15"/>
  <c r="C7" i="15"/>
  <c r="C8" i="15"/>
  <c r="C9" i="15"/>
  <c r="C5" i="15"/>
  <c r="V1" i="15"/>
  <c r="R1" i="14"/>
  <c r="L3" i="15"/>
  <c r="I18" i="14"/>
  <c r="I19" i="14"/>
  <c r="I21" i="14"/>
  <c r="I22" i="14"/>
  <c r="I24" i="14"/>
  <c r="I25" i="14"/>
  <c r="I27" i="14"/>
  <c r="I28" i="14"/>
  <c r="I30" i="14"/>
  <c r="I31" i="14"/>
  <c r="I32" i="14"/>
  <c r="I34" i="14"/>
  <c r="I35" i="14"/>
  <c r="I36" i="14"/>
  <c r="I38" i="14"/>
  <c r="I39" i="14"/>
  <c r="I40" i="14"/>
  <c r="I51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6" i="14"/>
  <c r="H4" i="14"/>
  <c r="H5" i="14"/>
  <c r="H3" i="14"/>
  <c r="E5" i="14"/>
  <c r="E4" i="14"/>
  <c r="E3" i="14"/>
  <c r="D61" i="14"/>
  <c r="D60" i="14"/>
  <c r="D59" i="14"/>
  <c r="D58" i="14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4" i="14"/>
  <c r="D5" i="14"/>
  <c r="D3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J82" i="15"/>
  <c r="J67" i="15"/>
  <c r="J84" i="15"/>
  <c r="J77" i="15"/>
  <c r="J86" i="15"/>
  <c r="J87" i="15"/>
  <c r="J72" i="15"/>
  <c r="J64" i="15"/>
  <c r="J56" i="15"/>
  <c r="J55" i="15"/>
  <c r="J62" i="15"/>
  <c r="J61" i="15"/>
  <c r="J60" i="15"/>
  <c r="J59" i="15"/>
  <c r="J58" i="15"/>
  <c r="J57" i="15"/>
  <c r="G9" i="15"/>
  <c r="J9" i="15" s="1"/>
  <c r="G6" i="15"/>
  <c r="G8" i="15"/>
  <c r="G7" i="15"/>
  <c r="G5" i="15"/>
  <c r="G4" i="15"/>
  <c r="G3" i="15"/>
  <c r="J40" i="14"/>
  <c r="J32" i="14"/>
  <c r="J24" i="14"/>
  <c r="J39" i="14"/>
  <c r="J31" i="14"/>
  <c r="J38" i="14"/>
  <c r="J30" i="14"/>
  <c r="J22" i="14"/>
  <c r="J21" i="14"/>
  <c r="J36" i="14"/>
  <c r="J28" i="14"/>
  <c r="J51" i="14"/>
  <c r="J35" i="14"/>
  <c r="J27" i="14"/>
  <c r="J19" i="14"/>
  <c r="J34" i="14"/>
  <c r="J18" i="14"/>
  <c r="J25" i="14"/>
  <c r="K40" i="14"/>
  <c r="K32" i="14"/>
  <c r="K24" i="14"/>
  <c r="K39" i="14"/>
  <c r="K31" i="14"/>
  <c r="K38" i="14"/>
  <c r="K30" i="14"/>
  <c r="K22" i="14"/>
  <c r="K21" i="14"/>
  <c r="K36" i="14"/>
  <c r="K28" i="14"/>
  <c r="K51" i="14"/>
  <c r="K35" i="14"/>
  <c r="K27" i="14"/>
  <c r="K19" i="14"/>
  <c r="K34" i="14"/>
  <c r="K18" i="14"/>
  <c r="K25" i="14"/>
  <c r="P40" i="14"/>
  <c r="P36" i="14"/>
  <c r="P32" i="14"/>
  <c r="P28" i="14"/>
  <c r="P24" i="14"/>
  <c r="O40" i="14"/>
  <c r="O36" i="14"/>
  <c r="O32" i="14"/>
  <c r="O28" i="14"/>
  <c r="O24" i="14"/>
  <c r="P51" i="14"/>
  <c r="P39" i="14"/>
  <c r="P35" i="14"/>
  <c r="P31" i="14"/>
  <c r="P27" i="14"/>
  <c r="P19" i="14"/>
  <c r="O51" i="14"/>
  <c r="O39" i="14"/>
  <c r="O35" i="14"/>
  <c r="O31" i="14"/>
  <c r="O27" i="14"/>
  <c r="O19" i="14"/>
  <c r="P38" i="14"/>
  <c r="P34" i="14"/>
  <c r="P30" i="14"/>
  <c r="P22" i="14"/>
  <c r="P18" i="14"/>
  <c r="O38" i="14"/>
  <c r="O34" i="14"/>
  <c r="O30" i="14"/>
  <c r="O22" i="14"/>
  <c r="O18" i="14"/>
  <c r="P25" i="14"/>
  <c r="P21" i="14"/>
  <c r="O25" i="14"/>
  <c r="O21" i="14"/>
  <c r="R3" i="14" a="1"/>
  <c r="F5" i="14"/>
  <c r="F4" i="14"/>
  <c r="F3" i="14"/>
  <c r="M4" i="15" l="1"/>
  <c r="M9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51" i="15"/>
  <c r="M52" i="15"/>
  <c r="M45" i="15"/>
  <c r="M53" i="15"/>
  <c r="M46" i="15"/>
  <c r="M54" i="15"/>
  <c r="M47" i="15"/>
  <c r="M55" i="15"/>
  <c r="M48" i="15"/>
  <c r="M56" i="15"/>
  <c r="M49" i="15"/>
  <c r="M57" i="15"/>
  <c r="M50" i="15"/>
  <c r="M58" i="15"/>
  <c r="M75" i="15"/>
  <c r="M59" i="15"/>
  <c r="M74" i="15"/>
  <c r="M66" i="15"/>
  <c r="M81" i="15"/>
  <c r="M73" i="15"/>
  <c r="M65" i="15"/>
  <c r="M80" i="15"/>
  <c r="M72" i="15"/>
  <c r="M64" i="15"/>
  <c r="M79" i="15"/>
  <c r="M71" i="15"/>
  <c r="M63" i="15"/>
  <c r="M78" i="15"/>
  <c r="M70" i="15"/>
  <c r="M62" i="15"/>
  <c r="M77" i="15"/>
  <c r="M69" i="15"/>
  <c r="M61" i="15"/>
  <c r="M76" i="15"/>
  <c r="M68" i="15"/>
  <c r="M60" i="15"/>
  <c r="M67" i="15"/>
  <c r="M84" i="15"/>
  <c r="M86" i="15"/>
  <c r="M87" i="15"/>
  <c r="M83" i="15"/>
  <c r="M85" i="15"/>
  <c r="M88" i="15"/>
  <c r="M82" i="15"/>
  <c r="H8" i="15"/>
  <c r="H7" i="15"/>
  <c r="H5" i="15"/>
  <c r="H3" i="15"/>
  <c r="H6" i="15"/>
  <c r="R10" i="14"/>
  <c r="R18" i="14"/>
  <c r="R26" i="14"/>
  <c r="R34" i="14"/>
  <c r="R42" i="14"/>
  <c r="R50" i="14"/>
  <c r="R3" i="14"/>
  <c r="R11" i="14"/>
  <c r="R19" i="14"/>
  <c r="R27" i="14"/>
  <c r="R35" i="14"/>
  <c r="R43" i="14"/>
  <c r="R51" i="14"/>
  <c r="R4" i="14"/>
  <c r="R12" i="14"/>
  <c r="R20" i="14"/>
  <c r="R28" i="14"/>
  <c r="R36" i="14"/>
  <c r="R44" i="14"/>
  <c r="R52" i="14"/>
  <c r="R5" i="14"/>
  <c r="R13" i="14"/>
  <c r="R21" i="14"/>
  <c r="R29" i="14"/>
  <c r="R37" i="14"/>
  <c r="R45" i="14"/>
  <c r="R53" i="14"/>
  <c r="R6" i="14"/>
  <c r="R14" i="14"/>
  <c r="R22" i="14"/>
  <c r="R30" i="14"/>
  <c r="R38" i="14"/>
  <c r="R46" i="14"/>
  <c r="R54" i="14"/>
  <c r="R7" i="14"/>
  <c r="R15" i="14"/>
  <c r="R23" i="14"/>
  <c r="R31" i="14"/>
  <c r="R39" i="14"/>
  <c r="R47" i="14"/>
  <c r="R55" i="14"/>
  <c r="R8" i="14"/>
  <c r="R16" i="14"/>
  <c r="R24" i="14"/>
  <c r="R32" i="14"/>
  <c r="R40" i="14"/>
  <c r="R48" i="14"/>
  <c r="R56" i="14"/>
  <c r="R9" i="14"/>
  <c r="R17" i="14"/>
  <c r="R25" i="14"/>
  <c r="R33" i="14"/>
  <c r="R41" i="14"/>
  <c r="R49" i="14"/>
  <c r="I8" i="1"/>
  <c r="J8" i="15"/>
  <c r="J7" i="15"/>
  <c r="S52" i="15"/>
  <c r="O52" i="15"/>
  <c r="T52" i="15"/>
  <c r="N52" i="15"/>
  <c r="S56" i="15"/>
  <c r="O56" i="15"/>
  <c r="T56" i="15"/>
  <c r="N56" i="15"/>
  <c r="T66" i="15"/>
  <c r="S66" i="15"/>
  <c r="O66" i="15"/>
  <c r="N66" i="15"/>
  <c r="T71" i="15"/>
  <c r="N71" i="15"/>
  <c r="S71" i="15"/>
  <c r="O71" i="15"/>
  <c r="S76" i="15"/>
  <c r="O76" i="15"/>
  <c r="T76" i="15"/>
  <c r="N76" i="15"/>
  <c r="S85" i="15"/>
  <c r="O85" i="15"/>
  <c r="T85" i="15"/>
  <c r="N85" i="15"/>
  <c r="N49" i="15"/>
  <c r="T49" i="15"/>
  <c r="S49" i="15"/>
  <c r="O49" i="15"/>
  <c r="S81" i="15"/>
  <c r="T81" i="15"/>
  <c r="O81" i="15"/>
  <c r="N81" i="15"/>
  <c r="T63" i="15"/>
  <c r="N63" i="15"/>
  <c r="S63" i="15"/>
  <c r="O63" i="15"/>
  <c r="O68" i="15"/>
  <c r="T68" i="15"/>
  <c r="S68" i="15"/>
  <c r="N68" i="15"/>
  <c r="S88" i="15"/>
  <c r="O88" i="15"/>
  <c r="T88" i="15"/>
  <c r="N88" i="15"/>
  <c r="T53" i="15"/>
  <c r="O53" i="15"/>
  <c r="S53" i="15"/>
  <c r="N53" i="15"/>
  <c r="S57" i="15"/>
  <c r="T57" i="15"/>
  <c r="O57" i="15"/>
  <c r="N57" i="15"/>
  <c r="S73" i="15"/>
  <c r="O73" i="15"/>
  <c r="T73" i="15"/>
  <c r="N73" i="15"/>
  <c r="T78" i="15"/>
  <c r="O78" i="15"/>
  <c r="S78" i="15"/>
  <c r="N78" i="15"/>
  <c r="O60" i="15"/>
  <c r="T60" i="15"/>
  <c r="S60" i="15"/>
  <c r="N60" i="15"/>
  <c r="T82" i="15"/>
  <c r="O82" i="15"/>
  <c r="S82" i="15"/>
  <c r="N82" i="15"/>
  <c r="T50" i="15"/>
  <c r="S50" i="15"/>
  <c r="O50" i="15"/>
  <c r="N50" i="15"/>
  <c r="S65" i="15"/>
  <c r="O65" i="15"/>
  <c r="T65" i="15"/>
  <c r="N65" i="15"/>
  <c r="T70" i="15"/>
  <c r="O70" i="15"/>
  <c r="S70" i="15"/>
  <c r="N70" i="15"/>
  <c r="T58" i="15"/>
  <c r="S58" i="15"/>
  <c r="O58" i="15"/>
  <c r="N58" i="15"/>
  <c r="S80" i="15"/>
  <c r="O80" i="15"/>
  <c r="T80" i="15"/>
  <c r="N80" i="15"/>
  <c r="S84" i="15"/>
  <c r="O84" i="15"/>
  <c r="T84" i="15"/>
  <c r="N84" i="15"/>
  <c r="S72" i="15"/>
  <c r="O72" i="15"/>
  <c r="T72" i="15"/>
  <c r="N72" i="15"/>
  <c r="T86" i="15"/>
  <c r="O86" i="15"/>
  <c r="S86" i="15"/>
  <c r="N86" i="15"/>
  <c r="S55" i="15"/>
  <c r="O55" i="15"/>
  <c r="N55" i="15"/>
  <c r="T55" i="15"/>
  <c r="O64" i="15"/>
  <c r="T64" i="15"/>
  <c r="S64" i="15"/>
  <c r="N64" i="15"/>
  <c r="T87" i="15"/>
  <c r="N87" i="15"/>
  <c r="S87" i="15"/>
  <c r="O87" i="15"/>
  <c r="T51" i="15"/>
  <c r="S51" i="15"/>
  <c r="O51" i="15"/>
  <c r="N51" i="15"/>
  <c r="O48" i="15"/>
  <c r="T48" i="15"/>
  <c r="S48" i="15"/>
  <c r="N48" i="15"/>
  <c r="O79" i="15"/>
  <c r="T79" i="15"/>
  <c r="N79" i="15"/>
  <c r="S79" i="15"/>
  <c r="T83" i="15"/>
  <c r="N83" i="15"/>
  <c r="S83" i="15"/>
  <c r="O83" i="15"/>
  <c r="T67" i="15"/>
  <c r="N67" i="15"/>
  <c r="S67" i="15"/>
  <c r="O67" i="15"/>
  <c r="T54" i="15"/>
  <c r="O54" i="15"/>
  <c r="S54" i="15"/>
  <c r="N54" i="15"/>
  <c r="T62" i="15"/>
  <c r="S62" i="15"/>
  <c r="O62" i="15"/>
  <c r="N62" i="15"/>
  <c r="T75" i="15"/>
  <c r="N75" i="15"/>
  <c r="S75" i="15"/>
  <c r="O75" i="15"/>
  <c r="S77" i="15"/>
  <c r="O77" i="15"/>
  <c r="T77" i="15"/>
  <c r="N77" i="15"/>
  <c r="T59" i="15"/>
  <c r="N59" i="15"/>
  <c r="S59" i="15"/>
  <c r="O59" i="15"/>
  <c r="S69" i="15"/>
  <c r="O69" i="15"/>
  <c r="T69" i="15"/>
  <c r="N69" i="15"/>
  <c r="T74" i="15"/>
  <c r="O74" i="15"/>
  <c r="S74" i="15"/>
  <c r="N74" i="15"/>
  <c r="S61" i="15"/>
  <c r="O61" i="15"/>
  <c r="T61" i="15"/>
  <c r="N61" i="15"/>
  <c r="N21" i="15"/>
  <c r="S21" i="15"/>
  <c r="T21" i="15"/>
  <c r="O21" i="15"/>
  <c r="N19" i="15"/>
  <c r="O19" i="15"/>
  <c r="T19" i="15"/>
  <c r="S19" i="15"/>
  <c r="N18" i="15"/>
  <c r="O18" i="15"/>
  <c r="S18" i="15"/>
  <c r="T18" i="15"/>
  <c r="S13" i="15"/>
  <c r="T13" i="15"/>
  <c r="N13" i="15"/>
  <c r="O13" i="15"/>
  <c r="S10" i="15"/>
  <c r="O10" i="15"/>
  <c r="N10" i="15"/>
  <c r="T10" i="15"/>
  <c r="S46" i="15"/>
  <c r="T46" i="15"/>
  <c r="N46" i="15"/>
  <c r="O46" i="15"/>
  <c r="N9" i="15"/>
  <c r="O9" i="15"/>
  <c r="S9" i="15"/>
  <c r="T9" i="15"/>
  <c r="O44" i="15"/>
  <c r="N44" i="15"/>
  <c r="S44" i="15"/>
  <c r="T44" i="15"/>
  <c r="O4" i="15"/>
  <c r="S4" i="15"/>
  <c r="T4" i="15"/>
  <c r="N4" i="15"/>
  <c r="T11" i="15"/>
  <c r="S11" i="15"/>
  <c r="N11" i="15"/>
  <c r="O11" i="15"/>
  <c r="S14" i="15"/>
  <c r="O14" i="15"/>
  <c r="T14" i="15"/>
  <c r="N14" i="15"/>
  <c r="O17" i="15"/>
  <c r="N17" i="15"/>
  <c r="S17" i="15"/>
  <c r="T17" i="15"/>
  <c r="N12" i="15"/>
  <c r="O12" i="15"/>
  <c r="T12" i="15"/>
  <c r="S12" i="15"/>
  <c r="N20" i="15"/>
  <c r="O20" i="15"/>
  <c r="S20" i="15"/>
  <c r="T20" i="15"/>
  <c r="N16" i="15"/>
  <c r="T16" i="15"/>
  <c r="O16" i="15"/>
  <c r="S16" i="15"/>
  <c r="O45" i="15"/>
  <c r="T45" i="15"/>
  <c r="S45" i="15"/>
  <c r="N45" i="15"/>
  <c r="T47" i="15"/>
  <c r="N47" i="15"/>
  <c r="O47" i="15"/>
  <c r="S47" i="15"/>
  <c r="S15" i="15"/>
  <c r="T15" i="15"/>
  <c r="N15" i="15"/>
  <c r="O15" i="15"/>
  <c r="P80" i="15" l="1"/>
  <c r="P78" i="15"/>
  <c r="M6" i="15"/>
  <c r="M3" i="15"/>
  <c r="M5" i="15"/>
  <c r="M7" i="15"/>
  <c r="M8" i="15"/>
  <c r="D7" i="1"/>
  <c r="T6" i="15"/>
  <c r="N6" i="15"/>
  <c r="S6" i="15"/>
  <c r="O6" i="15"/>
  <c r="O3" i="15"/>
  <c r="N3" i="15"/>
  <c r="S3" i="15"/>
  <c r="T3" i="15"/>
  <c r="T5" i="15"/>
  <c r="S5" i="15"/>
  <c r="O5" i="15"/>
  <c r="N5" i="15"/>
  <c r="O7" i="15"/>
  <c r="N7" i="15"/>
  <c r="T7" i="15"/>
  <c r="S7" i="15"/>
  <c r="S8" i="15"/>
  <c r="O8" i="15"/>
  <c r="T8" i="15"/>
  <c r="N8" i="15"/>
  <c r="F19" i="13"/>
  <c r="F19" i="11"/>
  <c r="F27" i="11" l="1"/>
  <c r="F26" i="11"/>
  <c r="F25" i="11"/>
  <c r="F24" i="11"/>
  <c r="F23" i="11"/>
  <c r="F22" i="11"/>
  <c r="F21" i="11"/>
  <c r="F28" i="11"/>
  <c r="F27" i="13"/>
  <c r="F26" i="13"/>
  <c r="F25" i="13"/>
  <c r="F24" i="13"/>
  <c r="F23" i="13"/>
  <c r="F22" i="13"/>
  <c r="F21" i="13"/>
  <c r="F28" i="13"/>
  <c r="I3" i="1"/>
  <c r="C26" i="15" s="1"/>
  <c r="I9" i="1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I47" i="15" l="1"/>
  <c r="H47" i="15"/>
  <c r="H46" i="15"/>
  <c r="I46" i="15"/>
  <c r="I45" i="15"/>
  <c r="H45" i="15"/>
  <c r="H44" i="15"/>
  <c r="I44" i="15"/>
  <c r="I43" i="15"/>
  <c r="H43" i="15"/>
  <c r="H42" i="15"/>
  <c r="I42" i="15"/>
  <c r="I41" i="15"/>
  <c r="H41" i="15"/>
  <c r="I40" i="15"/>
  <c r="H40" i="15"/>
  <c r="I39" i="15"/>
  <c r="H39" i="15"/>
  <c r="H38" i="15"/>
  <c r="I38" i="15"/>
  <c r="I37" i="15"/>
  <c r="H37" i="15"/>
  <c r="I36" i="15"/>
  <c r="H36" i="15"/>
  <c r="I35" i="15"/>
  <c r="H35" i="15"/>
  <c r="H34" i="15"/>
  <c r="I34" i="15"/>
  <c r="I33" i="15"/>
  <c r="H33" i="15"/>
  <c r="I32" i="15"/>
  <c r="H32" i="15"/>
  <c r="I31" i="15"/>
  <c r="H31" i="15"/>
  <c r="H30" i="15"/>
  <c r="I30" i="15"/>
  <c r="H29" i="15"/>
  <c r="I29" i="15"/>
  <c r="H28" i="15"/>
  <c r="I28" i="15"/>
  <c r="I27" i="15"/>
  <c r="H27" i="15"/>
  <c r="I26" i="15"/>
  <c r="H26" i="15"/>
  <c r="I10" i="1"/>
  <c r="L72" i="12"/>
  <c r="L73" i="12"/>
  <c r="L74" i="12"/>
  <c r="L75" i="12"/>
  <c r="L76" i="12"/>
  <c r="L77" i="12"/>
  <c r="L78" i="12"/>
  <c r="L79" i="12"/>
  <c r="L80" i="12"/>
  <c r="L81" i="12"/>
  <c r="L82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L44" i="12"/>
  <c r="L45" i="12"/>
  <c r="L46" i="12"/>
  <c r="L47" i="12"/>
  <c r="L48" i="12"/>
  <c r="L49" i="12"/>
  <c r="L50" i="12"/>
  <c r="L51" i="12"/>
  <c r="L52" i="12"/>
  <c r="L53" i="12"/>
  <c r="L54" i="12"/>
  <c r="L55" i="12"/>
  <c r="L56" i="12"/>
  <c r="L57" i="12"/>
  <c r="L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19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D22" i="12" a="1"/>
  <c r="H22" i="12" a="1"/>
  <c r="B3" i="12" a="1"/>
  <c r="H3" i="12" a="1"/>
  <c r="J47" i="15"/>
  <c r="J43" i="15"/>
  <c r="J46" i="15"/>
  <c r="J42" i="15"/>
  <c r="J45" i="15"/>
  <c r="J40" i="15"/>
  <c r="J41" i="15"/>
  <c r="J44" i="15"/>
  <c r="J39" i="15"/>
  <c r="J35" i="15"/>
  <c r="J31" i="15"/>
  <c r="J27" i="15"/>
  <c r="J38" i="15"/>
  <c r="J34" i="15"/>
  <c r="J30" i="15"/>
  <c r="J26" i="15"/>
  <c r="J29" i="15"/>
  <c r="J37" i="15"/>
  <c r="J33" i="15"/>
  <c r="J28" i="15"/>
  <c r="J36" i="15"/>
  <c r="J32" i="15"/>
  <c r="I4" i="1"/>
  <c r="M28" i="15" l="1"/>
  <c r="M32" i="15"/>
  <c r="M36" i="15"/>
  <c r="M24" i="15"/>
  <c r="M40" i="15"/>
  <c r="M29" i="15"/>
  <c r="M33" i="15"/>
  <c r="M37" i="15"/>
  <c r="M41" i="15"/>
  <c r="M25" i="15"/>
  <c r="M22" i="15"/>
  <c r="M26" i="15"/>
  <c r="M30" i="15"/>
  <c r="M34" i="15"/>
  <c r="M38" i="15"/>
  <c r="M42" i="15"/>
  <c r="M23" i="15"/>
  <c r="M27" i="15"/>
  <c r="M31" i="15"/>
  <c r="M35" i="15"/>
  <c r="M39" i="15"/>
  <c r="M43" i="15"/>
  <c r="H29" i="12"/>
  <c r="H37" i="12"/>
  <c r="H45" i="12"/>
  <c r="H53" i="12"/>
  <c r="H61" i="12"/>
  <c r="H69" i="12"/>
  <c r="H77" i="12"/>
  <c r="H85" i="12"/>
  <c r="H22" i="12"/>
  <c r="H30" i="12"/>
  <c r="H38" i="12"/>
  <c r="H46" i="12"/>
  <c r="H54" i="12"/>
  <c r="H62" i="12"/>
  <c r="H70" i="12"/>
  <c r="H78" i="12"/>
  <c r="H23" i="12"/>
  <c r="H31" i="12"/>
  <c r="H39" i="12"/>
  <c r="H47" i="12"/>
  <c r="H55" i="12"/>
  <c r="H63" i="12"/>
  <c r="H71" i="12"/>
  <c r="H79" i="12"/>
  <c r="H24" i="12"/>
  <c r="H32" i="12"/>
  <c r="H40" i="12"/>
  <c r="H48" i="12"/>
  <c r="H56" i="12"/>
  <c r="H64" i="12"/>
  <c r="H72" i="12"/>
  <c r="H80" i="12"/>
  <c r="H25" i="12"/>
  <c r="H33" i="12"/>
  <c r="H41" i="12"/>
  <c r="H49" i="12"/>
  <c r="H57" i="12"/>
  <c r="H65" i="12"/>
  <c r="H73" i="12"/>
  <c r="H81" i="12"/>
  <c r="H26" i="12"/>
  <c r="H34" i="12"/>
  <c r="H42" i="12"/>
  <c r="H50" i="12"/>
  <c r="H58" i="12"/>
  <c r="H66" i="12"/>
  <c r="H74" i="12"/>
  <c r="H82" i="12"/>
  <c r="H27" i="12"/>
  <c r="H35" i="12"/>
  <c r="H43" i="12"/>
  <c r="H51" i="12"/>
  <c r="H59" i="12"/>
  <c r="H67" i="12"/>
  <c r="H75" i="12"/>
  <c r="H83" i="12"/>
  <c r="H28" i="12"/>
  <c r="H36" i="12"/>
  <c r="H44" i="12"/>
  <c r="H52" i="12"/>
  <c r="H60" i="12"/>
  <c r="H68" i="12"/>
  <c r="H76" i="12"/>
  <c r="H84" i="12"/>
  <c r="D29" i="12"/>
  <c r="M26" i="12" s="1"/>
  <c r="D37" i="12"/>
  <c r="M34" i="12" s="1"/>
  <c r="D45" i="12"/>
  <c r="M42" i="12" s="1"/>
  <c r="D53" i="12"/>
  <c r="M50" i="12" s="1"/>
  <c r="D61" i="12"/>
  <c r="M58" i="12" s="1"/>
  <c r="D69" i="12"/>
  <c r="M66" i="12" s="1"/>
  <c r="D77" i="12"/>
  <c r="M74" i="12" s="1"/>
  <c r="D85" i="12"/>
  <c r="M82" i="12" s="1"/>
  <c r="D22" i="12"/>
  <c r="M19" i="12" s="1"/>
  <c r="D30" i="12"/>
  <c r="M27" i="12" s="1"/>
  <c r="D38" i="12"/>
  <c r="M35" i="12" s="1"/>
  <c r="D46" i="12"/>
  <c r="M43" i="12" s="1"/>
  <c r="D54" i="12"/>
  <c r="M51" i="12" s="1"/>
  <c r="D62" i="12"/>
  <c r="M59" i="12" s="1"/>
  <c r="D70" i="12"/>
  <c r="M67" i="12" s="1"/>
  <c r="D78" i="12"/>
  <c r="M75" i="12" s="1"/>
  <c r="D23" i="12"/>
  <c r="M20" i="12" s="1"/>
  <c r="D31" i="12"/>
  <c r="M28" i="12" s="1"/>
  <c r="D39" i="12"/>
  <c r="M36" i="12" s="1"/>
  <c r="D47" i="12"/>
  <c r="M44" i="12" s="1"/>
  <c r="D55" i="12"/>
  <c r="M52" i="12" s="1"/>
  <c r="D63" i="12"/>
  <c r="M60" i="12" s="1"/>
  <c r="D71" i="12"/>
  <c r="M68" i="12" s="1"/>
  <c r="D79" i="12"/>
  <c r="M76" i="12" s="1"/>
  <c r="D24" i="12"/>
  <c r="M21" i="12" s="1"/>
  <c r="D32" i="12"/>
  <c r="M29" i="12" s="1"/>
  <c r="D40" i="12"/>
  <c r="M37" i="12" s="1"/>
  <c r="D48" i="12"/>
  <c r="M45" i="12" s="1"/>
  <c r="D56" i="12"/>
  <c r="M53" i="12" s="1"/>
  <c r="D64" i="12"/>
  <c r="M61" i="12" s="1"/>
  <c r="D72" i="12"/>
  <c r="M69" i="12" s="1"/>
  <c r="D80" i="12"/>
  <c r="M77" i="12" s="1"/>
  <c r="D25" i="12"/>
  <c r="M22" i="12" s="1"/>
  <c r="D33" i="12"/>
  <c r="M30" i="12" s="1"/>
  <c r="D41" i="12"/>
  <c r="M38" i="12" s="1"/>
  <c r="D49" i="12"/>
  <c r="M46" i="12" s="1"/>
  <c r="D57" i="12"/>
  <c r="M54" i="12" s="1"/>
  <c r="D65" i="12"/>
  <c r="M62" i="12" s="1"/>
  <c r="D73" i="12"/>
  <c r="M70" i="12" s="1"/>
  <c r="D81" i="12"/>
  <c r="M78" i="12" s="1"/>
  <c r="D26" i="12"/>
  <c r="M23" i="12" s="1"/>
  <c r="D34" i="12"/>
  <c r="M31" i="12" s="1"/>
  <c r="D42" i="12"/>
  <c r="M39" i="12" s="1"/>
  <c r="D50" i="12"/>
  <c r="M47" i="12" s="1"/>
  <c r="D58" i="12"/>
  <c r="M55" i="12" s="1"/>
  <c r="D66" i="12"/>
  <c r="M63" i="12" s="1"/>
  <c r="D74" i="12"/>
  <c r="M71" i="12" s="1"/>
  <c r="D82" i="12"/>
  <c r="M79" i="12" s="1"/>
  <c r="D27" i="12"/>
  <c r="M24" i="12" s="1"/>
  <c r="D35" i="12"/>
  <c r="M32" i="12" s="1"/>
  <c r="D43" i="12"/>
  <c r="M40" i="12" s="1"/>
  <c r="D51" i="12"/>
  <c r="M48" i="12" s="1"/>
  <c r="D59" i="12"/>
  <c r="M56" i="12" s="1"/>
  <c r="D67" i="12"/>
  <c r="M64" i="12" s="1"/>
  <c r="D75" i="12"/>
  <c r="M72" i="12" s="1"/>
  <c r="D83" i="12"/>
  <c r="M80" i="12" s="1"/>
  <c r="D28" i="12"/>
  <c r="M25" i="12" s="1"/>
  <c r="D36" i="12"/>
  <c r="M33" i="12" s="1"/>
  <c r="D44" i="12"/>
  <c r="M41" i="12" s="1"/>
  <c r="D52" i="12"/>
  <c r="M49" i="12" s="1"/>
  <c r="D60" i="12"/>
  <c r="M57" i="12" s="1"/>
  <c r="D68" i="12"/>
  <c r="M65" i="12" s="1"/>
  <c r="D76" i="12"/>
  <c r="M73" i="12" s="1"/>
  <c r="D84" i="12"/>
  <c r="M81" i="12" s="1"/>
  <c r="H10" i="12"/>
  <c r="H18" i="12"/>
  <c r="H3" i="12"/>
  <c r="H11" i="12"/>
  <c r="H4" i="12"/>
  <c r="H12" i="12"/>
  <c r="H5" i="12"/>
  <c r="H13" i="12"/>
  <c r="H6" i="12"/>
  <c r="H14" i="12"/>
  <c r="H7" i="12"/>
  <c r="H15" i="12"/>
  <c r="H8" i="12"/>
  <c r="H16" i="12"/>
  <c r="H9" i="12"/>
  <c r="H17" i="12"/>
  <c r="B10" i="12"/>
  <c r="B18" i="12"/>
  <c r="B3" i="12"/>
  <c r="B11" i="12"/>
  <c r="B4" i="12"/>
  <c r="B12" i="12"/>
  <c r="B5" i="12"/>
  <c r="B13" i="12"/>
  <c r="B6" i="12"/>
  <c r="B14" i="12"/>
  <c r="B7" i="12"/>
  <c r="B15" i="12"/>
  <c r="B8" i="12"/>
  <c r="B16" i="12"/>
  <c r="B9" i="12"/>
  <c r="B17" i="12"/>
  <c r="W3" i="15" a="1"/>
  <c r="S28" i="15"/>
  <c r="O28" i="15"/>
  <c r="T28" i="15"/>
  <c r="N28" i="15"/>
  <c r="O41" i="15"/>
  <c r="N41" i="15"/>
  <c r="T41" i="15"/>
  <c r="S41" i="15"/>
  <c r="S23" i="15"/>
  <c r="O23" i="15"/>
  <c r="T23" i="15"/>
  <c r="N23" i="15"/>
  <c r="O32" i="15"/>
  <c r="N32" i="15"/>
  <c r="T32" i="15"/>
  <c r="S32" i="15"/>
  <c r="S25" i="15"/>
  <c r="O25" i="15"/>
  <c r="T25" i="15"/>
  <c r="N25" i="15"/>
  <c r="O27" i="15"/>
  <c r="N27" i="15"/>
  <c r="T27" i="15"/>
  <c r="S27" i="15"/>
  <c r="N36" i="15"/>
  <c r="T36" i="15"/>
  <c r="O36" i="15"/>
  <c r="S36" i="15"/>
  <c r="N22" i="15"/>
  <c r="S22" i="15"/>
  <c r="O22" i="15"/>
  <c r="T22" i="15"/>
  <c r="O31" i="15"/>
  <c r="N31" i="15"/>
  <c r="T31" i="15"/>
  <c r="S31" i="15"/>
  <c r="T24" i="15"/>
  <c r="S24" i="15"/>
  <c r="O24" i="15"/>
  <c r="N24" i="15"/>
  <c r="T26" i="15"/>
  <c r="O26" i="15"/>
  <c r="N26" i="15"/>
  <c r="S26" i="15"/>
  <c r="S35" i="15"/>
  <c r="T35" i="15"/>
  <c r="O35" i="15"/>
  <c r="N35" i="15"/>
  <c r="N40" i="15"/>
  <c r="T40" i="15"/>
  <c r="S40" i="15"/>
  <c r="O40" i="15"/>
  <c r="O30" i="15"/>
  <c r="T30" i="15"/>
  <c r="S30" i="15"/>
  <c r="N30" i="15"/>
  <c r="T39" i="15"/>
  <c r="S39" i="15"/>
  <c r="N39" i="15"/>
  <c r="O39" i="15"/>
  <c r="S29" i="15"/>
  <c r="T29" i="15"/>
  <c r="O29" i="15"/>
  <c r="N29" i="15"/>
  <c r="S34" i="15"/>
  <c r="T34" i="15"/>
  <c r="N34" i="15"/>
  <c r="O34" i="15"/>
  <c r="T43" i="15"/>
  <c r="S43" i="15"/>
  <c r="N43" i="15"/>
  <c r="O43" i="15"/>
  <c r="T33" i="15"/>
  <c r="O33" i="15"/>
  <c r="S33" i="15"/>
  <c r="N33" i="15"/>
  <c r="T38" i="15"/>
  <c r="S38" i="15"/>
  <c r="O38" i="15"/>
  <c r="N38" i="15"/>
  <c r="S37" i="15"/>
  <c r="N37" i="15"/>
  <c r="O37" i="15"/>
  <c r="T37" i="15"/>
  <c r="S42" i="15"/>
  <c r="O42" i="15"/>
  <c r="N42" i="15"/>
  <c r="T42" i="15"/>
  <c r="W18" i="15" l="1"/>
  <c r="W82" i="15"/>
  <c r="W59" i="15"/>
  <c r="W36" i="15"/>
  <c r="W13" i="15"/>
  <c r="W77" i="15"/>
  <c r="W54" i="15"/>
  <c r="W31" i="15"/>
  <c r="W8" i="15"/>
  <c r="W72" i="15"/>
  <c r="W49" i="15"/>
  <c r="W26" i="15"/>
  <c r="W3" i="15"/>
  <c r="W67" i="15"/>
  <c r="W44" i="15"/>
  <c r="W21" i="15"/>
  <c r="W85" i="15"/>
  <c r="W62" i="15"/>
  <c r="W39" i="15"/>
  <c r="W16" i="15"/>
  <c r="W80" i="15"/>
  <c r="W57" i="15"/>
  <c r="W34" i="15"/>
  <c r="W11" i="15"/>
  <c r="W75" i="15"/>
  <c r="W52" i="15"/>
  <c r="W29" i="15"/>
  <c r="W6" i="15"/>
  <c r="W70" i="15"/>
  <c r="W47" i="15"/>
  <c r="W24" i="15"/>
  <c r="W88" i="15"/>
  <c r="W65" i="15"/>
  <c r="W42" i="15"/>
  <c r="W19" i="15"/>
  <c r="W83" i="15"/>
  <c r="W60" i="15"/>
  <c r="W37" i="15"/>
  <c r="W14" i="15"/>
  <c r="W78" i="15"/>
  <c r="W55" i="15"/>
  <c r="W27" i="15"/>
  <c r="W68" i="15"/>
  <c r="W22" i="15"/>
  <c r="W63" i="15"/>
  <c r="W64" i="15"/>
  <c r="W35" i="15"/>
  <c r="W76" i="15"/>
  <c r="W30" i="15"/>
  <c r="W71" i="15"/>
  <c r="W9" i="15"/>
  <c r="W43" i="15"/>
  <c r="W84" i="15"/>
  <c r="W38" i="15"/>
  <c r="W79" i="15"/>
  <c r="W17" i="15"/>
  <c r="W10" i="15"/>
  <c r="W51" i="15"/>
  <c r="W5" i="15"/>
  <c r="W46" i="15"/>
  <c r="W87" i="15"/>
  <c r="W25" i="15"/>
  <c r="W50" i="15"/>
  <c r="W4" i="15"/>
  <c r="W45" i="15"/>
  <c r="W86" i="15"/>
  <c r="W32" i="15"/>
  <c r="W33" i="15"/>
  <c r="W58" i="15"/>
  <c r="W12" i="15"/>
  <c r="W53" i="15"/>
  <c r="W7" i="15"/>
  <c r="W40" i="15"/>
  <c r="W41" i="15"/>
  <c r="W66" i="15"/>
  <c r="W20" i="15"/>
  <c r="W61" i="15"/>
  <c r="W15" i="15"/>
  <c r="W48" i="15"/>
  <c r="W73" i="15"/>
  <c r="W74" i="15"/>
  <c r="W28" i="15"/>
  <c r="W69" i="15"/>
  <c r="W23" i="15"/>
  <c r="W56" i="15"/>
  <c r="W81" i="15"/>
  <c r="H32" i="13" a="1"/>
  <c r="D32" i="13" a="1"/>
  <c r="H3" i="13" a="1"/>
  <c r="C21" i="13" a="1"/>
  <c r="G21" i="13" a="1"/>
  <c r="X85" i="15"/>
  <c r="Y85" i="15"/>
  <c r="Z85" i="15"/>
  <c r="AA85" i="15"/>
  <c r="AB85" i="15"/>
  <c r="Y75" i="15"/>
  <c r="Z75" i="15"/>
  <c r="AA75" i="15"/>
  <c r="AB75" i="15"/>
  <c r="X75" i="15"/>
  <c r="AA65" i="15"/>
  <c r="AB65" i="15"/>
  <c r="X65" i="15"/>
  <c r="Z65" i="15"/>
  <c r="Y65" i="15"/>
  <c r="X74" i="15"/>
  <c r="Y74" i="15"/>
  <c r="Z74" i="15"/>
  <c r="AA74" i="15"/>
  <c r="AB74" i="15"/>
  <c r="X82" i="15"/>
  <c r="Z82" i="15"/>
  <c r="AA82" i="15"/>
  <c r="Y82" i="15"/>
  <c r="AB82" i="15"/>
  <c r="X72" i="15"/>
  <c r="Y72" i="15"/>
  <c r="Z72" i="15"/>
  <c r="AA72" i="15"/>
  <c r="AB72" i="15"/>
  <c r="Z62" i="15"/>
  <c r="AA62" i="15"/>
  <c r="AB62" i="15"/>
  <c r="Y62" i="15"/>
  <c r="X62" i="15"/>
  <c r="X71" i="15"/>
  <c r="AB71" i="15"/>
  <c r="Y71" i="15"/>
  <c r="Z71" i="15"/>
  <c r="AA71" i="15"/>
  <c r="Z86" i="15"/>
  <c r="AA86" i="15"/>
  <c r="AB86" i="15"/>
  <c r="X86" i="15"/>
  <c r="Y86" i="15"/>
  <c r="Y59" i="15"/>
  <c r="Z59" i="15"/>
  <c r="AA59" i="15"/>
  <c r="AB59" i="15"/>
  <c r="X59" i="15"/>
  <c r="AB68" i="15"/>
  <c r="AA68" i="15"/>
  <c r="X68" i="15"/>
  <c r="Y68" i="15"/>
  <c r="Z68" i="15"/>
  <c r="X66" i="15"/>
  <c r="Y66" i="15"/>
  <c r="Z66" i="15"/>
  <c r="AA66" i="15"/>
  <c r="AB66" i="15"/>
  <c r="X69" i="15"/>
  <c r="Y69" i="15"/>
  <c r="Z69" i="15"/>
  <c r="AA69" i="15"/>
  <c r="AB69" i="15"/>
  <c r="Y83" i="15"/>
  <c r="Z83" i="15"/>
  <c r="AA83" i="15"/>
  <c r="AB83" i="15"/>
  <c r="X83" i="15"/>
  <c r="X80" i="15"/>
  <c r="Y80" i="15"/>
  <c r="Z80" i="15"/>
  <c r="AA80" i="15"/>
  <c r="AB80" i="15"/>
  <c r="Z70" i="15"/>
  <c r="AA70" i="15"/>
  <c r="AB70" i="15"/>
  <c r="X70" i="15"/>
  <c r="Y70" i="15"/>
  <c r="AB60" i="15"/>
  <c r="Z60" i="15"/>
  <c r="X60" i="15"/>
  <c r="Y60" i="15"/>
  <c r="AA60" i="15"/>
  <c r="X63" i="15"/>
  <c r="AA63" i="15"/>
  <c r="Y63" i="15"/>
  <c r="Z63" i="15"/>
  <c r="AB63" i="15"/>
  <c r="AB84" i="15"/>
  <c r="Z84" i="15"/>
  <c r="AA84" i="15"/>
  <c r="X84" i="15"/>
  <c r="Y84" i="15"/>
  <c r="AA87" i="15"/>
  <c r="AB87" i="15"/>
  <c r="X87" i="15"/>
  <c r="Y87" i="15"/>
  <c r="Z87" i="15"/>
  <c r="X58" i="15"/>
  <c r="Y58" i="15"/>
  <c r="Z58" i="15"/>
  <c r="AA58" i="15"/>
  <c r="AB58" i="15"/>
  <c r="X61" i="15"/>
  <c r="Y61" i="15"/>
  <c r="AA61" i="15"/>
  <c r="AB61" i="15"/>
  <c r="Z61" i="15"/>
  <c r="X56" i="15"/>
  <c r="Y56" i="15"/>
  <c r="Z56" i="15"/>
  <c r="AA56" i="15"/>
  <c r="AB56" i="15"/>
  <c r="X77" i="15"/>
  <c r="Y77" i="15"/>
  <c r="Z77" i="15"/>
  <c r="AA77" i="15"/>
  <c r="AB77" i="15"/>
  <c r="Y67" i="15"/>
  <c r="Z67" i="15"/>
  <c r="AA67" i="15"/>
  <c r="AB67" i="15"/>
  <c r="X67" i="15"/>
  <c r="AA57" i="15"/>
  <c r="AB57" i="15"/>
  <c r="Y57" i="15"/>
  <c r="X57" i="15"/>
  <c r="Z57" i="15"/>
  <c r="X64" i="15"/>
  <c r="Y64" i="15"/>
  <c r="Z64" i="15"/>
  <c r="AA64" i="15"/>
  <c r="AB64" i="15"/>
  <c r="AA81" i="15"/>
  <c r="AB81" i="15"/>
  <c r="Y81" i="15"/>
  <c r="Z81" i="15"/>
  <c r="X81" i="15"/>
  <c r="X79" i="15"/>
  <c r="Y79" i="15"/>
  <c r="Z79" i="15"/>
  <c r="AA79" i="15"/>
  <c r="AB79" i="15"/>
  <c r="X88" i="15"/>
  <c r="Y88" i="15"/>
  <c r="Z88" i="15"/>
  <c r="AA88" i="15"/>
  <c r="AB88" i="15"/>
  <c r="Z78" i="15"/>
  <c r="AA78" i="15"/>
  <c r="AB78" i="15"/>
  <c r="Y78" i="15"/>
  <c r="X78" i="15"/>
  <c r="AB76" i="15"/>
  <c r="X76" i="15"/>
  <c r="Y76" i="15"/>
  <c r="Z76" i="15"/>
  <c r="AA76" i="15"/>
  <c r="AA73" i="15"/>
  <c r="AB73" i="15"/>
  <c r="X73" i="15"/>
  <c r="Y73" i="15"/>
  <c r="Z73" i="15"/>
  <c r="I30" i="13"/>
  <c r="V73" i="15" l="1"/>
  <c r="V76" i="15"/>
  <c r="V78" i="15"/>
  <c r="V88" i="15"/>
  <c r="V79" i="15"/>
  <c r="V81" i="15"/>
  <c r="V64" i="15"/>
  <c r="V57" i="15"/>
  <c r="V67" i="15"/>
  <c r="V77" i="15"/>
  <c r="V56" i="15"/>
  <c r="V61" i="15"/>
  <c r="V58" i="15"/>
  <c r="V87" i="15"/>
  <c r="V84" i="15"/>
  <c r="V63" i="15"/>
  <c r="V60" i="15"/>
  <c r="V70" i="15"/>
  <c r="V80" i="15"/>
  <c r="V83" i="15"/>
  <c r="V69" i="15"/>
  <c r="V66" i="15"/>
  <c r="V68" i="15"/>
  <c r="V59" i="15"/>
  <c r="V86" i="15"/>
  <c r="V71" i="15"/>
  <c r="V62" i="15"/>
  <c r="V72" i="15"/>
  <c r="V82" i="15"/>
  <c r="V74" i="15"/>
  <c r="V65" i="15"/>
  <c r="V75" i="15"/>
  <c r="V85" i="15"/>
  <c r="C29" i="14"/>
  <c r="C26" i="14"/>
  <c r="C58" i="14"/>
  <c r="C49" i="14"/>
  <c r="C56" i="14"/>
  <c r="C44" i="14"/>
  <c r="C27" i="14"/>
  <c r="C46" i="14"/>
  <c r="C48" i="14"/>
  <c r="C30" i="14"/>
  <c r="C61" i="14"/>
  <c r="C33" i="14"/>
  <c r="C59" i="14"/>
  <c r="C52" i="14"/>
  <c r="C57" i="14"/>
  <c r="C38" i="14"/>
  <c r="C60" i="14"/>
  <c r="C41" i="14"/>
  <c r="C55" i="14"/>
  <c r="C53" i="14"/>
  <c r="C35" i="14"/>
  <c r="C40" i="14"/>
  <c r="C47" i="14"/>
  <c r="C42" i="14"/>
  <c r="C50" i="14"/>
  <c r="C25" i="14"/>
  <c r="C32" i="14"/>
  <c r="C39" i="14"/>
  <c r="C45" i="14"/>
  <c r="C28" i="14"/>
  <c r="C36" i="14"/>
  <c r="C24" i="14"/>
  <c r="C31" i="14"/>
  <c r="C34" i="14"/>
  <c r="C54" i="14"/>
  <c r="C51" i="14"/>
  <c r="C23" i="14"/>
  <c r="C43" i="14"/>
  <c r="C37" i="14"/>
  <c r="H39" i="13"/>
  <c r="H47" i="13"/>
  <c r="H55" i="13"/>
  <c r="H63" i="13"/>
  <c r="H71" i="13"/>
  <c r="H32" i="13"/>
  <c r="H40" i="13"/>
  <c r="H48" i="13"/>
  <c r="H56" i="13"/>
  <c r="H64" i="13"/>
  <c r="H72" i="13"/>
  <c r="H33" i="13"/>
  <c r="H41" i="13"/>
  <c r="H49" i="13"/>
  <c r="H57" i="13"/>
  <c r="H65" i="13"/>
  <c r="H73" i="13"/>
  <c r="H34" i="13"/>
  <c r="H42" i="13"/>
  <c r="H50" i="13"/>
  <c r="H58" i="13"/>
  <c r="H66" i="13"/>
  <c r="H74" i="13"/>
  <c r="H35" i="13"/>
  <c r="H43" i="13"/>
  <c r="H51" i="13"/>
  <c r="H59" i="13"/>
  <c r="H67" i="13"/>
  <c r="H75" i="13"/>
  <c r="H36" i="13"/>
  <c r="H44" i="13"/>
  <c r="H52" i="13"/>
  <c r="H60" i="13"/>
  <c r="H68" i="13"/>
  <c r="H76" i="13"/>
  <c r="H37" i="13"/>
  <c r="H45" i="13"/>
  <c r="H53" i="13"/>
  <c r="H61" i="13"/>
  <c r="H69" i="13"/>
  <c r="H38" i="13"/>
  <c r="H46" i="13"/>
  <c r="H54" i="13"/>
  <c r="H62" i="13"/>
  <c r="H70" i="13"/>
  <c r="D39" i="13"/>
  <c r="D47" i="13"/>
  <c r="D55" i="13"/>
  <c r="D63" i="13"/>
  <c r="D71" i="13"/>
  <c r="D32" i="13"/>
  <c r="D40" i="13"/>
  <c r="D48" i="13"/>
  <c r="D56" i="13"/>
  <c r="D64" i="13"/>
  <c r="D72" i="13"/>
  <c r="D33" i="13"/>
  <c r="D41" i="13"/>
  <c r="D49" i="13"/>
  <c r="D57" i="13"/>
  <c r="D65" i="13"/>
  <c r="D73" i="13"/>
  <c r="D34" i="13"/>
  <c r="D42" i="13"/>
  <c r="D50" i="13"/>
  <c r="D58" i="13"/>
  <c r="D66" i="13"/>
  <c r="D74" i="13"/>
  <c r="D35" i="13"/>
  <c r="D43" i="13"/>
  <c r="D51" i="13"/>
  <c r="D59" i="13"/>
  <c r="D67" i="13"/>
  <c r="D75" i="13"/>
  <c r="D36" i="13"/>
  <c r="D44" i="13"/>
  <c r="D52" i="13"/>
  <c r="D60" i="13"/>
  <c r="D68" i="13"/>
  <c r="D76" i="13"/>
  <c r="D37" i="13"/>
  <c r="D45" i="13"/>
  <c r="D53" i="13"/>
  <c r="D61" i="13"/>
  <c r="D69" i="13"/>
  <c r="D38" i="13"/>
  <c r="D46" i="13"/>
  <c r="D54" i="13"/>
  <c r="D62" i="13"/>
  <c r="D70" i="13"/>
  <c r="G28" i="13"/>
  <c r="G21" i="13"/>
  <c r="G22" i="13"/>
  <c r="G23" i="13"/>
  <c r="G24" i="13"/>
  <c r="G25" i="13"/>
  <c r="G26" i="13"/>
  <c r="G27" i="13"/>
  <c r="C28" i="13"/>
  <c r="C21" i="13"/>
  <c r="C22" i="13"/>
  <c r="C23" i="13"/>
  <c r="C24" i="13"/>
  <c r="C25" i="13"/>
  <c r="C26" i="13"/>
  <c r="C27" i="13"/>
  <c r="H10" i="13"/>
  <c r="J10" i="13" s="1"/>
  <c r="H18" i="13"/>
  <c r="J18" i="13" s="1"/>
  <c r="H3" i="13"/>
  <c r="J3" i="13" s="1"/>
  <c r="H11" i="13"/>
  <c r="J11" i="13" s="1"/>
  <c r="H4" i="13"/>
  <c r="J4" i="13" s="1"/>
  <c r="H12" i="13"/>
  <c r="J12" i="13" s="1"/>
  <c r="H5" i="13"/>
  <c r="J5" i="13" s="1"/>
  <c r="H13" i="13"/>
  <c r="J13" i="13" s="1"/>
  <c r="H6" i="13"/>
  <c r="J6" i="13" s="1"/>
  <c r="H14" i="13"/>
  <c r="J14" i="13" s="1"/>
  <c r="H7" i="13"/>
  <c r="J7" i="13" s="1"/>
  <c r="H15" i="13"/>
  <c r="J15" i="13" s="1"/>
  <c r="H8" i="13"/>
  <c r="J8" i="13" s="1"/>
  <c r="H16" i="13"/>
  <c r="J16" i="13" s="1"/>
  <c r="H9" i="13"/>
  <c r="J9" i="13" s="1"/>
  <c r="H17" i="13"/>
  <c r="J17" i="13" s="1"/>
  <c r="L71" i="13"/>
  <c r="L70" i="13"/>
  <c r="L69" i="13"/>
  <c r="L68" i="13"/>
  <c r="L67" i="13"/>
  <c r="L66" i="13"/>
  <c r="L65" i="13"/>
  <c r="L64" i="13"/>
  <c r="L63" i="13"/>
  <c r="L62" i="13"/>
  <c r="L61" i="13"/>
  <c r="L60" i="13"/>
  <c r="L59" i="13"/>
  <c r="L58" i="13"/>
  <c r="L57" i="13"/>
  <c r="L56" i="13"/>
  <c r="L55" i="13"/>
  <c r="L54" i="13"/>
  <c r="L53" i="13"/>
  <c r="L52" i="13"/>
  <c r="L51" i="13"/>
  <c r="L50" i="13"/>
  <c r="L49" i="13"/>
  <c r="L48" i="13"/>
  <c r="L47" i="13"/>
  <c r="L46" i="13"/>
  <c r="L45" i="13"/>
  <c r="L44" i="13"/>
  <c r="L43" i="13"/>
  <c r="L42" i="13"/>
  <c r="L41" i="13"/>
  <c r="L40" i="13"/>
  <c r="L39" i="13"/>
  <c r="L38" i="13"/>
  <c r="L37" i="13"/>
  <c r="L36" i="13"/>
  <c r="L35" i="13"/>
  <c r="L34" i="13"/>
  <c r="L33" i="13"/>
  <c r="L32" i="13"/>
  <c r="L31" i="13"/>
  <c r="L30" i="13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8" i="13"/>
  <c r="L7" i="13"/>
  <c r="L6" i="13"/>
  <c r="L5" i="13"/>
  <c r="L4" i="13"/>
  <c r="L3" i="13"/>
  <c r="L3" i="12"/>
  <c r="D25" i="13"/>
  <c r="D21" i="13"/>
  <c r="B3" i="13" a="1"/>
  <c r="D22" i="13"/>
  <c r="D28" i="13"/>
  <c r="D24" i="13"/>
  <c r="D23" i="13"/>
  <c r="D27" i="13"/>
  <c r="D26" i="13"/>
  <c r="F55" i="14"/>
  <c r="F58" i="14"/>
  <c r="F61" i="14"/>
  <c r="F54" i="14"/>
  <c r="F57" i="14"/>
  <c r="F46" i="14"/>
  <c r="F60" i="14"/>
  <c r="F34" i="14"/>
  <c r="F49" i="14"/>
  <c r="F53" i="14"/>
  <c r="F51" i="14"/>
  <c r="F52" i="14"/>
  <c r="F42" i="14"/>
  <c r="F50" i="14"/>
  <c r="F25" i="14"/>
  <c r="F59" i="14"/>
  <c r="F28" i="14"/>
  <c r="F47" i="14"/>
  <c r="F38" i="14"/>
  <c r="F48" i="14"/>
  <c r="F31" i="14"/>
  <c r="I56" i="13"/>
  <c r="I26" i="13"/>
  <c r="I64" i="13"/>
  <c r="I59" i="12"/>
  <c r="I61" i="12"/>
  <c r="I67" i="12"/>
  <c r="I34" i="13"/>
  <c r="I24" i="12"/>
  <c r="I80" i="12"/>
  <c r="I68" i="13"/>
  <c r="I37" i="13"/>
  <c r="I65" i="12"/>
  <c r="I47" i="12"/>
  <c r="I40" i="12"/>
  <c r="I67" i="13"/>
  <c r="I61" i="13"/>
  <c r="I64" i="12"/>
  <c r="I33" i="12"/>
  <c r="I25" i="12"/>
  <c r="I45" i="12"/>
  <c r="I40" i="13"/>
  <c r="I27" i="12"/>
  <c r="I44" i="13"/>
  <c r="I48" i="13"/>
  <c r="I23" i="12"/>
  <c r="I39" i="12"/>
  <c r="I74" i="12"/>
  <c r="I42" i="13"/>
  <c r="I58" i="13"/>
  <c r="I25" i="13"/>
  <c r="I34" i="12"/>
  <c r="I41" i="13"/>
  <c r="I21" i="13"/>
  <c r="I36" i="13"/>
  <c r="I43" i="13"/>
  <c r="I37" i="12"/>
  <c r="I42" i="12"/>
  <c r="I47" i="13"/>
  <c r="I75" i="13"/>
  <c r="I39" i="13"/>
  <c r="I28" i="13"/>
  <c r="I60" i="13"/>
  <c r="I77" i="12"/>
  <c r="I23" i="13"/>
  <c r="I60" i="12"/>
  <c r="I53" i="13"/>
  <c r="I72" i="13"/>
  <c r="I38" i="12"/>
  <c r="I52" i="12"/>
  <c r="I70" i="12"/>
  <c r="I62" i="12"/>
  <c r="I38" i="13"/>
  <c r="I29" i="12"/>
  <c r="I53" i="12"/>
  <c r="I72" i="12"/>
  <c r="I51" i="12"/>
  <c r="I78" i="12"/>
  <c r="I71" i="13"/>
  <c r="I74" i="13"/>
  <c r="I46" i="12"/>
  <c r="I70" i="13"/>
  <c r="I45" i="13"/>
  <c r="I49" i="12"/>
  <c r="I31" i="12"/>
  <c r="I20" i="12"/>
  <c r="I22" i="13"/>
  <c r="I48" i="12"/>
  <c r="I56" i="12"/>
  <c r="I76" i="12"/>
  <c r="I58" i="12"/>
  <c r="I54" i="13"/>
  <c r="I36" i="12"/>
  <c r="I68" i="12"/>
  <c r="I81" i="12"/>
  <c r="I69" i="13"/>
  <c r="I32" i="12"/>
  <c r="I79" i="12"/>
  <c r="I32" i="13"/>
  <c r="I75" i="12"/>
  <c r="I73" i="13"/>
  <c r="I52" i="13"/>
  <c r="I50" i="13"/>
  <c r="I49" i="13"/>
  <c r="I33" i="13"/>
  <c r="I55" i="13"/>
  <c r="I62" i="13"/>
  <c r="I66" i="13"/>
  <c r="I69" i="12"/>
  <c r="I76" i="13"/>
  <c r="I73" i="12"/>
  <c r="I30" i="12"/>
  <c r="I59" i="13"/>
  <c r="I44" i="12"/>
  <c r="I24" i="13"/>
  <c r="I50" i="12"/>
  <c r="I54" i="12"/>
  <c r="I28" i="12"/>
  <c r="I27" i="13"/>
  <c r="I63" i="13"/>
  <c r="I35" i="13"/>
  <c r="I65" i="13"/>
  <c r="I63" i="12"/>
  <c r="I66" i="12"/>
  <c r="I26" i="12"/>
  <c r="I57" i="13"/>
  <c r="I51" i="13"/>
  <c r="I41" i="12"/>
  <c r="I71" i="12"/>
  <c r="I46" i="13"/>
  <c r="I82" i="12"/>
  <c r="I83" i="12"/>
  <c r="I35" i="12"/>
  <c r="I55" i="12"/>
  <c r="I85" i="12"/>
  <c r="I22" i="12"/>
  <c r="I43" i="12"/>
  <c r="I84" i="12"/>
  <c r="I57" i="12"/>
  <c r="I26" i="14" l="1"/>
  <c r="I43" i="14"/>
  <c r="I33" i="14"/>
  <c r="I42" i="14"/>
  <c r="I23" i="14"/>
  <c r="I54" i="14"/>
  <c r="I20" i="14"/>
  <c r="I45" i="14"/>
  <c r="I37" i="14"/>
  <c r="I47" i="14"/>
  <c r="I46" i="14"/>
  <c r="I48" i="14"/>
  <c r="I44" i="14"/>
  <c r="I29" i="14"/>
  <c r="I55" i="14"/>
  <c r="I41" i="14"/>
  <c r="I52" i="14"/>
  <c r="I49" i="14"/>
  <c r="I56" i="14"/>
  <c r="I53" i="14"/>
  <c r="I50" i="14"/>
  <c r="J53" i="13"/>
  <c r="J49" i="13"/>
  <c r="J67" i="13"/>
  <c r="J33" i="13"/>
  <c r="J28" i="13"/>
  <c r="J54" i="13"/>
  <c r="J59" i="13"/>
  <c r="J72" i="13"/>
  <c r="J55" i="13"/>
  <c r="J27" i="13"/>
  <c r="J46" i="13"/>
  <c r="J68" i="13"/>
  <c r="J51" i="13"/>
  <c r="J34" i="13"/>
  <c r="J64" i="13"/>
  <c r="J47" i="13"/>
  <c r="J44" i="13"/>
  <c r="J57" i="13"/>
  <c r="J23" i="13"/>
  <c r="J36" i="13"/>
  <c r="J32" i="13"/>
  <c r="J58" i="13"/>
  <c r="J37" i="13"/>
  <c r="J42" i="13"/>
  <c r="J24" i="13"/>
  <c r="J61" i="13"/>
  <c r="J74" i="13"/>
  <c r="J40" i="13"/>
  <c r="J66" i="13"/>
  <c r="J22" i="13"/>
  <c r="J70" i="13"/>
  <c r="J45" i="13"/>
  <c r="J75" i="13"/>
  <c r="J41" i="13"/>
  <c r="J71" i="13"/>
  <c r="J21" i="13"/>
  <c r="J62" i="13"/>
  <c r="J50" i="13"/>
  <c r="J63" i="13"/>
  <c r="J76" i="13"/>
  <c r="J26" i="13"/>
  <c r="J38" i="13"/>
  <c r="J60" i="13"/>
  <c r="J43" i="13"/>
  <c r="J73" i="13"/>
  <c r="J56" i="13"/>
  <c r="J39" i="13"/>
  <c r="J25" i="13"/>
  <c r="J69" i="13"/>
  <c r="J52" i="13"/>
  <c r="J35" i="13"/>
  <c r="J65" i="13"/>
  <c r="J48" i="13"/>
  <c r="J80" i="12"/>
  <c r="O77" i="12" s="1"/>
  <c r="N77" i="12"/>
  <c r="J85" i="12"/>
  <c r="O82" i="12" s="1"/>
  <c r="N82" i="12"/>
  <c r="N81" i="12"/>
  <c r="J84" i="12"/>
  <c r="O81" i="12" s="1"/>
  <c r="J82" i="12"/>
  <c r="O79" i="12" s="1"/>
  <c r="N79" i="12"/>
  <c r="N80" i="12"/>
  <c r="J83" i="12"/>
  <c r="O80" i="12" s="1"/>
  <c r="J81" i="12"/>
  <c r="O78" i="12" s="1"/>
  <c r="N78" i="12"/>
  <c r="N74" i="12"/>
  <c r="J77" i="12"/>
  <c r="O74" i="12" s="1"/>
  <c r="N65" i="12"/>
  <c r="J68" i="12"/>
  <c r="O65" i="12" s="1"/>
  <c r="N69" i="12"/>
  <c r="J72" i="12"/>
  <c r="O69" i="12" s="1"/>
  <c r="N64" i="12"/>
  <c r="J67" i="12"/>
  <c r="O64" i="12" s="1"/>
  <c r="N70" i="12"/>
  <c r="J73" i="12"/>
  <c r="O70" i="12" s="1"/>
  <c r="N67" i="12"/>
  <c r="J70" i="12"/>
  <c r="O67" i="12" s="1"/>
  <c r="N71" i="12"/>
  <c r="J74" i="12"/>
  <c r="O71" i="12" s="1"/>
  <c r="N75" i="12"/>
  <c r="J78" i="12"/>
  <c r="O75" i="12" s="1"/>
  <c r="N73" i="12"/>
  <c r="J76" i="12"/>
  <c r="O73" i="12" s="1"/>
  <c r="N68" i="12"/>
  <c r="J71" i="12"/>
  <c r="O68" i="12" s="1"/>
  <c r="N72" i="12"/>
  <c r="J75" i="12"/>
  <c r="O72" i="12" s="1"/>
  <c r="N76" i="12"/>
  <c r="J79" i="12"/>
  <c r="O76" i="12" s="1"/>
  <c r="N66" i="12"/>
  <c r="J69" i="12"/>
  <c r="O66" i="12" s="1"/>
  <c r="B10" i="13"/>
  <c r="C10" i="13" s="1"/>
  <c r="B18" i="13"/>
  <c r="C18" i="13" s="1"/>
  <c r="B3" i="13"/>
  <c r="C3" i="13" s="1"/>
  <c r="B11" i="13"/>
  <c r="C11" i="13" s="1"/>
  <c r="B4" i="13"/>
  <c r="C4" i="13" s="1"/>
  <c r="B12" i="13"/>
  <c r="C12" i="13" s="1"/>
  <c r="B5" i="13"/>
  <c r="C5" i="13" s="1"/>
  <c r="B13" i="13"/>
  <c r="C13" i="13" s="1"/>
  <c r="B6" i="13"/>
  <c r="C6" i="13" s="1"/>
  <c r="B14" i="13"/>
  <c r="C14" i="13" s="1"/>
  <c r="B7" i="13"/>
  <c r="C7" i="13" s="1"/>
  <c r="B15" i="13"/>
  <c r="B8" i="13"/>
  <c r="C8" i="13" s="1"/>
  <c r="B16" i="13"/>
  <c r="B9" i="13"/>
  <c r="C9" i="13" s="1"/>
  <c r="B17" i="13"/>
  <c r="C17" i="13" s="1"/>
  <c r="B26" i="13"/>
  <c r="B27" i="13"/>
  <c r="B25" i="13"/>
  <c r="B24" i="13"/>
  <c r="B28" i="13"/>
  <c r="B22" i="13"/>
  <c r="B21" i="13"/>
  <c r="B23" i="13"/>
  <c r="M65" i="13"/>
  <c r="M57" i="13"/>
  <c r="M49" i="13"/>
  <c r="M41" i="13"/>
  <c r="M33" i="13"/>
  <c r="M67" i="13"/>
  <c r="M58" i="13"/>
  <c r="M48" i="13"/>
  <c r="M39" i="13"/>
  <c r="M30" i="13"/>
  <c r="M56" i="13"/>
  <c r="M38" i="13"/>
  <c r="M29" i="13"/>
  <c r="M66" i="13"/>
  <c r="M47" i="13"/>
  <c r="M71" i="13"/>
  <c r="M60" i="13"/>
  <c r="M46" i="13"/>
  <c r="M35" i="13"/>
  <c r="M69" i="13"/>
  <c r="M55" i="13"/>
  <c r="M44" i="13"/>
  <c r="M32" i="13"/>
  <c r="M43" i="13"/>
  <c r="M53" i="13"/>
  <c r="M70" i="13"/>
  <c r="M59" i="13"/>
  <c r="M45" i="13"/>
  <c r="M34" i="13"/>
  <c r="M68" i="13"/>
  <c r="M54" i="13"/>
  <c r="M31" i="13"/>
  <c r="M52" i="13"/>
  <c r="M27" i="13"/>
  <c r="M51" i="13"/>
  <c r="M50" i="13"/>
  <c r="M64" i="13"/>
  <c r="M40" i="13"/>
  <c r="M36" i="13"/>
  <c r="M42" i="13"/>
  <c r="M63" i="13"/>
  <c r="M37" i="13"/>
  <c r="M62" i="13"/>
  <c r="M61" i="13"/>
  <c r="M28" i="13"/>
  <c r="C16" i="12"/>
  <c r="C8" i="12"/>
  <c r="C11" i="12"/>
  <c r="C10" i="12"/>
  <c r="C14" i="12"/>
  <c r="C3" i="12"/>
  <c r="C13" i="12"/>
  <c r="C12" i="12"/>
  <c r="C5" i="12"/>
  <c r="C4" i="12"/>
  <c r="C18" i="12"/>
  <c r="C17" i="12"/>
  <c r="C15" i="12"/>
  <c r="C9" i="12"/>
  <c r="C7" i="12"/>
  <c r="C6" i="12"/>
  <c r="C15" i="13"/>
  <c r="C16" i="13"/>
  <c r="O26" i="14"/>
  <c r="P26" i="14"/>
  <c r="K26" i="14"/>
  <c r="J26" i="14"/>
  <c r="O37" i="14"/>
  <c r="P37" i="14"/>
  <c r="K37" i="14"/>
  <c r="J37" i="14"/>
  <c r="O52" i="14"/>
  <c r="P52" i="14"/>
  <c r="K52" i="14"/>
  <c r="J52" i="14"/>
  <c r="O43" i="14"/>
  <c r="P43" i="14"/>
  <c r="K43" i="14"/>
  <c r="J43" i="14"/>
  <c r="O47" i="14"/>
  <c r="P47" i="14"/>
  <c r="K47" i="14"/>
  <c r="J47" i="14"/>
  <c r="O49" i="14"/>
  <c r="P49" i="14"/>
  <c r="K49" i="14"/>
  <c r="J49" i="14"/>
  <c r="O33" i="14"/>
  <c r="P33" i="14"/>
  <c r="K33" i="14"/>
  <c r="J33" i="14"/>
  <c r="O46" i="14"/>
  <c r="P46" i="14"/>
  <c r="K46" i="14"/>
  <c r="J46" i="14"/>
  <c r="O56" i="14"/>
  <c r="P56" i="14"/>
  <c r="K56" i="14"/>
  <c r="J56" i="14"/>
  <c r="O42" i="14"/>
  <c r="P42" i="14"/>
  <c r="K42" i="14"/>
  <c r="J42" i="14"/>
  <c r="O48" i="14"/>
  <c r="P48" i="14"/>
  <c r="K48" i="14"/>
  <c r="J48" i="14"/>
  <c r="O53" i="14"/>
  <c r="P53" i="14"/>
  <c r="K53" i="14"/>
  <c r="J53" i="14"/>
  <c r="O23" i="14"/>
  <c r="P23" i="14"/>
  <c r="K23" i="14"/>
  <c r="J23" i="14"/>
  <c r="O44" i="14"/>
  <c r="P44" i="14"/>
  <c r="K44" i="14"/>
  <c r="J44" i="14"/>
  <c r="O50" i="14"/>
  <c r="P50" i="14"/>
  <c r="K50" i="14"/>
  <c r="J50" i="14"/>
  <c r="O54" i="14"/>
  <c r="P54" i="14"/>
  <c r="K54" i="14"/>
  <c r="J54" i="14"/>
  <c r="O29" i="14"/>
  <c r="P29" i="14"/>
  <c r="K29" i="14"/>
  <c r="J29" i="14"/>
  <c r="O20" i="14"/>
  <c r="P20" i="14"/>
  <c r="K20" i="14"/>
  <c r="J20" i="14"/>
  <c r="O55" i="14"/>
  <c r="P55" i="14"/>
  <c r="K55" i="14"/>
  <c r="J55" i="14"/>
  <c r="O45" i="14"/>
  <c r="P45" i="14"/>
  <c r="K45" i="14"/>
  <c r="J45" i="14"/>
  <c r="O41" i="14"/>
  <c r="P41" i="14"/>
  <c r="K41" i="14"/>
  <c r="J41" i="14"/>
  <c r="E17" i="13" l="1"/>
  <c r="F17" i="13"/>
  <c r="F16" i="13"/>
  <c r="E16" i="13"/>
  <c r="E8" i="13"/>
  <c r="F8" i="13"/>
  <c r="F15" i="13"/>
  <c r="E15" i="13"/>
  <c r="F12" i="13"/>
  <c r="E12" i="13"/>
  <c r="F4" i="13"/>
  <c r="E4" i="13"/>
  <c r="E11" i="13"/>
  <c r="F11" i="13"/>
  <c r="F7" i="13"/>
  <c r="E7" i="13"/>
  <c r="F3" i="13"/>
  <c r="E3" i="13"/>
  <c r="F14" i="13"/>
  <c r="E14" i="13"/>
  <c r="F18" i="13"/>
  <c r="E18" i="13"/>
  <c r="F6" i="13"/>
  <c r="E6" i="13"/>
  <c r="F10" i="13"/>
  <c r="E10" i="13"/>
  <c r="F13" i="13"/>
  <c r="E13" i="13"/>
  <c r="F9" i="13"/>
  <c r="E9" i="13"/>
  <c r="F5" i="13"/>
  <c r="E5" i="13"/>
  <c r="N34" i="12"/>
  <c r="N44" i="12"/>
  <c r="N53" i="12"/>
  <c r="N59" i="12"/>
  <c r="N42" i="12"/>
  <c r="N45" i="12"/>
  <c r="N48" i="12"/>
  <c r="N46" i="12"/>
  <c r="N50" i="12"/>
  <c r="N24" i="12"/>
  <c r="N27" i="12"/>
  <c r="N22" i="12"/>
  <c r="N40" i="12"/>
  <c r="N62" i="12"/>
  <c r="N55" i="12"/>
  <c r="N37" i="12"/>
  <c r="N49" i="12"/>
  <c r="N61" i="12"/>
  <c r="N21" i="12"/>
  <c r="N58" i="12"/>
  <c r="N28" i="12"/>
  <c r="N47" i="12"/>
  <c r="N43" i="12"/>
  <c r="N26" i="12"/>
  <c r="N63" i="12"/>
  <c r="N60" i="12"/>
  <c r="N31" i="12"/>
  <c r="N52" i="12"/>
  <c r="N30" i="12"/>
  <c r="N51" i="12"/>
  <c r="N32" i="12"/>
  <c r="N56" i="12"/>
  <c r="N41" i="12"/>
  <c r="N23" i="12"/>
  <c r="N39" i="12"/>
  <c r="N57" i="12"/>
  <c r="N25" i="12"/>
  <c r="N33" i="12"/>
  <c r="N19" i="12"/>
  <c r="N35" i="12"/>
  <c r="N38" i="12"/>
  <c r="N29" i="12"/>
  <c r="N36" i="12"/>
  <c r="N20" i="12"/>
  <c r="N54" i="12"/>
  <c r="C11" i="14"/>
  <c r="C14" i="14"/>
  <c r="C16" i="14"/>
  <c r="C13" i="14"/>
  <c r="C21" i="14"/>
  <c r="C12" i="14"/>
  <c r="C17" i="14"/>
  <c r="C15" i="14"/>
  <c r="C18" i="14"/>
  <c r="C20" i="14"/>
  <c r="C10" i="14"/>
  <c r="C8" i="14"/>
  <c r="C22" i="14"/>
  <c r="C19" i="14"/>
  <c r="C9" i="14"/>
  <c r="O54" i="13"/>
  <c r="N54" i="13"/>
  <c r="O27" i="13"/>
  <c r="N27" i="13"/>
  <c r="M21" i="13"/>
  <c r="N68" i="13"/>
  <c r="O68" i="13"/>
  <c r="O31" i="13"/>
  <c r="N31" i="13"/>
  <c r="O70" i="13"/>
  <c r="N70" i="13"/>
  <c r="N60" i="13"/>
  <c r="O60" i="13"/>
  <c r="N47" i="13"/>
  <c r="O47" i="13"/>
  <c r="M23" i="13"/>
  <c r="O53" i="13"/>
  <c r="N53" i="13"/>
  <c r="O69" i="13"/>
  <c r="N69" i="13"/>
  <c r="N44" i="13"/>
  <c r="O44" i="13"/>
  <c r="O38" i="13"/>
  <c r="N38" i="13"/>
  <c r="N57" i="13"/>
  <c r="O57" i="13"/>
  <c r="M25" i="13"/>
  <c r="N28" i="13"/>
  <c r="O28" i="13"/>
  <c r="O45" i="13"/>
  <c r="N45" i="13"/>
  <c r="N33" i="13"/>
  <c r="O33" i="13"/>
  <c r="N65" i="13"/>
  <c r="O65" i="13"/>
  <c r="O66" i="13"/>
  <c r="N66" i="13"/>
  <c r="M24" i="13"/>
  <c r="N58" i="13"/>
  <c r="O58" i="13"/>
  <c r="N34" i="13"/>
  <c r="O34" i="13"/>
  <c r="O29" i="13"/>
  <c r="N29" i="13"/>
  <c r="O35" i="13"/>
  <c r="N35" i="13"/>
  <c r="M19" i="13"/>
  <c r="N42" i="13"/>
  <c r="O42" i="13"/>
  <c r="N63" i="13"/>
  <c r="O63" i="13"/>
  <c r="N46" i="13"/>
  <c r="O46" i="13"/>
  <c r="O71" i="13"/>
  <c r="N71" i="13"/>
  <c r="N56" i="13"/>
  <c r="O56" i="13"/>
  <c r="O43" i="13"/>
  <c r="N43" i="13"/>
  <c r="M20" i="13"/>
  <c r="N40" i="13"/>
  <c r="O40" i="13"/>
  <c r="O32" i="13"/>
  <c r="N32" i="13"/>
  <c r="N36" i="13"/>
  <c r="O36" i="13"/>
  <c r="O37" i="13"/>
  <c r="N37" i="13"/>
  <c r="N30" i="13"/>
  <c r="O30" i="13"/>
  <c r="O51" i="13"/>
  <c r="N51" i="13"/>
  <c r="M26" i="13"/>
  <c r="N41" i="13"/>
  <c r="O41" i="13"/>
  <c r="N64" i="13"/>
  <c r="O64" i="13"/>
  <c r="N49" i="13"/>
  <c r="O49" i="13"/>
  <c r="N50" i="13"/>
  <c r="O50" i="13"/>
  <c r="N39" i="13"/>
  <c r="O39" i="13"/>
  <c r="O59" i="13"/>
  <c r="N59" i="13"/>
  <c r="M22" i="13"/>
  <c r="N52" i="13"/>
  <c r="O52" i="13"/>
  <c r="O55" i="13"/>
  <c r="N55" i="13"/>
  <c r="O61" i="13"/>
  <c r="N61" i="13"/>
  <c r="N62" i="13"/>
  <c r="O62" i="13"/>
  <c r="N48" i="13"/>
  <c r="O48" i="13"/>
  <c r="O67" i="13"/>
  <c r="N67" i="13"/>
  <c r="M5" i="13"/>
  <c r="D5" i="13"/>
  <c r="D18" i="13"/>
  <c r="M18" i="13"/>
  <c r="M13" i="13"/>
  <c r="D13" i="13"/>
  <c r="M3" i="13"/>
  <c r="D3" i="13"/>
  <c r="M11" i="13"/>
  <c r="D11" i="13"/>
  <c r="D15" i="13"/>
  <c r="M15" i="13"/>
  <c r="M9" i="13"/>
  <c r="D9" i="13"/>
  <c r="D6" i="13"/>
  <c r="M6" i="13"/>
  <c r="D12" i="13"/>
  <c r="M12" i="13"/>
  <c r="D10" i="13"/>
  <c r="M10" i="13"/>
  <c r="M8" i="13"/>
  <c r="D8" i="13"/>
  <c r="M16" i="13"/>
  <c r="D16" i="13"/>
  <c r="D17" i="13"/>
  <c r="M17" i="13"/>
  <c r="M14" i="13"/>
  <c r="D14" i="13"/>
  <c r="M7" i="13"/>
  <c r="D7" i="13"/>
  <c r="D4" i="13"/>
  <c r="M4" i="13"/>
  <c r="J51" i="12"/>
  <c r="O48" i="12" s="1"/>
  <c r="J46" i="12"/>
  <c r="O43" i="12" s="1"/>
  <c r="J65" i="12"/>
  <c r="O62" i="12" s="1"/>
  <c r="J52" i="12"/>
  <c r="O49" i="12" s="1"/>
  <c r="J48" i="12"/>
  <c r="O45" i="12" s="1"/>
  <c r="J47" i="12"/>
  <c r="O44" i="12" s="1"/>
  <c r="J34" i="12"/>
  <c r="O31" i="12" s="1"/>
  <c r="J41" i="12"/>
  <c r="O38" i="12" s="1"/>
  <c r="J58" i="12"/>
  <c r="O55" i="12" s="1"/>
  <c r="J53" i="12"/>
  <c r="O50" i="12" s="1"/>
  <c r="J66" i="12"/>
  <c r="O63" i="12" s="1"/>
  <c r="J60" i="12"/>
  <c r="O57" i="12" s="1"/>
  <c r="J55" i="12"/>
  <c r="O52" i="12" s="1"/>
  <c r="J27" i="12"/>
  <c r="O24" i="12" s="1"/>
  <c r="J61" i="12"/>
  <c r="O58" i="12" s="1"/>
  <c r="J24" i="12"/>
  <c r="O21" i="12" s="1"/>
  <c r="J35" i="12"/>
  <c r="O32" i="12" s="1"/>
  <c r="J31" i="12"/>
  <c r="O28" i="12" s="1"/>
  <c r="J39" i="12"/>
  <c r="O36" i="12" s="1"/>
  <c r="J22" i="12"/>
  <c r="O19" i="12" s="1"/>
  <c r="J40" i="12"/>
  <c r="O37" i="12" s="1"/>
  <c r="J50" i="12"/>
  <c r="O47" i="12" s="1"/>
  <c r="J63" i="12"/>
  <c r="O60" i="12" s="1"/>
  <c r="J43" i="12"/>
  <c r="O40" i="12" s="1"/>
  <c r="J49" i="12"/>
  <c r="O46" i="12" s="1"/>
  <c r="J30" i="12"/>
  <c r="O27" i="12" s="1"/>
  <c r="J42" i="12"/>
  <c r="O39" i="12" s="1"/>
  <c r="J26" i="12"/>
  <c r="O23" i="12" s="1"/>
  <c r="J29" i="12"/>
  <c r="O26" i="12" s="1"/>
  <c r="J44" i="12"/>
  <c r="O41" i="12" s="1"/>
  <c r="J33" i="12"/>
  <c r="O30" i="12" s="1"/>
  <c r="J56" i="12"/>
  <c r="O53" i="12" s="1"/>
  <c r="J36" i="12"/>
  <c r="O33" i="12" s="1"/>
  <c r="J37" i="12"/>
  <c r="O34" i="12" s="1"/>
  <c r="J54" i="12"/>
  <c r="O51" i="12" s="1"/>
  <c r="J23" i="12"/>
  <c r="O20" i="12" s="1"/>
  <c r="J25" i="12"/>
  <c r="O22" i="12" s="1"/>
  <c r="J45" i="12"/>
  <c r="O42" i="12" s="1"/>
  <c r="J62" i="12"/>
  <c r="O59" i="12" s="1"/>
  <c r="J64" i="12"/>
  <c r="O61" i="12" s="1"/>
  <c r="J32" i="12"/>
  <c r="O29" i="12" s="1"/>
  <c r="J28" i="12"/>
  <c r="O25" i="12" s="1"/>
  <c r="J57" i="12"/>
  <c r="O54" i="12" s="1"/>
  <c r="J59" i="12"/>
  <c r="O56" i="12" s="1"/>
  <c r="J38" i="12"/>
  <c r="O35" i="12" s="1"/>
  <c r="F8" i="12"/>
  <c r="D8" i="12"/>
  <c r="M8" i="12"/>
  <c r="E8" i="12"/>
  <c r="M7" i="12"/>
  <c r="F7" i="12"/>
  <c r="E7" i="12"/>
  <c r="D7" i="12"/>
  <c r="F11" i="12"/>
  <c r="D11" i="12"/>
  <c r="E11" i="12"/>
  <c r="M11" i="12"/>
  <c r="E4" i="12"/>
  <c r="D4" i="12"/>
  <c r="M4" i="12"/>
  <c r="F4" i="12"/>
  <c r="E5" i="12"/>
  <c r="M5" i="12"/>
  <c r="F5" i="12"/>
  <c r="D5" i="12"/>
  <c r="F12" i="12"/>
  <c r="M12" i="12"/>
  <c r="E12" i="12"/>
  <c r="D12" i="12"/>
  <c r="E13" i="12"/>
  <c r="M13" i="12"/>
  <c r="D13" i="12"/>
  <c r="F13" i="12"/>
  <c r="M9" i="12"/>
  <c r="E9" i="12"/>
  <c r="D9" i="12"/>
  <c r="F9" i="12"/>
  <c r="D3" i="12"/>
  <c r="F3" i="12"/>
  <c r="M3" i="12"/>
  <c r="E3" i="12"/>
  <c r="D15" i="12"/>
  <c r="M15" i="12"/>
  <c r="F15" i="12"/>
  <c r="E15" i="12"/>
  <c r="M14" i="12"/>
  <c r="F14" i="12"/>
  <c r="E14" i="12"/>
  <c r="D14" i="12"/>
  <c r="D18" i="12"/>
  <c r="M18" i="12"/>
  <c r="F18" i="12"/>
  <c r="E18" i="12"/>
  <c r="F16" i="12"/>
  <c r="M16" i="12"/>
  <c r="E16" i="12"/>
  <c r="D16" i="12"/>
  <c r="F6" i="12"/>
  <c r="E6" i="12"/>
  <c r="D6" i="12"/>
  <c r="M6" i="12"/>
  <c r="E17" i="12"/>
  <c r="D17" i="12"/>
  <c r="M17" i="12"/>
  <c r="F17" i="12"/>
  <c r="D10" i="12"/>
  <c r="E10" i="12"/>
  <c r="M10" i="12"/>
  <c r="F10" i="12"/>
  <c r="L71" i="11"/>
  <c r="L70" i="11"/>
  <c r="L69" i="11"/>
  <c r="L68" i="11"/>
  <c r="L67" i="11"/>
  <c r="L66" i="11"/>
  <c r="L65" i="11"/>
  <c r="L64" i="11"/>
  <c r="L63" i="11"/>
  <c r="L62" i="11"/>
  <c r="L61" i="11"/>
  <c r="L60" i="11"/>
  <c r="L59" i="11"/>
  <c r="L58" i="11"/>
  <c r="L57" i="11"/>
  <c r="L56" i="11"/>
  <c r="L55" i="11"/>
  <c r="L54" i="11"/>
  <c r="L53" i="11"/>
  <c r="L52" i="11"/>
  <c r="L51" i="11"/>
  <c r="L50" i="11"/>
  <c r="L49" i="11"/>
  <c r="L48" i="11"/>
  <c r="L47" i="11"/>
  <c r="L46" i="11"/>
  <c r="L45" i="11"/>
  <c r="L44" i="11"/>
  <c r="L43" i="11"/>
  <c r="L42" i="11"/>
  <c r="L41" i="11"/>
  <c r="L40" i="11"/>
  <c r="L39" i="11"/>
  <c r="L38" i="11"/>
  <c r="L37" i="11"/>
  <c r="L36" i="11"/>
  <c r="L35" i="11"/>
  <c r="L34" i="11"/>
  <c r="L33" i="11"/>
  <c r="L32" i="11"/>
  <c r="L31" i="11"/>
  <c r="L30" i="11"/>
  <c r="L29" i="1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9" i="11"/>
  <c r="L8" i="11"/>
  <c r="L7" i="11"/>
  <c r="L6" i="11"/>
  <c r="L5" i="11"/>
  <c r="L4" i="11"/>
  <c r="L3" i="11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27" i="2"/>
  <c r="L20" i="2"/>
  <c r="L21" i="2"/>
  <c r="L22" i="2"/>
  <c r="L23" i="2"/>
  <c r="L24" i="2"/>
  <c r="L25" i="2"/>
  <c r="L26" i="2"/>
  <c r="L19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3" i="2"/>
  <c r="B3" i="2" a="1"/>
  <c r="H32" i="2" a="1"/>
  <c r="C21" i="2" a="1"/>
  <c r="C21" i="11" a="1"/>
  <c r="H32" i="11" a="1"/>
  <c r="H3" i="11" a="1"/>
  <c r="D32" i="11" a="1"/>
  <c r="H3" i="2" a="1"/>
  <c r="G21" i="11" a="1"/>
  <c r="D32" i="2" a="1"/>
  <c r="G21" i="2" a="1"/>
  <c r="B3" i="11" a="1"/>
  <c r="F12" i="14"/>
  <c r="F22" i="14"/>
  <c r="F19" i="14"/>
  <c r="F15" i="14"/>
  <c r="F9" i="14"/>
  <c r="F11" i="14"/>
  <c r="F18" i="14"/>
  <c r="F14" i="14"/>
  <c r="F20" i="14"/>
  <c r="F16" i="14"/>
  <c r="F10" i="14"/>
  <c r="F13" i="14"/>
  <c r="F8" i="14"/>
  <c r="F21" i="14"/>
  <c r="F17" i="14"/>
  <c r="I18" i="13"/>
  <c r="I10" i="12"/>
  <c r="I7" i="13"/>
  <c r="I4" i="12"/>
  <c r="I5" i="13"/>
  <c r="I18" i="12"/>
  <c r="I3" i="12"/>
  <c r="I11" i="12"/>
  <c r="I13" i="13"/>
  <c r="I13" i="12"/>
  <c r="I12" i="12"/>
  <c r="I9" i="12"/>
  <c r="I4" i="13"/>
  <c r="I16" i="12"/>
  <c r="I5" i="12"/>
  <c r="I16" i="13"/>
  <c r="I15" i="12"/>
  <c r="I17" i="13"/>
  <c r="I30" i="11"/>
  <c r="I10" i="13"/>
  <c r="I3" i="13"/>
  <c r="I17" i="12"/>
  <c r="I7" i="12"/>
  <c r="I11" i="13"/>
  <c r="I14" i="12"/>
  <c r="I8" i="12"/>
  <c r="I8" i="13"/>
  <c r="I6" i="13"/>
  <c r="I9" i="13"/>
  <c r="I12" i="13"/>
  <c r="I15" i="13"/>
  <c r="I6" i="12"/>
  <c r="I14" i="13"/>
  <c r="I12" i="14" l="1"/>
  <c r="I16" i="14"/>
  <c r="I8" i="14"/>
  <c r="I11" i="14"/>
  <c r="I15" i="14"/>
  <c r="I9" i="14"/>
  <c r="I13" i="14"/>
  <c r="I6" i="14"/>
  <c r="I10" i="14"/>
  <c r="I14" i="14"/>
  <c r="I17" i="14"/>
  <c r="I7" i="14"/>
  <c r="I4" i="14"/>
  <c r="I5" i="14"/>
  <c r="N21" i="13"/>
  <c r="O21" i="13"/>
  <c r="O19" i="13"/>
  <c r="N19" i="13"/>
  <c r="O26" i="13"/>
  <c r="N26" i="13"/>
  <c r="O25" i="13"/>
  <c r="N25" i="13"/>
  <c r="N24" i="13"/>
  <c r="O24" i="13"/>
  <c r="N23" i="13"/>
  <c r="O23" i="13"/>
  <c r="N22" i="13"/>
  <c r="O22" i="13"/>
  <c r="O20" i="13"/>
  <c r="N20" i="13"/>
  <c r="I3" i="14"/>
  <c r="O14" i="13"/>
  <c r="N14" i="13"/>
  <c r="O5" i="13"/>
  <c r="N5" i="13"/>
  <c r="N15" i="13"/>
  <c r="O15" i="13"/>
  <c r="N16" i="13"/>
  <c r="O16" i="13"/>
  <c r="N17" i="13"/>
  <c r="O17" i="13"/>
  <c r="N11" i="13"/>
  <c r="O11" i="13"/>
  <c r="N13" i="13"/>
  <c r="O13" i="13"/>
  <c r="O12" i="13"/>
  <c r="N12" i="13"/>
  <c r="N10" i="13"/>
  <c r="O10" i="13"/>
  <c r="O6" i="13"/>
  <c r="N6" i="13"/>
  <c r="O3" i="13"/>
  <c r="N3" i="13"/>
  <c r="O4" i="13"/>
  <c r="N4" i="13"/>
  <c r="N7" i="13"/>
  <c r="O7" i="13"/>
  <c r="N8" i="13"/>
  <c r="O8" i="13"/>
  <c r="O9" i="13"/>
  <c r="N9" i="13"/>
  <c r="O18" i="13"/>
  <c r="N18" i="13"/>
  <c r="J7" i="12"/>
  <c r="O7" i="12" s="1"/>
  <c r="N7" i="12"/>
  <c r="J9" i="12"/>
  <c r="O9" i="12" s="1"/>
  <c r="N9" i="12"/>
  <c r="N8" i="12"/>
  <c r="J8" i="12"/>
  <c r="O8" i="12" s="1"/>
  <c r="J14" i="12"/>
  <c r="O14" i="12" s="1"/>
  <c r="N14" i="12"/>
  <c r="J11" i="12"/>
  <c r="O11" i="12" s="1"/>
  <c r="N11" i="12"/>
  <c r="J6" i="12"/>
  <c r="O6" i="12" s="1"/>
  <c r="N6" i="12"/>
  <c r="N13" i="12"/>
  <c r="J13" i="12"/>
  <c r="O13" i="12" s="1"/>
  <c r="N16" i="12"/>
  <c r="J16" i="12"/>
  <c r="O16" i="12" s="1"/>
  <c r="J3" i="12"/>
  <c r="O3" i="12" s="1"/>
  <c r="N3" i="12"/>
  <c r="J10" i="12"/>
  <c r="O10" i="12" s="1"/>
  <c r="N10" i="12"/>
  <c r="N15" i="12"/>
  <c r="J15" i="12"/>
  <c r="O15" i="12" s="1"/>
  <c r="N12" i="12"/>
  <c r="J12" i="12"/>
  <c r="O12" i="12" s="1"/>
  <c r="J18" i="12"/>
  <c r="O18" i="12" s="1"/>
  <c r="N18" i="12"/>
  <c r="J4" i="12"/>
  <c r="O4" i="12" s="1"/>
  <c r="N4" i="12"/>
  <c r="J17" i="12"/>
  <c r="O17" i="12" s="1"/>
  <c r="N17" i="12"/>
  <c r="N5" i="12"/>
  <c r="J5" i="12"/>
  <c r="O5" i="12" s="1"/>
  <c r="H39" i="11"/>
  <c r="H47" i="11"/>
  <c r="H55" i="11"/>
  <c r="H63" i="11"/>
  <c r="H71" i="11"/>
  <c r="H32" i="11"/>
  <c r="H40" i="11"/>
  <c r="H48" i="11"/>
  <c r="H56" i="11"/>
  <c r="H64" i="11"/>
  <c r="H72" i="11"/>
  <c r="H33" i="11"/>
  <c r="H41" i="11"/>
  <c r="H49" i="11"/>
  <c r="H57" i="11"/>
  <c r="H65" i="11"/>
  <c r="H73" i="11"/>
  <c r="H34" i="11"/>
  <c r="H42" i="11"/>
  <c r="H50" i="11"/>
  <c r="H58" i="11"/>
  <c r="H66" i="11"/>
  <c r="H74" i="11"/>
  <c r="H35" i="11"/>
  <c r="H43" i="11"/>
  <c r="H51" i="11"/>
  <c r="H59" i="11"/>
  <c r="H67" i="11"/>
  <c r="H75" i="11"/>
  <c r="H36" i="11"/>
  <c r="H44" i="11"/>
  <c r="H52" i="11"/>
  <c r="H60" i="11"/>
  <c r="H68" i="11"/>
  <c r="H76" i="11"/>
  <c r="H37" i="11"/>
  <c r="H45" i="11"/>
  <c r="H53" i="11"/>
  <c r="H61" i="11"/>
  <c r="H69" i="11"/>
  <c r="H38" i="11"/>
  <c r="H46" i="11"/>
  <c r="H54" i="11"/>
  <c r="H62" i="11"/>
  <c r="H70" i="11"/>
  <c r="D39" i="11"/>
  <c r="M34" i="11" s="1"/>
  <c r="D47" i="11"/>
  <c r="M42" i="11" s="1"/>
  <c r="D55" i="11"/>
  <c r="M50" i="11" s="1"/>
  <c r="D63" i="11"/>
  <c r="M58" i="11" s="1"/>
  <c r="D71" i="11"/>
  <c r="M66" i="11" s="1"/>
  <c r="D32" i="11"/>
  <c r="M27" i="11" s="1"/>
  <c r="D40" i="11"/>
  <c r="M35" i="11" s="1"/>
  <c r="D48" i="11"/>
  <c r="M43" i="11" s="1"/>
  <c r="D56" i="11"/>
  <c r="M51" i="11" s="1"/>
  <c r="D64" i="11"/>
  <c r="M59" i="11" s="1"/>
  <c r="D72" i="11"/>
  <c r="M67" i="11" s="1"/>
  <c r="D33" i="11"/>
  <c r="M28" i="11" s="1"/>
  <c r="D41" i="11"/>
  <c r="M36" i="11" s="1"/>
  <c r="D49" i="11"/>
  <c r="M44" i="11" s="1"/>
  <c r="D57" i="11"/>
  <c r="M52" i="11" s="1"/>
  <c r="D65" i="11"/>
  <c r="M60" i="11" s="1"/>
  <c r="D73" i="11"/>
  <c r="M68" i="11" s="1"/>
  <c r="D34" i="11"/>
  <c r="M29" i="11" s="1"/>
  <c r="D42" i="11"/>
  <c r="M37" i="11" s="1"/>
  <c r="D50" i="11"/>
  <c r="M45" i="11" s="1"/>
  <c r="D58" i="11"/>
  <c r="M53" i="11" s="1"/>
  <c r="D66" i="11"/>
  <c r="M61" i="11" s="1"/>
  <c r="D74" i="11"/>
  <c r="M69" i="11" s="1"/>
  <c r="D35" i="11"/>
  <c r="M30" i="11" s="1"/>
  <c r="D43" i="11"/>
  <c r="M38" i="11" s="1"/>
  <c r="D51" i="11"/>
  <c r="M46" i="11" s="1"/>
  <c r="D59" i="11"/>
  <c r="M54" i="11" s="1"/>
  <c r="D67" i="11"/>
  <c r="M62" i="11" s="1"/>
  <c r="D75" i="11"/>
  <c r="M70" i="11" s="1"/>
  <c r="D36" i="11"/>
  <c r="M31" i="11" s="1"/>
  <c r="D44" i="11"/>
  <c r="M39" i="11" s="1"/>
  <c r="D52" i="11"/>
  <c r="M47" i="11" s="1"/>
  <c r="D60" i="11"/>
  <c r="M55" i="11" s="1"/>
  <c r="D68" i="11"/>
  <c r="M63" i="11" s="1"/>
  <c r="D76" i="11"/>
  <c r="M71" i="11" s="1"/>
  <c r="D37" i="11"/>
  <c r="M32" i="11" s="1"/>
  <c r="D45" i="11"/>
  <c r="M40" i="11" s="1"/>
  <c r="D53" i="11"/>
  <c r="M48" i="11" s="1"/>
  <c r="D61" i="11"/>
  <c r="M56" i="11" s="1"/>
  <c r="D69" i="11"/>
  <c r="M64" i="11" s="1"/>
  <c r="D38" i="11"/>
  <c r="M33" i="11" s="1"/>
  <c r="D46" i="11"/>
  <c r="M41" i="11" s="1"/>
  <c r="D54" i="11"/>
  <c r="M49" i="11" s="1"/>
  <c r="D62" i="11"/>
  <c r="M57" i="11" s="1"/>
  <c r="D70" i="11"/>
  <c r="M65" i="11" s="1"/>
  <c r="G28" i="11"/>
  <c r="G21" i="11"/>
  <c r="G22" i="11"/>
  <c r="G23" i="11"/>
  <c r="G24" i="11"/>
  <c r="G25" i="11"/>
  <c r="G26" i="11"/>
  <c r="G27" i="11"/>
  <c r="C28" i="11"/>
  <c r="C21" i="11"/>
  <c r="B21" i="11" s="1"/>
  <c r="C22" i="11"/>
  <c r="C23" i="11"/>
  <c r="C24" i="11"/>
  <c r="C25" i="11"/>
  <c r="C26" i="11"/>
  <c r="C27" i="11"/>
  <c r="H10" i="11"/>
  <c r="J10" i="11" s="1"/>
  <c r="H18" i="11"/>
  <c r="J18" i="11" s="1"/>
  <c r="H3" i="11"/>
  <c r="J3" i="11" s="1"/>
  <c r="H11" i="11"/>
  <c r="J11" i="11" s="1"/>
  <c r="H4" i="11"/>
  <c r="J4" i="11" s="1"/>
  <c r="H12" i="11"/>
  <c r="J12" i="11" s="1"/>
  <c r="H5" i="11"/>
  <c r="J5" i="11" s="1"/>
  <c r="H13" i="11"/>
  <c r="J13" i="11" s="1"/>
  <c r="H6" i="11"/>
  <c r="J6" i="11" s="1"/>
  <c r="H14" i="11"/>
  <c r="J14" i="11" s="1"/>
  <c r="H7" i="11"/>
  <c r="J7" i="11" s="1"/>
  <c r="H15" i="11"/>
  <c r="J15" i="11" s="1"/>
  <c r="H8" i="11"/>
  <c r="J8" i="11" s="1"/>
  <c r="H16" i="11"/>
  <c r="J16" i="11" s="1"/>
  <c r="H9" i="11"/>
  <c r="J9" i="11" s="1"/>
  <c r="H17" i="11"/>
  <c r="J17" i="11" s="1"/>
  <c r="B3" i="11"/>
  <c r="C3" i="11" s="1"/>
  <c r="B11" i="11"/>
  <c r="C11" i="11" s="1"/>
  <c r="M11" i="11" s="1"/>
  <c r="B4" i="11"/>
  <c r="C4" i="11" s="1"/>
  <c r="B12" i="11"/>
  <c r="B5" i="11"/>
  <c r="B13" i="11"/>
  <c r="B6" i="11"/>
  <c r="B14" i="11"/>
  <c r="B7" i="11"/>
  <c r="B15" i="11"/>
  <c r="B8" i="11"/>
  <c r="B16" i="11"/>
  <c r="B9" i="11"/>
  <c r="B17" i="11"/>
  <c r="C17" i="11" s="1"/>
  <c r="B10" i="11"/>
  <c r="B18" i="11"/>
  <c r="B28" i="11"/>
  <c r="H39" i="2"/>
  <c r="J39" i="2" s="1"/>
  <c r="H47" i="2"/>
  <c r="J47" i="2" s="1"/>
  <c r="H55" i="2"/>
  <c r="J55" i="2" s="1"/>
  <c r="H63" i="2"/>
  <c r="J63" i="2" s="1"/>
  <c r="H71" i="2"/>
  <c r="J71" i="2" s="1"/>
  <c r="H32" i="2"/>
  <c r="J32" i="2" s="1"/>
  <c r="H40" i="2"/>
  <c r="J40" i="2" s="1"/>
  <c r="H48" i="2"/>
  <c r="J48" i="2" s="1"/>
  <c r="H56" i="2"/>
  <c r="J56" i="2" s="1"/>
  <c r="H64" i="2"/>
  <c r="J64" i="2" s="1"/>
  <c r="H72" i="2"/>
  <c r="H33" i="2"/>
  <c r="J33" i="2" s="1"/>
  <c r="H41" i="2"/>
  <c r="J41" i="2" s="1"/>
  <c r="H49" i="2"/>
  <c r="J49" i="2" s="1"/>
  <c r="H57" i="2"/>
  <c r="J57" i="2" s="1"/>
  <c r="H65" i="2"/>
  <c r="J65" i="2" s="1"/>
  <c r="H73" i="2"/>
  <c r="H34" i="2"/>
  <c r="J34" i="2" s="1"/>
  <c r="H42" i="2"/>
  <c r="J42" i="2" s="1"/>
  <c r="H50" i="2"/>
  <c r="J50" i="2" s="1"/>
  <c r="H58" i="2"/>
  <c r="J58" i="2" s="1"/>
  <c r="H66" i="2"/>
  <c r="J66" i="2" s="1"/>
  <c r="H74" i="2"/>
  <c r="H35" i="2"/>
  <c r="J35" i="2" s="1"/>
  <c r="H43" i="2"/>
  <c r="J43" i="2" s="1"/>
  <c r="H51" i="2"/>
  <c r="J51" i="2" s="1"/>
  <c r="H59" i="2"/>
  <c r="J59" i="2" s="1"/>
  <c r="H67" i="2"/>
  <c r="J67" i="2" s="1"/>
  <c r="H75" i="2"/>
  <c r="H36" i="2"/>
  <c r="J36" i="2" s="1"/>
  <c r="H44" i="2"/>
  <c r="J44" i="2" s="1"/>
  <c r="H52" i="2"/>
  <c r="J52" i="2" s="1"/>
  <c r="H60" i="2"/>
  <c r="J60" i="2" s="1"/>
  <c r="H68" i="2"/>
  <c r="J68" i="2" s="1"/>
  <c r="H76" i="2"/>
  <c r="H37" i="2"/>
  <c r="J37" i="2" s="1"/>
  <c r="H45" i="2"/>
  <c r="J45" i="2" s="1"/>
  <c r="H53" i="2"/>
  <c r="J53" i="2" s="1"/>
  <c r="H61" i="2"/>
  <c r="J61" i="2" s="1"/>
  <c r="H69" i="2"/>
  <c r="J69" i="2" s="1"/>
  <c r="H38" i="2"/>
  <c r="J38" i="2" s="1"/>
  <c r="H46" i="2"/>
  <c r="J46" i="2" s="1"/>
  <c r="H54" i="2"/>
  <c r="J54" i="2" s="1"/>
  <c r="H62" i="2"/>
  <c r="J62" i="2" s="1"/>
  <c r="H70" i="2"/>
  <c r="J70" i="2" s="1"/>
  <c r="D39" i="2"/>
  <c r="M34" i="2" s="1"/>
  <c r="D47" i="2"/>
  <c r="M42" i="2" s="1"/>
  <c r="D55" i="2"/>
  <c r="M50" i="2" s="1"/>
  <c r="D63" i="2"/>
  <c r="M58" i="2" s="1"/>
  <c r="D71" i="2"/>
  <c r="M66" i="2" s="1"/>
  <c r="D32" i="2"/>
  <c r="M27" i="2" s="1"/>
  <c r="D40" i="2"/>
  <c r="M35" i="2" s="1"/>
  <c r="D48" i="2"/>
  <c r="M43" i="2" s="1"/>
  <c r="D56" i="2"/>
  <c r="M51" i="2" s="1"/>
  <c r="D64" i="2"/>
  <c r="M59" i="2" s="1"/>
  <c r="D72" i="2"/>
  <c r="M67" i="2" s="1"/>
  <c r="D33" i="2"/>
  <c r="M28" i="2" s="1"/>
  <c r="D41" i="2"/>
  <c r="M36" i="2" s="1"/>
  <c r="D49" i="2"/>
  <c r="M44" i="2" s="1"/>
  <c r="D57" i="2"/>
  <c r="M52" i="2" s="1"/>
  <c r="D65" i="2"/>
  <c r="M60" i="2" s="1"/>
  <c r="D73" i="2"/>
  <c r="M68" i="2" s="1"/>
  <c r="D34" i="2"/>
  <c r="M29" i="2" s="1"/>
  <c r="D42" i="2"/>
  <c r="M37" i="2" s="1"/>
  <c r="D50" i="2"/>
  <c r="M45" i="2" s="1"/>
  <c r="D58" i="2"/>
  <c r="M53" i="2" s="1"/>
  <c r="D66" i="2"/>
  <c r="M61" i="2" s="1"/>
  <c r="D74" i="2"/>
  <c r="M69" i="2" s="1"/>
  <c r="D35" i="2"/>
  <c r="M30" i="2" s="1"/>
  <c r="D43" i="2"/>
  <c r="M38" i="2" s="1"/>
  <c r="D51" i="2"/>
  <c r="M46" i="2" s="1"/>
  <c r="D59" i="2"/>
  <c r="M54" i="2" s="1"/>
  <c r="D67" i="2"/>
  <c r="M62" i="2" s="1"/>
  <c r="D75" i="2"/>
  <c r="M70" i="2" s="1"/>
  <c r="D36" i="2"/>
  <c r="M31" i="2" s="1"/>
  <c r="D44" i="2"/>
  <c r="M39" i="2" s="1"/>
  <c r="D52" i="2"/>
  <c r="M47" i="2" s="1"/>
  <c r="D60" i="2"/>
  <c r="M55" i="2" s="1"/>
  <c r="D68" i="2"/>
  <c r="M63" i="2" s="1"/>
  <c r="D76" i="2"/>
  <c r="M71" i="2" s="1"/>
  <c r="D37" i="2"/>
  <c r="M32" i="2" s="1"/>
  <c r="D45" i="2"/>
  <c r="M40" i="2" s="1"/>
  <c r="D53" i="2"/>
  <c r="M48" i="2" s="1"/>
  <c r="D61" i="2"/>
  <c r="M56" i="2" s="1"/>
  <c r="D69" i="2"/>
  <c r="M64" i="2" s="1"/>
  <c r="D38" i="2"/>
  <c r="M33" i="2" s="1"/>
  <c r="D46" i="2"/>
  <c r="M41" i="2" s="1"/>
  <c r="D54" i="2"/>
  <c r="M49" i="2" s="1"/>
  <c r="D62" i="2"/>
  <c r="M57" i="2" s="1"/>
  <c r="D70" i="2"/>
  <c r="M65" i="2" s="1"/>
  <c r="G28" i="2"/>
  <c r="G21" i="2"/>
  <c r="G22" i="2"/>
  <c r="G23" i="2"/>
  <c r="G24" i="2"/>
  <c r="G25" i="2"/>
  <c r="G26" i="2"/>
  <c r="G27" i="2"/>
  <c r="C28" i="2"/>
  <c r="B28" i="2" s="1"/>
  <c r="C21" i="2"/>
  <c r="C22" i="2"/>
  <c r="C23" i="2"/>
  <c r="C24" i="2"/>
  <c r="C25" i="2"/>
  <c r="C26" i="2"/>
  <c r="C27" i="2"/>
  <c r="H10" i="2"/>
  <c r="J10" i="2" s="1"/>
  <c r="H18" i="2"/>
  <c r="J18" i="2" s="1"/>
  <c r="H3" i="2"/>
  <c r="J3" i="2" s="1"/>
  <c r="H11" i="2"/>
  <c r="J11" i="2" s="1"/>
  <c r="H4" i="2"/>
  <c r="J4" i="2" s="1"/>
  <c r="H12" i="2"/>
  <c r="J12" i="2" s="1"/>
  <c r="H5" i="2"/>
  <c r="J5" i="2" s="1"/>
  <c r="H13" i="2"/>
  <c r="J13" i="2" s="1"/>
  <c r="H6" i="2"/>
  <c r="J6" i="2" s="1"/>
  <c r="H14" i="2"/>
  <c r="J14" i="2" s="1"/>
  <c r="H7" i="2"/>
  <c r="J7" i="2" s="1"/>
  <c r="H15" i="2"/>
  <c r="J15" i="2" s="1"/>
  <c r="H8" i="2"/>
  <c r="J8" i="2" s="1"/>
  <c r="H16" i="2"/>
  <c r="J16" i="2" s="1"/>
  <c r="H9" i="2"/>
  <c r="J9" i="2" s="1"/>
  <c r="H17" i="2"/>
  <c r="J17" i="2" s="1"/>
  <c r="B10" i="2"/>
  <c r="C10" i="2" s="1"/>
  <c r="B18" i="2"/>
  <c r="B3" i="2"/>
  <c r="C3" i="2" s="1"/>
  <c r="B11" i="2"/>
  <c r="C11" i="2" s="1"/>
  <c r="B4" i="2"/>
  <c r="C4" i="2" s="1"/>
  <c r="B12" i="2"/>
  <c r="C12" i="2" s="1"/>
  <c r="B5" i="2"/>
  <c r="C5" i="2" s="1"/>
  <c r="B13" i="2"/>
  <c r="C13" i="2" s="1"/>
  <c r="B6" i="2"/>
  <c r="C6" i="2" s="1"/>
  <c r="B14" i="2"/>
  <c r="C14" i="2" s="1"/>
  <c r="B7" i="2"/>
  <c r="C7" i="2" s="1"/>
  <c r="B15" i="2"/>
  <c r="B8" i="2"/>
  <c r="C8" i="2" s="1"/>
  <c r="B16" i="2"/>
  <c r="B9" i="2"/>
  <c r="C9" i="2" s="1"/>
  <c r="B17" i="2"/>
  <c r="C17" i="2" s="1"/>
  <c r="C15" i="2"/>
  <c r="C16" i="2"/>
  <c r="D24" i="2"/>
  <c r="D25" i="11"/>
  <c r="D26" i="11"/>
  <c r="D26" i="2"/>
  <c r="D22" i="11"/>
  <c r="D23" i="11"/>
  <c r="D27" i="11"/>
  <c r="D22" i="2"/>
  <c r="D21" i="2"/>
  <c r="D28" i="11"/>
  <c r="D25" i="2"/>
  <c r="D23" i="2"/>
  <c r="D27" i="2"/>
  <c r="D28" i="2"/>
  <c r="D21" i="11"/>
  <c r="D24" i="11"/>
  <c r="S3" i="14" a="1"/>
  <c r="O12" i="14"/>
  <c r="P12" i="14"/>
  <c r="K12" i="14"/>
  <c r="J12" i="14"/>
  <c r="O10" i="14"/>
  <c r="P10" i="14"/>
  <c r="K10" i="14"/>
  <c r="J10" i="14"/>
  <c r="O16" i="14"/>
  <c r="P16" i="14"/>
  <c r="K16" i="14"/>
  <c r="J16" i="14"/>
  <c r="O14" i="14"/>
  <c r="P14" i="14"/>
  <c r="K14" i="14"/>
  <c r="J14" i="14"/>
  <c r="O8" i="14"/>
  <c r="P8" i="14"/>
  <c r="K8" i="14"/>
  <c r="J8" i="14"/>
  <c r="O17" i="14"/>
  <c r="P17" i="14"/>
  <c r="K17" i="14"/>
  <c r="J17" i="14"/>
  <c r="O11" i="14"/>
  <c r="P11" i="14"/>
  <c r="K11" i="14"/>
  <c r="J11" i="14"/>
  <c r="O7" i="14"/>
  <c r="P7" i="14"/>
  <c r="K7" i="14"/>
  <c r="J7" i="14"/>
  <c r="O15" i="14"/>
  <c r="P15" i="14"/>
  <c r="K15" i="14"/>
  <c r="J15" i="14"/>
  <c r="O4" i="14"/>
  <c r="P4" i="14"/>
  <c r="K4" i="14"/>
  <c r="J4" i="14"/>
  <c r="O9" i="14"/>
  <c r="P9" i="14"/>
  <c r="K9" i="14"/>
  <c r="J9" i="14"/>
  <c r="O5" i="14"/>
  <c r="P5" i="14"/>
  <c r="K5" i="14"/>
  <c r="J5" i="14"/>
  <c r="O13" i="14"/>
  <c r="P13" i="14"/>
  <c r="K13" i="14"/>
  <c r="J13" i="14"/>
  <c r="O3" i="14"/>
  <c r="P3" i="14"/>
  <c r="K3" i="14"/>
  <c r="J3" i="14"/>
  <c r="J6" i="14"/>
  <c r="K6" i="14"/>
  <c r="O6" i="14"/>
  <c r="P6" i="14"/>
  <c r="I52" i="11"/>
  <c r="I69" i="11"/>
  <c r="I23" i="11"/>
  <c r="I47" i="11"/>
  <c r="I42" i="11"/>
  <c r="I59" i="11"/>
  <c r="I65" i="11"/>
  <c r="I76" i="11"/>
  <c r="I75" i="11"/>
  <c r="I53" i="11"/>
  <c r="I23" i="2"/>
  <c r="I21" i="2"/>
  <c r="I50" i="11"/>
  <c r="I38" i="11"/>
  <c r="I24" i="11"/>
  <c r="I41" i="11"/>
  <c r="I74" i="11"/>
  <c r="Q3" i="12" a="1"/>
  <c r="I27" i="2"/>
  <c r="I46" i="11"/>
  <c r="I22" i="11"/>
  <c r="I26" i="2"/>
  <c r="I22" i="2"/>
  <c r="I35" i="11"/>
  <c r="I28" i="2"/>
  <c r="I51" i="11"/>
  <c r="I24" i="2"/>
  <c r="I25" i="2"/>
  <c r="I57" i="11"/>
  <c r="I48" i="11"/>
  <c r="I68" i="11"/>
  <c r="I55" i="11"/>
  <c r="I27" i="11"/>
  <c r="I37" i="11"/>
  <c r="I45" i="11"/>
  <c r="I43" i="11"/>
  <c r="I71" i="11"/>
  <c r="I44" i="11"/>
  <c r="I61" i="11"/>
  <c r="I33" i="11"/>
  <c r="I40" i="11"/>
  <c r="I60" i="11"/>
  <c r="I64" i="11"/>
  <c r="I26" i="11"/>
  <c r="I49" i="11"/>
  <c r="I36" i="11"/>
  <c r="I32" i="11"/>
  <c r="I72" i="11"/>
  <c r="I56" i="11"/>
  <c r="I62" i="11"/>
  <c r="I73" i="11"/>
  <c r="I66" i="11"/>
  <c r="I25" i="11"/>
  <c r="I28" i="11"/>
  <c r="I67" i="11"/>
  <c r="P3" i="12" a="1"/>
  <c r="I34" i="11"/>
  <c r="I58" i="11"/>
  <c r="I54" i="11"/>
  <c r="I39" i="11"/>
  <c r="I21" i="11"/>
  <c r="I70" i="11"/>
  <c r="I63" i="11"/>
  <c r="R3" i="12" a="1"/>
  <c r="S39" i="14" l="1"/>
  <c r="S11" i="14"/>
  <c r="S20" i="14"/>
  <c r="S29" i="14"/>
  <c r="S38" i="14"/>
  <c r="S47" i="14"/>
  <c r="S56" i="14"/>
  <c r="S10" i="14"/>
  <c r="S19" i="14"/>
  <c r="S28" i="14"/>
  <c r="S37" i="14"/>
  <c r="S46" i="14"/>
  <c r="S55" i="14"/>
  <c r="S9" i="14"/>
  <c r="S18" i="14"/>
  <c r="S27" i="14"/>
  <c r="S36" i="14"/>
  <c r="S45" i="14"/>
  <c r="S54" i="14"/>
  <c r="S8" i="14"/>
  <c r="S17" i="14"/>
  <c r="S26" i="14"/>
  <c r="S35" i="14"/>
  <c r="S44" i="14"/>
  <c r="S53" i="14"/>
  <c r="S7" i="14"/>
  <c r="S16" i="14"/>
  <c r="S25" i="14"/>
  <c r="S34" i="14"/>
  <c r="S43" i="14"/>
  <c r="S52" i="14"/>
  <c r="S6" i="14"/>
  <c r="S15" i="14"/>
  <c r="S24" i="14"/>
  <c r="S33" i="14"/>
  <c r="S42" i="14"/>
  <c r="S51" i="14"/>
  <c r="S5" i="14"/>
  <c r="S14" i="14"/>
  <c r="S23" i="14"/>
  <c r="S32" i="14"/>
  <c r="S41" i="14"/>
  <c r="S50" i="14"/>
  <c r="S4" i="14"/>
  <c r="S13" i="14"/>
  <c r="S22" i="14"/>
  <c r="S31" i="14"/>
  <c r="S40" i="14"/>
  <c r="S49" i="14"/>
  <c r="S3" i="14"/>
  <c r="S12" i="14"/>
  <c r="S21" i="14"/>
  <c r="S30" i="14"/>
  <c r="S48" i="14"/>
  <c r="R10" i="12"/>
  <c r="R33" i="12"/>
  <c r="R40" i="12"/>
  <c r="R58" i="12"/>
  <c r="R29" i="12"/>
  <c r="R71" i="12"/>
  <c r="R35" i="12"/>
  <c r="R23" i="12"/>
  <c r="R15" i="12"/>
  <c r="R11" i="12"/>
  <c r="R60" i="12"/>
  <c r="R4" i="12"/>
  <c r="R59" i="12"/>
  <c r="R30" i="12"/>
  <c r="R9" i="12"/>
  <c r="R36" i="12"/>
  <c r="R34" i="12"/>
  <c r="R44" i="12"/>
  <c r="R14" i="12"/>
  <c r="R68" i="12"/>
  <c r="R61" i="12"/>
  <c r="R24" i="12"/>
  <c r="R3" i="12"/>
  <c r="R18" i="12"/>
  <c r="R41" i="12"/>
  <c r="R12" i="12"/>
  <c r="R38" i="12"/>
  <c r="R17" i="12"/>
  <c r="R69" i="12"/>
  <c r="R65" i="12"/>
  <c r="R57" i="12"/>
  <c r="R67" i="12"/>
  <c r="R50" i="12"/>
  <c r="R21" i="12"/>
  <c r="R63" i="12"/>
  <c r="R27" i="12"/>
  <c r="R16" i="12"/>
  <c r="R70" i="12"/>
  <c r="R51" i="12"/>
  <c r="R53" i="12"/>
  <c r="R13" i="12"/>
  <c r="R55" i="12"/>
  <c r="R19" i="12"/>
  <c r="R45" i="12"/>
  <c r="R6" i="12"/>
  <c r="R7" i="12"/>
  <c r="R48" i="12"/>
  <c r="R46" i="12"/>
  <c r="R22" i="12"/>
  <c r="R64" i="12"/>
  <c r="R28" i="12"/>
  <c r="R8" i="12"/>
  <c r="R49" i="12"/>
  <c r="R39" i="12"/>
  <c r="R37" i="12"/>
  <c r="R32" i="12"/>
  <c r="R62" i="12"/>
  <c r="R54" i="12"/>
  <c r="R25" i="12"/>
  <c r="R47" i="12"/>
  <c r="R26" i="12"/>
  <c r="R31" i="12"/>
  <c r="R42" i="12"/>
  <c r="R56" i="12"/>
  <c r="R5" i="12"/>
  <c r="R43" i="12"/>
  <c r="R66" i="12"/>
  <c r="R20" i="12"/>
  <c r="R52" i="12"/>
  <c r="Q64" i="12"/>
  <c r="Q9" i="12"/>
  <c r="Q26" i="12"/>
  <c r="Q11" i="12"/>
  <c r="Q44" i="12"/>
  <c r="Q61" i="12"/>
  <c r="Q68" i="12"/>
  <c r="Q23" i="12"/>
  <c r="Q28" i="12"/>
  <c r="Q36" i="12"/>
  <c r="Q4" i="12"/>
  <c r="Q37" i="12"/>
  <c r="Q54" i="12"/>
  <c r="Q41" i="12"/>
  <c r="Q67" i="12"/>
  <c r="Q6" i="12"/>
  <c r="Q33" i="12"/>
  <c r="Q65" i="12"/>
  <c r="Q10" i="12"/>
  <c r="Q3" i="12"/>
  <c r="Q20" i="12"/>
  <c r="Q53" i="12"/>
  <c r="Q70" i="12"/>
  <c r="Q31" i="12"/>
  <c r="Q49" i="12"/>
  <c r="Q35" i="12"/>
  <c r="Q43" i="12"/>
  <c r="Q50" i="12"/>
  <c r="Q12" i="12"/>
  <c r="Q45" i="12"/>
  <c r="Q62" i="12"/>
  <c r="Q24" i="12"/>
  <c r="Q57" i="12"/>
  <c r="Q59" i="12"/>
  <c r="Q16" i="12"/>
  <c r="Q21" i="12"/>
  <c r="Q29" i="12"/>
  <c r="Q13" i="12"/>
  <c r="Q46" i="12"/>
  <c r="Q63" i="12"/>
  <c r="Q66" i="12"/>
  <c r="Q5" i="12"/>
  <c r="Q40" i="12"/>
  <c r="Q15" i="12"/>
  <c r="Q25" i="12"/>
  <c r="Q32" i="12"/>
  <c r="Q8" i="12"/>
  <c r="Q42" i="12"/>
  <c r="Q39" i="12"/>
  <c r="Q38" i="12"/>
  <c r="Q19" i="12"/>
  <c r="Q18" i="12"/>
  <c r="Q47" i="12"/>
  <c r="Q58" i="12"/>
  <c r="Q51" i="12"/>
  <c r="Q14" i="12"/>
  <c r="Q56" i="12"/>
  <c r="Q27" i="12"/>
  <c r="Q30" i="12"/>
  <c r="Q7" i="12"/>
  <c r="Q55" i="12"/>
  <c r="Q52" i="12"/>
  <c r="Q48" i="12"/>
  <c r="Q71" i="12"/>
  <c r="Q17" i="12"/>
  <c r="Q60" i="12"/>
  <c r="Q22" i="12"/>
  <c r="Q34" i="12"/>
  <c r="Q69" i="12"/>
  <c r="P5" i="12"/>
  <c r="P20" i="12"/>
  <c r="P35" i="12"/>
  <c r="P31" i="12"/>
  <c r="P60" i="12"/>
  <c r="P71" i="12"/>
  <c r="P50" i="12"/>
  <c r="P41" i="12"/>
  <c r="P23" i="12"/>
  <c r="P55" i="12"/>
  <c r="P70" i="12"/>
  <c r="P14" i="12"/>
  <c r="P52" i="12"/>
  <c r="P9" i="12"/>
  <c r="P59" i="12"/>
  <c r="P54" i="12"/>
  <c r="P58" i="12"/>
  <c r="P26" i="12"/>
  <c r="P56" i="12"/>
  <c r="P3" i="12"/>
  <c r="P46" i="12"/>
  <c r="P69" i="12"/>
  <c r="P13" i="12"/>
  <c r="P28" i="12"/>
  <c r="P40" i="12"/>
  <c r="P30" i="12"/>
  <c r="P17" i="12"/>
  <c r="P67" i="12"/>
  <c r="P53" i="12"/>
  <c r="P65" i="12"/>
  <c r="P62" i="12"/>
  <c r="P6" i="12"/>
  <c r="P21" i="12"/>
  <c r="P11" i="12"/>
  <c r="P47" i="12"/>
  <c r="P18" i="12"/>
  <c r="P37" i="12"/>
  <c r="P32" i="12"/>
  <c r="P48" i="12"/>
  <c r="P63" i="12"/>
  <c r="P7" i="12"/>
  <c r="P22" i="12"/>
  <c r="P10" i="12"/>
  <c r="P29" i="12"/>
  <c r="P16" i="12"/>
  <c r="P45" i="12"/>
  <c r="P49" i="12"/>
  <c r="P39" i="12"/>
  <c r="P51" i="12"/>
  <c r="P19" i="12"/>
  <c r="P64" i="12"/>
  <c r="P15" i="12"/>
  <c r="P12" i="12"/>
  <c r="P43" i="12"/>
  <c r="P24" i="12"/>
  <c r="P34" i="12"/>
  <c r="P68" i="12"/>
  <c r="P66" i="12"/>
  <c r="P27" i="12"/>
  <c r="P38" i="12"/>
  <c r="P36" i="12"/>
  <c r="P57" i="12"/>
  <c r="P8" i="12"/>
  <c r="P42" i="12"/>
  <c r="P25" i="12"/>
  <c r="P44" i="12"/>
  <c r="P33" i="12"/>
  <c r="P61" i="12"/>
  <c r="P4" i="12"/>
  <c r="J46" i="11"/>
  <c r="J51" i="11"/>
  <c r="J64" i="11"/>
  <c r="J60" i="11"/>
  <c r="J25" i="11"/>
  <c r="J69" i="11"/>
  <c r="J52" i="11"/>
  <c r="J35" i="11"/>
  <c r="J48" i="11"/>
  <c r="J40" i="11"/>
  <c r="J23" i="11"/>
  <c r="J66" i="11"/>
  <c r="J70" i="11"/>
  <c r="J75" i="11"/>
  <c r="O70" i="11" s="1"/>
  <c r="J71" i="11"/>
  <c r="J62" i="11"/>
  <c r="J67" i="11"/>
  <c r="J50" i="11"/>
  <c r="J63" i="11"/>
  <c r="J27" i="11"/>
  <c r="J68" i="11"/>
  <c r="J34" i="11"/>
  <c r="J47" i="11"/>
  <c r="J26" i="11"/>
  <c r="J38" i="11"/>
  <c r="J43" i="11"/>
  <c r="J73" i="11"/>
  <c r="O68" i="11" s="1"/>
  <c r="J56" i="11"/>
  <c r="J39" i="11"/>
  <c r="J65" i="11"/>
  <c r="J24" i="11"/>
  <c r="J61" i="11"/>
  <c r="J44" i="11"/>
  <c r="J74" i="11"/>
  <c r="O69" i="11" s="1"/>
  <c r="J57" i="11"/>
  <c r="J53" i="11"/>
  <c r="J36" i="11"/>
  <c r="J49" i="11"/>
  <c r="J32" i="11"/>
  <c r="J22" i="11"/>
  <c r="J45" i="11"/>
  <c r="J58" i="11"/>
  <c r="J41" i="11"/>
  <c r="J21" i="11"/>
  <c r="J37" i="11"/>
  <c r="J33" i="11"/>
  <c r="J28" i="11"/>
  <c r="J54" i="11"/>
  <c r="J76" i="11"/>
  <c r="O71" i="11" s="1"/>
  <c r="J59" i="11"/>
  <c r="J42" i="11"/>
  <c r="J72" i="11"/>
  <c r="J55" i="11"/>
  <c r="J22" i="2"/>
  <c r="J75" i="2"/>
  <c r="O70" i="2" s="1"/>
  <c r="J21" i="2"/>
  <c r="J76" i="2"/>
  <c r="O71" i="2" s="1"/>
  <c r="J26" i="2"/>
  <c r="J28" i="2"/>
  <c r="J72" i="2"/>
  <c r="O67" i="2" s="1"/>
  <c r="J27" i="2"/>
  <c r="J73" i="2"/>
  <c r="J25" i="2"/>
  <c r="J24" i="2"/>
  <c r="J74" i="2"/>
  <c r="O69" i="2" s="1"/>
  <c r="J23" i="2"/>
  <c r="B26" i="11"/>
  <c r="B25" i="11"/>
  <c r="B22" i="11"/>
  <c r="B27" i="11"/>
  <c r="B24" i="11"/>
  <c r="B23" i="11"/>
  <c r="B27" i="2"/>
  <c r="F17" i="11"/>
  <c r="E17" i="11"/>
  <c r="C14" i="11"/>
  <c r="D14" i="11" s="1"/>
  <c r="C10" i="11"/>
  <c r="M17" i="11"/>
  <c r="C13" i="11"/>
  <c r="M13" i="11" s="1"/>
  <c r="C9" i="11"/>
  <c r="D9" i="11" s="1"/>
  <c r="C5" i="11"/>
  <c r="D5" i="11" s="1"/>
  <c r="C12" i="11"/>
  <c r="F4" i="11"/>
  <c r="E4" i="11"/>
  <c r="C18" i="11"/>
  <c r="D18" i="11" s="1"/>
  <c r="C6" i="11"/>
  <c r="D6" i="11" s="1"/>
  <c r="M4" i="11"/>
  <c r="C8" i="11"/>
  <c r="F11" i="11"/>
  <c r="E11" i="11"/>
  <c r="C7" i="11"/>
  <c r="M7" i="11" s="1"/>
  <c r="E3" i="11"/>
  <c r="F3" i="11"/>
  <c r="E17" i="2"/>
  <c r="F17" i="2"/>
  <c r="F5" i="2"/>
  <c r="E5" i="2"/>
  <c r="F9" i="2"/>
  <c r="E9" i="2"/>
  <c r="F16" i="2"/>
  <c r="E16" i="2"/>
  <c r="F8" i="2"/>
  <c r="E8" i="2"/>
  <c r="F15" i="2"/>
  <c r="E15" i="2"/>
  <c r="E3" i="2"/>
  <c r="F3" i="2"/>
  <c r="F12" i="2"/>
  <c r="E12" i="2"/>
  <c r="E4" i="2"/>
  <c r="F4" i="2"/>
  <c r="F11" i="2"/>
  <c r="E11" i="2"/>
  <c r="F7" i="2"/>
  <c r="E7" i="2"/>
  <c r="F14" i="2"/>
  <c r="E14" i="2"/>
  <c r="C18" i="2"/>
  <c r="F6" i="2"/>
  <c r="E6" i="2"/>
  <c r="F10" i="2"/>
  <c r="E10" i="2"/>
  <c r="F13" i="2"/>
  <c r="E13" i="2"/>
  <c r="M23" i="11"/>
  <c r="N55" i="11"/>
  <c r="N68" i="11"/>
  <c r="M25" i="11"/>
  <c r="N47" i="11"/>
  <c r="N43" i="11"/>
  <c r="M21" i="11"/>
  <c r="N70" i="11"/>
  <c r="N36" i="11"/>
  <c r="N66" i="11"/>
  <c r="N29" i="11"/>
  <c r="N33" i="11"/>
  <c r="N51" i="11"/>
  <c r="M20" i="11"/>
  <c r="N56" i="11"/>
  <c r="N39" i="11"/>
  <c r="N52" i="11"/>
  <c r="N35" i="11"/>
  <c r="N61" i="11"/>
  <c r="N65" i="11"/>
  <c r="N41" i="11"/>
  <c r="N63" i="11"/>
  <c r="N46" i="11"/>
  <c r="N59" i="11"/>
  <c r="N42" i="11"/>
  <c r="N38" i="11"/>
  <c r="N34" i="11"/>
  <c r="M19" i="11"/>
  <c r="N64" i="11"/>
  <c r="N30" i="11"/>
  <c r="N60" i="11"/>
  <c r="N69" i="11"/>
  <c r="N48" i="11"/>
  <c r="N31" i="11"/>
  <c r="N44" i="11"/>
  <c r="N27" i="11"/>
  <c r="M22" i="11"/>
  <c r="N40" i="11"/>
  <c r="N53" i="11"/>
  <c r="M26" i="11"/>
  <c r="N57" i="11"/>
  <c r="N32" i="11"/>
  <c r="N62" i="11"/>
  <c r="N45" i="11"/>
  <c r="N28" i="11"/>
  <c r="N58" i="11"/>
  <c r="M24" i="11"/>
  <c r="N49" i="11"/>
  <c r="N71" i="11"/>
  <c r="N54" i="11"/>
  <c r="N37" i="11"/>
  <c r="N67" i="11"/>
  <c r="N50" i="11"/>
  <c r="M3" i="11"/>
  <c r="M25" i="2"/>
  <c r="M26" i="2"/>
  <c r="O67" i="11"/>
  <c r="D3" i="11"/>
  <c r="D17" i="11"/>
  <c r="D11" i="11"/>
  <c r="D4" i="11"/>
  <c r="O68" i="2"/>
  <c r="C15" i="11"/>
  <c r="C16" i="11"/>
  <c r="V10" i="14"/>
  <c r="V36" i="14"/>
  <c r="V7" i="14"/>
  <c r="V33" i="14"/>
  <c r="V4" i="14"/>
  <c r="V56" i="14"/>
  <c r="V52" i="14"/>
  <c r="V27" i="14"/>
  <c r="V53" i="14"/>
  <c r="V24" i="14"/>
  <c r="V50" i="14"/>
  <c r="V21" i="14"/>
  <c r="V9" i="14"/>
  <c r="V14" i="14"/>
  <c r="V44" i="14"/>
  <c r="V15" i="14"/>
  <c r="V41" i="14"/>
  <c r="V12" i="14"/>
  <c r="V47" i="14"/>
  <c r="V43" i="14"/>
  <c r="V31" i="14"/>
  <c r="V6" i="14"/>
  <c r="V32" i="14"/>
  <c r="V3" i="14"/>
  <c r="V38" i="14"/>
  <c r="V55" i="14"/>
  <c r="V5" i="14"/>
  <c r="V48" i="14"/>
  <c r="V23" i="14"/>
  <c r="V49" i="14"/>
  <c r="V29" i="14"/>
  <c r="V46" i="14"/>
  <c r="V34" i="14"/>
  <c r="V22" i="14"/>
  <c r="V17" i="14"/>
  <c r="V40" i="14"/>
  <c r="V20" i="14"/>
  <c r="V37" i="14"/>
  <c r="V8" i="14"/>
  <c r="V51" i="14"/>
  <c r="V39" i="14"/>
  <c r="V26" i="14"/>
  <c r="V11" i="14"/>
  <c r="V28" i="14"/>
  <c r="V54" i="14"/>
  <c r="V25" i="14"/>
  <c r="V13" i="14"/>
  <c r="V18" i="14"/>
  <c r="V19" i="14"/>
  <c r="V45" i="14"/>
  <c r="V16" i="14"/>
  <c r="V42" i="14"/>
  <c r="V30" i="14"/>
  <c r="V35" i="14"/>
  <c r="T10" i="14"/>
  <c r="X10" i="14"/>
  <c r="T36" i="14"/>
  <c r="X36" i="14"/>
  <c r="T7" i="14"/>
  <c r="X7" i="14"/>
  <c r="T33" i="14"/>
  <c r="X33" i="14"/>
  <c r="T4" i="14"/>
  <c r="X4" i="14"/>
  <c r="T56" i="14"/>
  <c r="X56" i="14"/>
  <c r="T52" i="14"/>
  <c r="X52" i="14"/>
  <c r="T27" i="14"/>
  <c r="X27" i="14"/>
  <c r="T53" i="14"/>
  <c r="X53" i="14"/>
  <c r="T24" i="14"/>
  <c r="X24" i="14"/>
  <c r="T50" i="14"/>
  <c r="X50" i="14"/>
  <c r="T21" i="14"/>
  <c r="X21" i="14"/>
  <c r="T9" i="14"/>
  <c r="X9" i="14"/>
  <c r="T14" i="14"/>
  <c r="X14" i="14"/>
  <c r="T44" i="14"/>
  <c r="X44" i="14"/>
  <c r="T15" i="14"/>
  <c r="X15" i="14"/>
  <c r="T41" i="14"/>
  <c r="X41" i="14"/>
  <c r="T12" i="14"/>
  <c r="X12" i="14"/>
  <c r="T47" i="14"/>
  <c r="X47" i="14"/>
  <c r="T43" i="14"/>
  <c r="X43" i="14"/>
  <c r="T31" i="14"/>
  <c r="X31" i="14"/>
  <c r="T6" i="14"/>
  <c r="X6" i="14"/>
  <c r="T32" i="14"/>
  <c r="X32" i="14"/>
  <c r="X3" i="14"/>
  <c r="T38" i="14"/>
  <c r="X38" i="14"/>
  <c r="T55" i="14"/>
  <c r="X55" i="14"/>
  <c r="T5" i="14"/>
  <c r="X5" i="14"/>
  <c r="T48" i="14"/>
  <c r="X48" i="14"/>
  <c r="T23" i="14"/>
  <c r="X23" i="14"/>
  <c r="T49" i="14"/>
  <c r="X49" i="14"/>
  <c r="T29" i="14"/>
  <c r="X29" i="14"/>
  <c r="T46" i="14"/>
  <c r="X46" i="14"/>
  <c r="T34" i="14"/>
  <c r="X34" i="14"/>
  <c r="T22" i="14"/>
  <c r="X22" i="14"/>
  <c r="T17" i="14"/>
  <c r="X17" i="14"/>
  <c r="T40" i="14"/>
  <c r="X40" i="14"/>
  <c r="T20" i="14"/>
  <c r="X20" i="14"/>
  <c r="T37" i="14"/>
  <c r="X37" i="14"/>
  <c r="T8" i="14"/>
  <c r="X8" i="14"/>
  <c r="T51" i="14"/>
  <c r="X51" i="14"/>
  <c r="T39" i="14"/>
  <c r="X39" i="14"/>
  <c r="T26" i="14"/>
  <c r="X26" i="14"/>
  <c r="T11" i="14"/>
  <c r="X11" i="14"/>
  <c r="T28" i="14"/>
  <c r="X28" i="14"/>
  <c r="T54" i="14"/>
  <c r="X54" i="14"/>
  <c r="T25" i="14"/>
  <c r="X25" i="14"/>
  <c r="T13" i="14"/>
  <c r="X13" i="14"/>
  <c r="T18" i="14"/>
  <c r="X18" i="14"/>
  <c r="T19" i="14"/>
  <c r="X19" i="14"/>
  <c r="T45" i="14"/>
  <c r="X45" i="14"/>
  <c r="T16" i="14"/>
  <c r="X16" i="14"/>
  <c r="T42" i="14"/>
  <c r="X42" i="14"/>
  <c r="T30" i="14"/>
  <c r="X30" i="14"/>
  <c r="T35" i="14"/>
  <c r="X35" i="14"/>
  <c r="S33" i="12"/>
  <c r="I18" i="11"/>
  <c r="S36" i="12"/>
  <c r="S22" i="12"/>
  <c r="S71" i="12"/>
  <c r="S20" i="12"/>
  <c r="S68" i="12"/>
  <c r="S52" i="12"/>
  <c r="S8" i="12"/>
  <c r="S17" i="12"/>
  <c r="S9" i="12"/>
  <c r="S11" i="12"/>
  <c r="S61" i="12"/>
  <c r="I4" i="11"/>
  <c r="S44" i="12"/>
  <c r="S28" i="12"/>
  <c r="S54" i="12"/>
  <c r="S27" i="12"/>
  <c r="S45" i="12"/>
  <c r="S63" i="12"/>
  <c r="S24" i="12"/>
  <c r="I17" i="11"/>
  <c r="S69" i="12"/>
  <c r="S49" i="12"/>
  <c r="S62" i="12"/>
  <c r="S13" i="12"/>
  <c r="S70" i="12"/>
  <c r="S60" i="12"/>
  <c r="S64" i="12"/>
  <c r="S21" i="12"/>
  <c r="S47" i="12"/>
  <c r="S43" i="12"/>
  <c r="S23" i="12"/>
  <c r="S12" i="12"/>
  <c r="I11" i="11"/>
  <c r="S15" i="12"/>
  <c r="S40" i="12"/>
  <c r="S35" i="12"/>
  <c r="S56" i="12"/>
  <c r="S4" i="12"/>
  <c r="I18" i="2"/>
  <c r="S31" i="12"/>
  <c r="S14" i="12"/>
  <c r="S57" i="12"/>
  <c r="S25" i="12"/>
  <c r="S26" i="12"/>
  <c r="S19" i="12"/>
  <c r="S42" i="12"/>
  <c r="S37" i="12"/>
  <c r="S55" i="12"/>
  <c r="S51" i="12"/>
  <c r="S65" i="12"/>
  <c r="S67" i="12"/>
  <c r="S7" i="12"/>
  <c r="S6" i="12"/>
  <c r="S29" i="12"/>
  <c r="S32" i="12"/>
  <c r="S53" i="12"/>
  <c r="S3" i="12"/>
  <c r="S18" i="12"/>
  <c r="S58" i="12"/>
  <c r="S46" i="12"/>
  <c r="S30" i="12"/>
  <c r="I3" i="11"/>
  <c r="S50" i="12"/>
  <c r="S41" i="12"/>
  <c r="S5" i="12"/>
  <c r="S16" i="12"/>
  <c r="S59" i="12"/>
  <c r="S48" i="12"/>
  <c r="S39" i="12"/>
  <c r="S10" i="12"/>
  <c r="S66" i="12"/>
  <c r="S38" i="12"/>
  <c r="S34" i="12"/>
  <c r="D15" i="11" l="1"/>
  <c r="D16" i="11"/>
  <c r="D13" i="11"/>
  <c r="F12" i="11"/>
  <c r="E12" i="11"/>
  <c r="F10" i="11"/>
  <c r="E10" i="11"/>
  <c r="F5" i="11"/>
  <c r="E5" i="11"/>
  <c r="F14" i="11"/>
  <c r="E14" i="11"/>
  <c r="F7" i="11"/>
  <c r="E7" i="11"/>
  <c r="D7" i="11"/>
  <c r="E16" i="11"/>
  <c r="F16" i="11"/>
  <c r="M16" i="11"/>
  <c r="M12" i="11"/>
  <c r="F6" i="11"/>
  <c r="E6" i="11"/>
  <c r="M10" i="11"/>
  <c r="F15" i="11"/>
  <c r="E15" i="11"/>
  <c r="M6" i="11"/>
  <c r="M5" i="11"/>
  <c r="M15" i="11"/>
  <c r="E18" i="11"/>
  <c r="F18" i="11"/>
  <c r="F9" i="11"/>
  <c r="E9" i="11"/>
  <c r="M14" i="11"/>
  <c r="D12" i="11"/>
  <c r="F8" i="11"/>
  <c r="E8" i="11"/>
  <c r="M18" i="11"/>
  <c r="M9" i="11"/>
  <c r="D8" i="11"/>
  <c r="D10" i="11"/>
  <c r="M8" i="11"/>
  <c r="E13" i="11"/>
  <c r="F13" i="11"/>
  <c r="E18" i="2"/>
  <c r="F18" i="2"/>
  <c r="D18" i="2"/>
  <c r="M18" i="2"/>
  <c r="N21" i="11"/>
  <c r="O21" i="11"/>
  <c r="O19" i="11"/>
  <c r="N19" i="11"/>
  <c r="N26" i="11"/>
  <c r="O26" i="11"/>
  <c r="O25" i="2"/>
  <c r="N25" i="2"/>
  <c r="N25" i="11"/>
  <c r="O25" i="11"/>
  <c r="O26" i="2"/>
  <c r="N26" i="2"/>
  <c r="N24" i="11"/>
  <c r="O24" i="11"/>
  <c r="N23" i="11"/>
  <c r="O23" i="11"/>
  <c r="O22" i="11"/>
  <c r="N22" i="11"/>
  <c r="O20" i="11"/>
  <c r="N20" i="11"/>
  <c r="N3" i="11"/>
  <c r="N18" i="2"/>
  <c r="N11" i="11"/>
  <c r="N4" i="11"/>
  <c r="N18" i="11"/>
  <c r="N17" i="11"/>
  <c r="O3" i="11"/>
  <c r="O16" i="11"/>
  <c r="O14" i="11"/>
  <c r="O13" i="11"/>
  <c r="O8" i="11"/>
  <c r="O12" i="11"/>
  <c r="O11" i="11"/>
  <c r="O10" i="11"/>
  <c r="O15" i="11"/>
  <c r="O4" i="11"/>
  <c r="O18" i="11"/>
  <c r="O17" i="11"/>
  <c r="O9" i="11"/>
  <c r="O5" i="11"/>
  <c r="O7" i="11"/>
  <c r="O6" i="11"/>
  <c r="O18" i="2"/>
  <c r="I7" i="11"/>
  <c r="I14" i="11"/>
  <c r="I8" i="11"/>
  <c r="I10" i="11"/>
  <c r="I9" i="11"/>
  <c r="I16" i="11"/>
  <c r="I5" i="11"/>
  <c r="I15" i="11"/>
  <c r="I13" i="11"/>
  <c r="I12" i="11"/>
  <c r="I6" i="11"/>
  <c r="N14" i="11" l="1"/>
  <c r="N5" i="11"/>
  <c r="N13" i="11"/>
  <c r="N12" i="11"/>
  <c r="N15" i="11"/>
  <c r="N16" i="11"/>
  <c r="N10" i="11"/>
  <c r="N9" i="11"/>
  <c r="N7" i="11"/>
  <c r="N8" i="11"/>
  <c r="N6" i="11"/>
  <c r="O41" i="11"/>
  <c r="O63" i="11"/>
  <c r="O27" i="11"/>
  <c r="O54" i="11"/>
  <c r="O34" i="11"/>
  <c r="O42" i="11"/>
  <c r="O33" i="11"/>
  <c r="O55" i="11"/>
  <c r="O62" i="11"/>
  <c r="O29" i="11"/>
  <c r="O28" i="11"/>
  <c r="O48" i="11"/>
  <c r="O47" i="11"/>
  <c r="O51" i="11"/>
  <c r="O60" i="11"/>
  <c r="O58" i="11"/>
  <c r="O32" i="11"/>
  <c r="O39" i="11"/>
  <c r="O37" i="11"/>
  <c r="O46" i="11"/>
  <c r="O44" i="11"/>
  <c r="O64" i="11"/>
  <c r="O31" i="11"/>
  <c r="O61" i="11"/>
  <c r="O35" i="11"/>
  <c r="O65" i="11"/>
  <c r="O56" i="11"/>
  <c r="O66" i="11"/>
  <c r="O50" i="11"/>
  <c r="O43" i="11"/>
  <c r="O57" i="11"/>
  <c r="O40" i="11"/>
  <c r="O52" i="11"/>
  <c r="O36" i="11"/>
  <c r="O59" i="11"/>
  <c r="O49" i="11"/>
  <c r="O38" i="11"/>
  <c r="O30" i="11"/>
  <c r="O45" i="11"/>
  <c r="O53" i="11"/>
  <c r="P3" i="11" a="1"/>
  <c r="R3" i="11" a="1"/>
  <c r="Q3" i="11" a="1"/>
  <c r="Q65" i="11" l="1"/>
  <c r="Q53" i="11"/>
  <c r="Q71" i="11"/>
  <c r="Q63" i="11"/>
  <c r="Q49" i="11"/>
  <c r="Q50" i="11"/>
  <c r="Q17" i="11"/>
  <c r="Q18" i="11"/>
  <c r="Q25" i="11"/>
  <c r="Q41" i="11"/>
  <c r="Q45" i="11"/>
  <c r="Q22" i="11"/>
  <c r="Q61" i="11"/>
  <c r="Q37" i="11"/>
  <c r="Q20" i="11"/>
  <c r="Q59" i="11"/>
  <c r="Q5" i="11"/>
  <c r="Q40" i="11"/>
  <c r="Q21" i="11"/>
  <c r="Q8" i="11"/>
  <c r="Q47" i="11"/>
  <c r="Q3" i="11"/>
  <c r="Q56" i="11"/>
  <c r="Q4" i="11"/>
  <c r="Q31" i="11"/>
  <c r="Q16" i="11"/>
  <c r="Q51" i="11"/>
  <c r="Q11" i="11"/>
  <c r="Q23" i="11"/>
  <c r="Q48" i="11"/>
  <c r="Q15" i="11"/>
  <c r="Q24" i="11"/>
  <c r="Q55" i="11"/>
  <c r="Q64" i="11"/>
  <c r="Q67" i="11"/>
  <c r="Q28" i="11"/>
  <c r="Q57" i="11"/>
  <c r="Q58" i="11"/>
  <c r="Q36" i="11"/>
  <c r="Q68" i="11"/>
  <c r="Q38" i="11"/>
  <c r="Q32" i="11"/>
  <c r="Q46" i="11"/>
  <c r="Q66" i="11"/>
  <c r="Q14" i="11"/>
  <c r="Q69" i="11"/>
  <c r="Q7" i="11"/>
  <c r="Q27" i="11"/>
  <c r="Q52" i="11"/>
  <c r="Q9" i="11"/>
  <c r="Q30" i="11"/>
  <c r="Q54" i="11"/>
  <c r="Q70" i="11"/>
  <c r="Q6" i="11"/>
  <c r="Q26" i="11"/>
  <c r="Q13" i="11"/>
  <c r="Q35" i="11"/>
  <c r="Q60" i="11"/>
  <c r="Q44" i="11"/>
  <c r="Q42" i="11"/>
  <c r="Q43" i="11"/>
  <c r="Q29" i="11"/>
  <c r="Q10" i="11"/>
  <c r="Q39" i="11"/>
  <c r="Q19" i="11"/>
  <c r="Q12" i="11"/>
  <c r="Q34" i="11"/>
  <c r="Q33" i="11"/>
  <c r="Q62" i="11"/>
  <c r="P17" i="11"/>
  <c r="P65" i="11"/>
  <c r="P26" i="11"/>
  <c r="P38" i="11"/>
  <c r="P69" i="11"/>
  <c r="P20" i="11"/>
  <c r="P34" i="11"/>
  <c r="P41" i="11"/>
  <c r="P25" i="11"/>
  <c r="P51" i="11"/>
  <c r="P62" i="11"/>
  <c r="P52" i="11"/>
  <c r="P19" i="11"/>
  <c r="P22" i="11"/>
  <c r="P13" i="11"/>
  <c r="P71" i="11"/>
  <c r="P7" i="11"/>
  <c r="P36" i="11"/>
  <c r="P15" i="11"/>
  <c r="P39" i="11"/>
  <c r="P60" i="11"/>
  <c r="P44" i="11"/>
  <c r="P58" i="11"/>
  <c r="P14" i="11"/>
  <c r="P6" i="11"/>
  <c r="P37" i="11"/>
  <c r="P5" i="11"/>
  <c r="P68" i="11"/>
  <c r="P18" i="11"/>
  <c r="P4" i="11"/>
  <c r="P67" i="11"/>
  <c r="P47" i="11"/>
  <c r="P48" i="11"/>
  <c r="P40" i="11"/>
  <c r="P46" i="11"/>
  <c r="P23" i="11"/>
  <c r="P27" i="11"/>
  <c r="P10" i="11"/>
  <c r="P24" i="11"/>
  <c r="P32" i="11"/>
  <c r="P21" i="11"/>
  <c r="P49" i="11"/>
  <c r="P43" i="11"/>
  <c r="P45" i="11"/>
  <c r="P57" i="11"/>
  <c r="P8" i="11"/>
  <c r="P16" i="11"/>
  <c r="P35" i="11"/>
  <c r="P59" i="11"/>
  <c r="P53" i="11"/>
  <c r="P3" i="11"/>
  <c r="P50" i="11"/>
  <c r="P12" i="11"/>
  <c r="P70" i="11"/>
  <c r="P11" i="11"/>
  <c r="P56" i="11"/>
  <c r="P42" i="11"/>
  <c r="P63" i="11"/>
  <c r="P30" i="11"/>
  <c r="P54" i="11"/>
  <c r="P66" i="11"/>
  <c r="P29" i="11"/>
  <c r="P28" i="11"/>
  <c r="P9" i="11"/>
  <c r="P61" i="11"/>
  <c r="P55" i="11"/>
  <c r="P33" i="11"/>
  <c r="P64" i="11"/>
  <c r="P31" i="11"/>
  <c r="R24" i="11"/>
  <c r="R58" i="11"/>
  <c r="R35" i="11"/>
  <c r="R14" i="11"/>
  <c r="R55" i="11"/>
  <c r="R18" i="11"/>
  <c r="R59" i="11"/>
  <c r="R47" i="11"/>
  <c r="R43" i="11"/>
  <c r="R11" i="11"/>
  <c r="R23" i="11"/>
  <c r="R50" i="11"/>
  <c r="R56" i="11"/>
  <c r="R27" i="11"/>
  <c r="R26" i="11"/>
  <c r="R57" i="11"/>
  <c r="R62" i="11"/>
  <c r="R63" i="11"/>
  <c r="R33" i="11"/>
  <c r="R22" i="11"/>
  <c r="R4" i="11"/>
  <c r="R41" i="11"/>
  <c r="R12" i="11"/>
  <c r="R10" i="11"/>
  <c r="R9" i="11"/>
  <c r="R39" i="11"/>
  <c r="R51" i="11"/>
  <c r="R15" i="11"/>
  <c r="R28" i="11"/>
  <c r="R29" i="11"/>
  <c r="R66" i="11"/>
  <c r="R3" i="11"/>
  <c r="R30" i="11"/>
  <c r="R52" i="11"/>
  <c r="R64" i="11"/>
  <c r="R21" i="11"/>
  <c r="R31" i="11"/>
  <c r="R68" i="11"/>
  <c r="R53" i="11"/>
  <c r="R49" i="11"/>
  <c r="R34" i="11"/>
  <c r="R67" i="11"/>
  <c r="R17" i="11"/>
  <c r="R20" i="11"/>
  <c r="R65" i="11"/>
  <c r="R7" i="11"/>
  <c r="R19" i="11"/>
  <c r="R32" i="11"/>
  <c r="R46" i="11"/>
  <c r="R13" i="11"/>
  <c r="R38" i="11"/>
  <c r="R48" i="11"/>
  <c r="R25" i="11"/>
  <c r="R71" i="11"/>
  <c r="R60" i="11"/>
  <c r="R42" i="11"/>
  <c r="R44" i="11"/>
  <c r="R70" i="11"/>
  <c r="R16" i="11"/>
  <c r="R40" i="11"/>
  <c r="R61" i="11"/>
  <c r="R5" i="11"/>
  <c r="R37" i="11"/>
  <c r="R69" i="11"/>
  <c r="R54" i="11"/>
  <c r="R6" i="11"/>
  <c r="R45" i="11"/>
  <c r="R8" i="11"/>
  <c r="R36" i="11"/>
  <c r="S19" i="11"/>
  <c r="S45" i="11"/>
  <c r="S71" i="11"/>
  <c r="S5" i="11"/>
  <c r="S11" i="11"/>
  <c r="S38" i="11"/>
  <c r="S17" i="11"/>
  <c r="S20" i="11"/>
  <c r="S41" i="11"/>
  <c r="S42" i="11"/>
  <c r="S47" i="11"/>
  <c r="S6" i="11"/>
  <c r="S35" i="11"/>
  <c r="S12" i="11"/>
  <c r="S68" i="11"/>
  <c r="S46" i="11"/>
  <c r="S8" i="11"/>
  <c r="S69" i="11"/>
  <c r="S36" i="11"/>
  <c r="S66" i="11"/>
  <c r="S40" i="11"/>
  <c r="S67" i="11"/>
  <c r="S24" i="11"/>
  <c r="S62" i="11"/>
  <c r="S56" i="11"/>
  <c r="S13" i="11"/>
  <c r="S33" i="11"/>
  <c r="S15" i="11"/>
  <c r="S22" i="11"/>
  <c r="S9" i="11"/>
  <c r="S10" i="11"/>
  <c r="S4" i="11"/>
  <c r="S32" i="11"/>
  <c r="S29" i="11"/>
  <c r="S26" i="11"/>
  <c r="S65" i="11"/>
  <c r="S54" i="11"/>
  <c r="S44" i="11"/>
  <c r="S63" i="11"/>
  <c r="S50" i="11"/>
  <c r="S43" i="11"/>
  <c r="S59" i="11"/>
  <c r="S51" i="11"/>
  <c r="S25" i="11"/>
  <c r="S31" i="11"/>
  <c r="S70" i="11"/>
  <c r="S55" i="11"/>
  <c r="S61" i="11"/>
  <c r="S60" i="11"/>
  <c r="S48" i="11"/>
  <c r="S34" i="11"/>
  <c r="S57" i="11"/>
  <c r="S37" i="11"/>
  <c r="S7" i="11"/>
  <c r="S16" i="11"/>
  <c r="S53" i="11"/>
  <c r="S14" i="11"/>
  <c r="S52" i="11"/>
  <c r="S21" i="11"/>
  <c r="S58" i="11"/>
  <c r="S30" i="11"/>
  <c r="S3" i="11"/>
  <c r="S49" i="11"/>
  <c r="S64" i="11"/>
  <c r="S28" i="11"/>
  <c r="S18" i="11"/>
  <c r="S39" i="11"/>
  <c r="S23" i="11"/>
  <c r="S27" i="11"/>
  <c r="B21" i="2" l="1"/>
  <c r="M19" i="2" l="1"/>
  <c r="B22" i="2"/>
  <c r="M20" i="2" l="1"/>
  <c r="B23" i="2"/>
  <c r="M21" i="2" l="1"/>
  <c r="B24" i="2"/>
  <c r="M22" i="2" l="1"/>
  <c r="B25" i="2"/>
  <c r="M23" i="2" l="1"/>
  <c r="B26" i="2"/>
  <c r="M24" i="2" l="1"/>
  <c r="M3" i="2" l="1"/>
  <c r="M4" i="2"/>
  <c r="M7" i="2"/>
  <c r="M12" i="2"/>
  <c r="M6" i="2"/>
  <c r="M5" i="2"/>
  <c r="M9" i="2"/>
  <c r="M15" i="2"/>
  <c r="M17" i="2"/>
  <c r="M11" i="2"/>
  <c r="M14" i="2"/>
  <c r="M10" i="2"/>
  <c r="M8" i="2"/>
  <c r="M13" i="2"/>
  <c r="M16" i="2"/>
  <c r="N23" i="2" l="1"/>
  <c r="O23" i="2"/>
  <c r="N20" i="2"/>
  <c r="O20" i="2"/>
  <c r="N22" i="2"/>
  <c r="O22" i="2"/>
  <c r="O19" i="2"/>
  <c r="N19" i="2"/>
  <c r="O24" i="2"/>
  <c r="N24" i="2"/>
  <c r="N21" i="2"/>
  <c r="O21" i="2"/>
  <c r="D9" i="2"/>
  <c r="D12" i="2"/>
  <c r="D3" i="2"/>
  <c r="D13" i="2"/>
  <c r="D8" i="2"/>
  <c r="D6" i="2"/>
  <c r="D10" i="2"/>
  <c r="D14" i="2"/>
  <c r="D7" i="2"/>
  <c r="D17" i="2"/>
  <c r="D15" i="2"/>
  <c r="D16" i="2"/>
  <c r="D5" i="2"/>
  <c r="D11" i="2"/>
  <c r="D4" i="2"/>
  <c r="T42" i="11"/>
  <c r="T36" i="11"/>
  <c r="I54" i="2"/>
  <c r="T68" i="11"/>
  <c r="I65" i="2"/>
  <c r="I36" i="2"/>
  <c r="T18" i="11"/>
  <c r="T23" i="11"/>
  <c r="T3" i="11"/>
  <c r="T70" i="11"/>
  <c r="T64" i="11"/>
  <c r="T25" i="11"/>
  <c r="T53" i="11"/>
  <c r="T63" i="11"/>
  <c r="T58" i="11"/>
  <c r="I51" i="2"/>
  <c r="I34" i="2"/>
  <c r="I46" i="2"/>
  <c r="I52" i="2"/>
  <c r="I68" i="2"/>
  <c r="T35" i="11"/>
  <c r="T41" i="11"/>
  <c r="T4" i="11"/>
  <c r="T15" i="11"/>
  <c r="I16" i="2"/>
  <c r="I39" i="2"/>
  <c r="I38" i="2"/>
  <c r="I49" i="2"/>
  <c r="I45" i="2"/>
  <c r="I69" i="2"/>
  <c r="T34" i="11"/>
  <c r="T22" i="11"/>
  <c r="T60" i="11"/>
  <c r="T5" i="11"/>
  <c r="I76" i="2"/>
  <c r="T32" i="11"/>
  <c r="I37" i="2"/>
  <c r="I58" i="2"/>
  <c r="T55" i="11"/>
  <c r="T57" i="11"/>
  <c r="T51" i="11"/>
  <c r="T46" i="11"/>
  <c r="I44" i="2"/>
  <c r="I56" i="2"/>
  <c r="T54" i="11"/>
  <c r="T8" i="11"/>
  <c r="I61" i="2"/>
  <c r="I73" i="2"/>
  <c r="I75" i="2"/>
  <c r="T16" i="11"/>
  <c r="T45" i="11"/>
  <c r="T12" i="11"/>
  <c r="T38" i="11"/>
  <c r="T40" i="11"/>
  <c r="T29" i="11"/>
  <c r="T33" i="11"/>
  <c r="T24" i="11"/>
  <c r="I67" i="2"/>
  <c r="I71" i="2"/>
  <c r="I50" i="2"/>
  <c r="I64" i="2"/>
  <c r="I57" i="2"/>
  <c r="I48" i="2"/>
  <c r="T9" i="11"/>
  <c r="I70" i="2"/>
  <c r="T49" i="11"/>
  <c r="T56" i="11"/>
  <c r="T11" i="11"/>
  <c r="T62" i="11"/>
  <c r="I41" i="2"/>
  <c r="T17" i="11"/>
  <c r="I59" i="2"/>
  <c r="T69" i="11"/>
  <c r="I15" i="2"/>
  <c r="T48" i="11"/>
  <c r="T37" i="11"/>
  <c r="I62" i="2"/>
  <c r="I74" i="2"/>
  <c r="T14" i="11"/>
  <c r="T52" i="11"/>
  <c r="T67" i="11"/>
  <c r="T19" i="11"/>
  <c r="I55" i="2"/>
  <c r="I40" i="2"/>
  <c r="T39" i="11"/>
  <c r="I72" i="2"/>
  <c r="T43" i="11"/>
  <c r="T61" i="11"/>
  <c r="T59" i="11"/>
  <c r="I33" i="2"/>
  <c r="T30" i="11"/>
  <c r="T31" i="11"/>
  <c r="I66" i="2"/>
  <c r="T27" i="11"/>
  <c r="T71" i="11"/>
  <c r="T13" i="11"/>
  <c r="I35" i="2"/>
  <c r="T65" i="11"/>
  <c r="I53" i="2"/>
  <c r="T10" i="11"/>
  <c r="T20" i="11"/>
  <c r="I60" i="2"/>
  <c r="T50" i="11"/>
  <c r="T44" i="11"/>
  <c r="T26" i="11"/>
  <c r="T6" i="11"/>
  <c r="I42" i="2"/>
  <c r="I30" i="2"/>
  <c r="T21" i="11"/>
  <c r="I32" i="2"/>
  <c r="T66" i="11"/>
  <c r="T7" i="11"/>
  <c r="I43" i="2"/>
  <c r="I47" i="2"/>
  <c r="T28" i="11"/>
  <c r="T47" i="11"/>
  <c r="I17" i="2"/>
  <c r="I63" i="2"/>
  <c r="U14" i="11"/>
  <c r="U54" i="11"/>
  <c r="U23" i="11"/>
  <c r="U28" i="11"/>
  <c r="U29" i="11"/>
  <c r="U15" i="11"/>
  <c r="U48" i="11"/>
  <c r="U67" i="11"/>
  <c r="U71" i="11"/>
  <c r="U10" i="11"/>
  <c r="U40" i="11"/>
  <c r="U41" i="11"/>
  <c r="U68" i="11"/>
  <c r="U44" i="11"/>
  <c r="U42" i="11"/>
  <c r="U30" i="11"/>
  <c r="U18" i="11"/>
  <c r="U62" i="11"/>
  <c r="U20" i="11"/>
  <c r="U53" i="11"/>
  <c r="U16" i="11"/>
  <c r="U61" i="11"/>
  <c r="U37" i="11"/>
  <c r="U47" i="11"/>
  <c r="U45" i="11"/>
  <c r="U58" i="11"/>
  <c r="U65" i="11"/>
  <c r="U13" i="11"/>
  <c r="U50" i="11"/>
  <c r="U6" i="11"/>
  <c r="U36" i="11"/>
  <c r="U66" i="11"/>
  <c r="U26" i="11"/>
  <c r="U63" i="11"/>
  <c r="U24" i="11"/>
  <c r="U4" i="11"/>
  <c r="U7" i="11"/>
  <c r="U51" i="11"/>
  <c r="U52" i="11"/>
  <c r="U38" i="11"/>
  <c r="U11" i="11"/>
  <c r="U19" i="11"/>
  <c r="U8" i="11"/>
  <c r="U64" i="11"/>
  <c r="U27" i="11"/>
  <c r="U49" i="11"/>
  <c r="U59" i="11"/>
  <c r="U25" i="11"/>
  <c r="U60" i="11"/>
  <c r="U56" i="11"/>
  <c r="U55" i="11"/>
  <c r="U9" i="11"/>
  <c r="U5" i="11"/>
  <c r="U35" i="11"/>
  <c r="U3" i="11"/>
  <c r="U69" i="11"/>
  <c r="U12" i="11"/>
  <c r="U32" i="11"/>
  <c r="U46" i="11"/>
  <c r="U33" i="11"/>
  <c r="U21" i="11"/>
  <c r="U43" i="11"/>
  <c r="U34" i="11"/>
  <c r="U39" i="11"/>
  <c r="U31" i="11"/>
  <c r="U22" i="11"/>
  <c r="U17" i="11"/>
  <c r="U70" i="11"/>
  <c r="U57" i="11"/>
  <c r="N29" i="2" l="1"/>
  <c r="N36" i="2"/>
  <c r="N54" i="2"/>
  <c r="N51" i="2"/>
  <c r="N71" i="2"/>
  <c r="N62" i="2"/>
  <c r="N66" i="2"/>
  <c r="N40" i="2"/>
  <c r="N33" i="2"/>
  <c r="N34" i="2"/>
  <c r="N35" i="2"/>
  <c r="N38" i="2"/>
  <c r="N31" i="2"/>
  <c r="N61" i="2"/>
  <c r="N53" i="2"/>
  <c r="N32" i="2"/>
  <c r="N68" i="2"/>
  <c r="N44" i="2"/>
  <c r="N41" i="2"/>
  <c r="N42" i="2"/>
  <c r="N30" i="2"/>
  <c r="N47" i="2"/>
  <c r="N28" i="2"/>
  <c r="N58" i="2"/>
  <c r="N39" i="2"/>
  <c r="N27" i="2"/>
  <c r="N56" i="2"/>
  <c r="N43" i="2"/>
  <c r="N59" i="2"/>
  <c r="N50" i="2"/>
  <c r="N48" i="2"/>
  <c r="N45" i="2"/>
  <c r="N63" i="2"/>
  <c r="N57" i="2"/>
  <c r="N60" i="2"/>
  <c r="N69" i="2"/>
  <c r="N37" i="2"/>
  <c r="N46" i="2"/>
  <c r="N67" i="2"/>
  <c r="N49" i="2"/>
  <c r="N70" i="2"/>
  <c r="N52" i="2"/>
  <c r="N65" i="2"/>
  <c r="N55" i="2"/>
  <c r="N64" i="2"/>
  <c r="N17" i="2"/>
  <c r="N16" i="2"/>
  <c r="N15" i="2"/>
  <c r="O17" i="2"/>
  <c r="O16" i="2"/>
  <c r="O15" i="2"/>
  <c r="I7" i="2"/>
  <c r="I11" i="2"/>
  <c r="I4" i="2"/>
  <c r="I12" i="2"/>
  <c r="I14" i="2"/>
  <c r="I6" i="2"/>
  <c r="I9" i="2"/>
  <c r="I13" i="2"/>
  <c r="I8" i="2"/>
  <c r="I10" i="2"/>
  <c r="I3" i="2"/>
  <c r="I5" i="2"/>
  <c r="N13" i="2" l="1"/>
  <c r="N12" i="2"/>
  <c r="N3" i="2"/>
  <c r="N8" i="2"/>
  <c r="N4" i="2"/>
  <c r="N5" i="2"/>
  <c r="N9" i="2"/>
  <c r="N10" i="2"/>
  <c r="N14" i="2"/>
  <c r="N7" i="2"/>
  <c r="N6" i="2"/>
  <c r="N11" i="2"/>
  <c r="O29" i="2"/>
  <c r="O31" i="2"/>
  <c r="O35" i="2"/>
  <c r="O39" i="2"/>
  <c r="O43" i="2"/>
  <c r="O47" i="2"/>
  <c r="O51" i="2"/>
  <c r="O55" i="2"/>
  <c r="O59" i="2"/>
  <c r="O63" i="2"/>
  <c r="O30" i="2"/>
  <c r="O34" i="2"/>
  <c r="O38" i="2"/>
  <c r="O42" i="2"/>
  <c r="O46" i="2"/>
  <c r="O50" i="2"/>
  <c r="O54" i="2"/>
  <c r="O58" i="2"/>
  <c r="O62" i="2"/>
  <c r="O66" i="2"/>
  <c r="O27" i="2"/>
  <c r="O33" i="2"/>
  <c r="O37" i="2"/>
  <c r="O41" i="2"/>
  <c r="O45" i="2"/>
  <c r="O49" i="2"/>
  <c r="O53" i="2"/>
  <c r="O57" i="2"/>
  <c r="O61" i="2"/>
  <c r="O65" i="2"/>
  <c r="O28" i="2"/>
  <c r="O32" i="2"/>
  <c r="O36" i="2"/>
  <c r="O40" i="2"/>
  <c r="O44" i="2"/>
  <c r="O48" i="2"/>
  <c r="O52" i="2"/>
  <c r="O56" i="2"/>
  <c r="O60" i="2"/>
  <c r="O64" i="2"/>
  <c r="O13" i="2"/>
  <c r="O12" i="2"/>
  <c r="O3" i="2"/>
  <c r="O8" i="2"/>
  <c r="O4" i="2"/>
  <c r="O5" i="2"/>
  <c r="O9" i="2"/>
  <c r="O10" i="2"/>
  <c r="O14" i="2"/>
  <c r="O7" i="2"/>
  <c r="O6" i="2"/>
  <c r="O11" i="2"/>
  <c r="P3" i="2" a="1"/>
  <c r="Q3" i="2" a="1"/>
  <c r="R3" i="2" a="1"/>
  <c r="P50" i="2" l="1"/>
  <c r="P43" i="2"/>
  <c r="P36" i="2"/>
  <c r="P29" i="2"/>
  <c r="P22" i="2"/>
  <c r="P15" i="2"/>
  <c r="P8" i="2"/>
  <c r="P9" i="2"/>
  <c r="P10" i="2"/>
  <c r="P11" i="2"/>
  <c r="P12" i="2"/>
  <c r="P13" i="2"/>
  <c r="P14" i="2"/>
  <c r="P23" i="2"/>
  <c r="P24" i="2"/>
  <c r="P33" i="2"/>
  <c r="P18" i="2"/>
  <c r="P19" i="2"/>
  <c r="P20" i="2"/>
  <c r="P21" i="2"/>
  <c r="P30" i="2"/>
  <c r="P31" i="2"/>
  <c r="P32" i="2"/>
  <c r="P41" i="2"/>
  <c r="P26" i="2"/>
  <c r="P27" i="2"/>
  <c r="P28" i="2"/>
  <c r="P37" i="2"/>
  <c r="P38" i="2"/>
  <c r="P39" i="2"/>
  <c r="P40" i="2"/>
  <c r="P49" i="2"/>
  <c r="P42" i="2"/>
  <c r="P4" i="2"/>
  <c r="P61" i="2"/>
  <c r="P47" i="2"/>
  <c r="P17" i="2"/>
  <c r="P58" i="2"/>
  <c r="P44" i="2"/>
  <c r="P69" i="2"/>
  <c r="P55" i="2"/>
  <c r="P25" i="2"/>
  <c r="P66" i="2"/>
  <c r="P52" i="2"/>
  <c r="P6" i="2"/>
  <c r="P63" i="2"/>
  <c r="P57" i="2"/>
  <c r="P3" i="2"/>
  <c r="P60" i="2"/>
  <c r="P46" i="2"/>
  <c r="P71" i="2"/>
  <c r="P65" i="2"/>
  <c r="P35" i="2"/>
  <c r="P68" i="2"/>
  <c r="P54" i="2"/>
  <c r="P16" i="2"/>
  <c r="P51" i="2"/>
  <c r="P5" i="2"/>
  <c r="P62" i="2"/>
  <c r="P48" i="2"/>
  <c r="P59" i="2"/>
  <c r="P45" i="2"/>
  <c r="P70" i="2"/>
  <c r="P56" i="2"/>
  <c r="P34" i="2"/>
  <c r="P67" i="2"/>
  <c r="P53" i="2"/>
  <c r="P7" i="2"/>
  <c r="P64" i="2"/>
  <c r="Q26" i="2"/>
  <c r="Q19" i="2"/>
  <c r="Q12" i="2"/>
  <c r="Q5" i="2"/>
  <c r="Q69" i="2"/>
  <c r="Q62" i="2"/>
  <c r="Q55" i="2"/>
  <c r="Q48" i="2"/>
  <c r="Q49" i="2"/>
  <c r="Q50" i="2"/>
  <c r="Q51" i="2"/>
  <c r="Q52" i="2"/>
  <c r="Q53" i="2"/>
  <c r="Q54" i="2"/>
  <c r="Q63" i="2"/>
  <c r="Q64" i="2"/>
  <c r="Q58" i="2"/>
  <c r="Q59" i="2"/>
  <c r="Q60" i="2"/>
  <c r="Q61" i="2"/>
  <c r="Q70" i="2"/>
  <c r="Q71" i="2"/>
  <c r="Q9" i="2"/>
  <c r="Q66" i="2"/>
  <c r="Q67" i="2"/>
  <c r="Q68" i="2"/>
  <c r="Q6" i="2"/>
  <c r="Q7" i="2"/>
  <c r="Q8" i="2"/>
  <c r="Q17" i="2"/>
  <c r="Q10" i="2"/>
  <c r="Q43" i="2"/>
  <c r="Q29" i="2"/>
  <c r="Q15" i="2"/>
  <c r="Q40" i="2"/>
  <c r="Q18" i="2"/>
  <c r="Q4" i="2"/>
  <c r="Q37" i="2"/>
  <c r="Q23" i="2"/>
  <c r="Q56" i="2"/>
  <c r="Q34" i="2"/>
  <c r="Q20" i="2"/>
  <c r="Q45" i="2"/>
  <c r="Q31" i="2"/>
  <c r="Q25" i="2"/>
  <c r="Q42" i="2"/>
  <c r="Q28" i="2"/>
  <c r="Q14" i="2"/>
  <c r="Q39" i="2"/>
  <c r="Q33" i="2"/>
  <c r="Q22" i="2"/>
  <c r="Q47" i="2"/>
  <c r="Q65" i="2"/>
  <c r="Q3" i="2"/>
  <c r="Q36" i="2"/>
  <c r="Q41" i="2"/>
  <c r="Q11" i="2"/>
  <c r="Q44" i="2"/>
  <c r="Q30" i="2"/>
  <c r="Q16" i="2"/>
  <c r="Q57" i="2"/>
  <c r="Q27" i="2"/>
  <c r="Q13" i="2"/>
  <c r="Q38" i="2"/>
  <c r="Q24" i="2"/>
  <c r="Q21" i="2"/>
  <c r="Q46" i="2"/>
  <c r="Q32" i="2"/>
  <c r="Q35" i="2"/>
  <c r="R66" i="2"/>
  <c r="R59" i="2"/>
  <c r="R52" i="2"/>
  <c r="R45" i="2"/>
  <c r="R38" i="2"/>
  <c r="R31" i="2"/>
  <c r="R24" i="2"/>
  <c r="R25" i="2"/>
  <c r="R18" i="2"/>
  <c r="R19" i="2"/>
  <c r="R20" i="2"/>
  <c r="R21" i="2"/>
  <c r="R22" i="2"/>
  <c r="R23" i="2"/>
  <c r="R32" i="2"/>
  <c r="R41" i="2"/>
  <c r="R26" i="2"/>
  <c r="R27" i="2"/>
  <c r="R28" i="2"/>
  <c r="R29" i="2"/>
  <c r="R30" i="2"/>
  <c r="R39" i="2"/>
  <c r="R40" i="2"/>
  <c r="R49" i="2"/>
  <c r="R34" i="2"/>
  <c r="R35" i="2"/>
  <c r="R36" i="2"/>
  <c r="R37" i="2"/>
  <c r="R46" i="2"/>
  <c r="R47" i="2"/>
  <c r="R48" i="2"/>
  <c r="R57" i="2"/>
  <c r="R11" i="2"/>
  <c r="R68" i="2"/>
  <c r="R54" i="2"/>
  <c r="R8" i="2"/>
  <c r="R43" i="2"/>
  <c r="R5" i="2"/>
  <c r="R62" i="2"/>
  <c r="R16" i="2"/>
  <c r="R51" i="2"/>
  <c r="R13" i="2"/>
  <c r="R70" i="2"/>
  <c r="R56" i="2"/>
  <c r="R10" i="2"/>
  <c r="R67" i="2"/>
  <c r="R53" i="2"/>
  <c r="R7" i="2"/>
  <c r="R64" i="2"/>
  <c r="R42" i="2"/>
  <c r="R4" i="2"/>
  <c r="R61" i="2"/>
  <c r="R15" i="2"/>
  <c r="R9" i="2"/>
  <c r="R50" i="2"/>
  <c r="R12" i="2"/>
  <c r="R69" i="2"/>
  <c r="R55" i="2"/>
  <c r="R17" i="2"/>
  <c r="R58" i="2"/>
  <c r="R44" i="2"/>
  <c r="R6" i="2"/>
  <c r="R63" i="2"/>
  <c r="R33" i="2"/>
  <c r="R3" i="2"/>
  <c r="R60" i="2"/>
  <c r="R14" i="2"/>
  <c r="R71" i="2"/>
  <c r="R65" i="2"/>
  <c r="S9" i="2"/>
  <c r="S16" i="2"/>
  <c r="T37" i="2"/>
  <c r="T42" i="2"/>
  <c r="T45" i="2"/>
  <c r="T5" i="2"/>
  <c r="T18" i="2"/>
  <c r="S51" i="2"/>
  <c r="S71" i="2"/>
  <c r="S67" i="2"/>
  <c r="S3" i="2"/>
  <c r="T21" i="2"/>
  <c r="T19" i="2"/>
  <c r="S18" i="2"/>
  <c r="S58" i="2"/>
  <c r="T65" i="2"/>
  <c r="T4" i="2"/>
  <c r="T69" i="2"/>
  <c r="S54" i="2"/>
  <c r="T14" i="2"/>
  <c r="T59" i="2"/>
  <c r="S24" i="2"/>
  <c r="T16" i="2"/>
  <c r="S64" i="2"/>
  <c r="S37" i="2"/>
  <c r="S8" i="2"/>
  <c r="S70" i="2"/>
  <c r="S32" i="2"/>
  <c r="T63" i="2"/>
  <c r="S39" i="2"/>
  <c r="S52" i="2"/>
  <c r="T61" i="2"/>
  <c r="S26" i="2"/>
  <c r="S22" i="2"/>
  <c r="S11" i="2"/>
  <c r="T31" i="2"/>
  <c r="S21" i="2"/>
  <c r="S27" i="2"/>
  <c r="T30" i="2"/>
  <c r="S45" i="2"/>
  <c r="T50" i="2"/>
  <c r="S50" i="2"/>
  <c r="S63" i="2"/>
  <c r="S49" i="2"/>
  <c r="S59" i="2"/>
  <c r="T70" i="2"/>
  <c r="T7" i="2"/>
  <c r="S6" i="2"/>
  <c r="T6" i="2"/>
  <c r="T3" i="2"/>
  <c r="S47" i="2"/>
  <c r="T53" i="2"/>
  <c r="T27" i="2"/>
  <c r="T28" i="2"/>
  <c r="S25" i="2"/>
  <c r="T39" i="2"/>
  <c r="S20" i="2"/>
  <c r="S38" i="2"/>
  <c r="T26" i="2"/>
  <c r="T62" i="2"/>
  <c r="S15" i="2"/>
  <c r="T47" i="2"/>
  <c r="T9" i="2"/>
  <c r="S17" i="2"/>
  <c r="S5" i="2"/>
  <c r="S68" i="2"/>
  <c r="S57" i="2"/>
  <c r="S36" i="2"/>
  <c r="T48" i="2"/>
  <c r="T11" i="2"/>
  <c r="S66" i="2"/>
  <c r="T51" i="2"/>
  <c r="T54" i="2"/>
  <c r="S34" i="2"/>
  <c r="T24" i="2"/>
  <c r="Q3" i="13" a="1"/>
  <c r="S65" i="2"/>
  <c r="S23" i="2"/>
  <c r="T13" i="2"/>
  <c r="S61" i="2"/>
  <c r="S33" i="2"/>
  <c r="P3" i="13" a="1"/>
  <c r="T64" i="2"/>
  <c r="S13" i="2"/>
  <c r="S41" i="2"/>
  <c r="T10" i="2"/>
  <c r="S55" i="2"/>
  <c r="T55" i="2"/>
  <c r="T46" i="2"/>
  <c r="S53" i="2"/>
  <c r="T15" i="2"/>
  <c r="S30" i="2"/>
  <c r="T67" i="2"/>
  <c r="T17" i="2"/>
  <c r="T23" i="2"/>
  <c r="T8" i="2"/>
  <c r="S56" i="2"/>
  <c r="S12" i="2"/>
  <c r="S60" i="2"/>
  <c r="T60" i="2"/>
  <c r="T57" i="2"/>
  <c r="S69" i="2"/>
  <c r="T35" i="2"/>
  <c r="T36" i="2"/>
  <c r="T49" i="2"/>
  <c r="S10" i="2"/>
  <c r="S62" i="2"/>
  <c r="T58" i="2"/>
  <c r="S31" i="2"/>
  <c r="T68" i="2"/>
  <c r="S4" i="2"/>
  <c r="S44" i="2"/>
  <c r="T38" i="2"/>
  <c r="T41" i="2"/>
  <c r="S7" i="2"/>
  <c r="S43" i="2"/>
  <c r="T25" i="2"/>
  <c r="T66" i="2"/>
  <c r="T22" i="2"/>
  <c r="T33" i="2"/>
  <c r="S35" i="2"/>
  <c r="T12" i="2"/>
  <c r="S29" i="2"/>
  <c r="T20" i="2"/>
  <c r="R3" i="13" a="1"/>
  <c r="T43" i="2"/>
  <c r="S42" i="2"/>
  <c r="T44" i="2"/>
  <c r="S46" i="2"/>
  <c r="T40" i="2"/>
  <c r="T32" i="2"/>
  <c r="S19" i="2"/>
  <c r="S28" i="2"/>
  <c r="T56" i="2"/>
  <c r="T29" i="2"/>
  <c r="S48" i="2"/>
  <c r="S14" i="2"/>
  <c r="T52" i="2"/>
  <c r="T34" i="2"/>
  <c r="S40" i="2"/>
  <c r="T71" i="2"/>
  <c r="U23" i="2"/>
  <c r="U34" i="2"/>
  <c r="U3" i="2"/>
  <c r="U14" i="2"/>
  <c r="U12" i="2"/>
  <c r="U19" i="2"/>
  <c r="U8" i="2"/>
  <c r="U54" i="2"/>
  <c r="U69" i="2"/>
  <c r="U24" i="2"/>
  <c r="U70" i="2"/>
  <c r="U17" i="2"/>
  <c r="U49" i="2"/>
  <c r="U6" i="2"/>
  <c r="U4" i="2"/>
  <c r="U61" i="2"/>
  <c r="U53" i="2"/>
  <c r="U15" i="2"/>
  <c r="U57" i="2"/>
  <c r="U62" i="2"/>
  <c r="U9" i="2"/>
  <c r="U68" i="2"/>
  <c r="U59" i="2"/>
  <c r="U56" i="2"/>
  <c r="U31" i="2"/>
  <c r="U7" i="2"/>
  <c r="U41" i="2"/>
  <c r="U11" i="2"/>
  <c r="U65" i="2"/>
  <c r="U26" i="2"/>
  <c r="U22" i="2"/>
  <c r="U66" i="2"/>
  <c r="U71" i="2"/>
  <c r="U47" i="2"/>
  <c r="U52" i="2"/>
  <c r="U42" i="2"/>
  <c r="U29" i="2"/>
  <c r="U10" i="2"/>
  <c r="U63" i="2"/>
  <c r="U35" i="2"/>
  <c r="U16" i="2"/>
  <c r="U32" i="2"/>
  <c r="U37" i="2"/>
  <c r="U28" i="2"/>
  <c r="U39" i="2"/>
  <c r="U58" i="2"/>
  <c r="U5" i="2"/>
  <c r="U21" i="2"/>
  <c r="U40" i="2"/>
  <c r="U60" i="2"/>
  <c r="U48" i="2"/>
  <c r="U27" i="2"/>
  <c r="U64" i="2"/>
  <c r="U51" i="2"/>
  <c r="U55" i="2"/>
  <c r="U45" i="2"/>
  <c r="U38" i="2"/>
  <c r="U30" i="2"/>
  <c r="U67" i="2"/>
  <c r="U50" i="2"/>
  <c r="U18" i="2"/>
  <c r="U44" i="2"/>
  <c r="U36" i="2"/>
  <c r="U43" i="2"/>
  <c r="U25" i="2"/>
  <c r="U33" i="2"/>
  <c r="U20" i="2"/>
  <c r="U13" i="2"/>
  <c r="U46" i="2"/>
  <c r="P31" i="13" l="1"/>
  <c r="P16" i="13"/>
  <c r="P57" i="13"/>
  <c r="P11" i="13"/>
  <c r="P7" i="13"/>
  <c r="P39" i="13"/>
  <c r="P55" i="13"/>
  <c r="P44" i="13"/>
  <c r="P21" i="13"/>
  <c r="P71" i="13"/>
  <c r="P42" i="13"/>
  <c r="P67" i="13"/>
  <c r="P27" i="13"/>
  <c r="P29" i="13"/>
  <c r="P32" i="13"/>
  <c r="P41" i="13"/>
  <c r="P33" i="13"/>
  <c r="P68" i="13"/>
  <c r="P35" i="13"/>
  <c r="P46" i="13"/>
  <c r="P51" i="13"/>
  <c r="P58" i="13"/>
  <c r="P63" i="13"/>
  <c r="P47" i="13"/>
  <c r="P22" i="13"/>
  <c r="P19" i="13"/>
  <c r="P62" i="13"/>
  <c r="P60" i="13"/>
  <c r="P43" i="13"/>
  <c r="P20" i="13"/>
  <c r="P6" i="13"/>
  <c r="P37" i="13"/>
  <c r="P49" i="13"/>
  <c r="P9" i="13"/>
  <c r="P34" i="13"/>
  <c r="P54" i="13"/>
  <c r="P24" i="13"/>
  <c r="P28" i="13"/>
  <c r="P10" i="13"/>
  <c r="P12" i="13"/>
  <c r="P36" i="13"/>
  <c r="P5" i="13"/>
  <c r="P40" i="13"/>
  <c r="P26" i="13"/>
  <c r="P66" i="13"/>
  <c r="P50" i="13"/>
  <c r="P30" i="13"/>
  <c r="P38" i="13"/>
  <c r="P4" i="13"/>
  <c r="P15" i="13"/>
  <c r="P25" i="13"/>
  <c r="P70" i="13"/>
  <c r="P56" i="13"/>
  <c r="P13" i="13"/>
  <c r="P69" i="13"/>
  <c r="P59" i="13"/>
  <c r="P8" i="13"/>
  <c r="P65" i="13"/>
  <c r="P52" i="13"/>
  <c r="P3" i="13"/>
  <c r="P23" i="13"/>
  <c r="P45" i="13"/>
  <c r="P53" i="13"/>
  <c r="P61" i="13"/>
  <c r="P48" i="13"/>
  <c r="P14" i="13"/>
  <c r="P64" i="13"/>
  <c r="P17" i="13"/>
  <c r="P18" i="13"/>
  <c r="Q10" i="13"/>
  <c r="Q30" i="13"/>
  <c r="Q35" i="13"/>
  <c r="Q29" i="13"/>
  <c r="Q19" i="13"/>
  <c r="Q47" i="13"/>
  <c r="Q39" i="13"/>
  <c r="Q7" i="13"/>
  <c r="Q54" i="13"/>
  <c r="Q17" i="13"/>
  <c r="Q21" i="13"/>
  <c r="Q24" i="13"/>
  <c r="Q49" i="13"/>
  <c r="Q15" i="13"/>
  <c r="Q68" i="13"/>
  <c r="Q53" i="13"/>
  <c r="Q4" i="13"/>
  <c r="Q55" i="13"/>
  <c r="Q3" i="13"/>
  <c r="Q11" i="13"/>
  <c r="Q12" i="13"/>
  <c r="Q32" i="13"/>
  <c r="Q18" i="13"/>
  <c r="Q57" i="13"/>
  <c r="Q28" i="13"/>
  <c r="Q65" i="13"/>
  <c r="Q13" i="13"/>
  <c r="Q69" i="13"/>
  <c r="Q60" i="13"/>
  <c r="Q63" i="13"/>
  <c r="Q25" i="13"/>
  <c r="Q36" i="13"/>
  <c r="Q40" i="13"/>
  <c r="Q9" i="13"/>
  <c r="Q33" i="13"/>
  <c r="Q51" i="13"/>
  <c r="Q71" i="13"/>
  <c r="Q20" i="13"/>
  <c r="Q50" i="13"/>
  <c r="Q34" i="13"/>
  <c r="Q37" i="13"/>
  <c r="Q58" i="13"/>
  <c r="Q52" i="13"/>
  <c r="Q59" i="13"/>
  <c r="Q56" i="13"/>
  <c r="Q45" i="13"/>
  <c r="Q22" i="13"/>
  <c r="Q64" i="13"/>
  <c r="Q66" i="13"/>
  <c r="Q42" i="13"/>
  <c r="Q67" i="13"/>
  <c r="Q31" i="13"/>
  <c r="Q41" i="13"/>
  <c r="Q70" i="13"/>
  <c r="Q62" i="13"/>
  <c r="Q23" i="13"/>
  <c r="Q8" i="13"/>
  <c r="Q16" i="13"/>
  <c r="Q6" i="13"/>
  <c r="Q27" i="13"/>
  <c r="Q43" i="13"/>
  <c r="Q38" i="13"/>
  <c r="Q46" i="13"/>
  <c r="Q48" i="13"/>
  <c r="Q14" i="13"/>
  <c r="Q61" i="13"/>
  <c r="Q5" i="13"/>
  <c r="Q26" i="13"/>
  <c r="Q44" i="13"/>
  <c r="R19" i="13"/>
  <c r="R30" i="13"/>
  <c r="R71" i="13"/>
  <c r="R15" i="13"/>
  <c r="R8" i="13"/>
  <c r="R56" i="13"/>
  <c r="R36" i="13"/>
  <c r="R28" i="13"/>
  <c r="R33" i="13"/>
  <c r="R26" i="13"/>
  <c r="R29" i="13"/>
  <c r="R53" i="13"/>
  <c r="R13" i="13"/>
  <c r="R20" i="13"/>
  <c r="R58" i="13"/>
  <c r="R35" i="13"/>
  <c r="R25" i="13"/>
  <c r="R17" i="13"/>
  <c r="R65" i="13"/>
  <c r="R21" i="13"/>
  <c r="R18" i="13"/>
  <c r="R57" i="13"/>
  <c r="R7" i="13"/>
  <c r="R11" i="13"/>
  <c r="R49" i="13"/>
  <c r="R38" i="13"/>
  <c r="R48" i="13"/>
  <c r="R46" i="13"/>
  <c r="R59" i="13"/>
  <c r="R14" i="13"/>
  <c r="R60" i="13"/>
  <c r="R24" i="13"/>
  <c r="R45" i="13"/>
  <c r="R61" i="13"/>
  <c r="R3" i="13"/>
  <c r="R62" i="13"/>
  <c r="R51" i="13"/>
  <c r="R6" i="13"/>
  <c r="R22" i="13"/>
  <c r="R50" i="13"/>
  <c r="R41" i="13"/>
  <c r="R31" i="13"/>
  <c r="R43" i="13"/>
  <c r="R69" i="13"/>
  <c r="R64" i="13"/>
  <c r="R54" i="13"/>
  <c r="R10" i="13"/>
  <c r="R55" i="13"/>
  <c r="R42" i="13"/>
  <c r="R44" i="13"/>
  <c r="R5" i="13"/>
  <c r="R37" i="13"/>
  <c r="R70" i="13"/>
  <c r="R39" i="13"/>
  <c r="R67" i="13"/>
  <c r="R47" i="13"/>
  <c r="R4" i="13"/>
  <c r="R68" i="13"/>
  <c r="R63" i="13"/>
  <c r="R52" i="13"/>
  <c r="R23" i="13"/>
  <c r="R9" i="13"/>
  <c r="R34" i="13"/>
  <c r="R16" i="13"/>
  <c r="R66" i="13"/>
  <c r="R32" i="13"/>
  <c r="R27" i="13"/>
  <c r="R12" i="13"/>
  <c r="R40" i="13"/>
  <c r="T3" i="14"/>
  <c r="U42" i="14"/>
  <c r="U30" i="14"/>
  <c r="U28" i="14"/>
  <c r="U24" i="14"/>
  <c r="U15" i="14"/>
  <c r="S46" i="13"/>
  <c r="U6" i="14"/>
  <c r="S23" i="13"/>
  <c r="S51" i="13"/>
  <c r="S9" i="13"/>
  <c r="U12" i="14"/>
  <c r="U48" i="14"/>
  <c r="S26" i="13"/>
  <c r="S56" i="13"/>
  <c r="S16" i="13"/>
  <c r="U56" i="14"/>
  <c r="W29" i="14"/>
  <c r="T52" i="13"/>
  <c r="T70" i="13"/>
  <c r="W49" i="14"/>
  <c r="T5" i="12"/>
  <c r="T12" i="13"/>
  <c r="T43" i="12"/>
  <c r="W50" i="14"/>
  <c r="T46" i="13"/>
  <c r="T42" i="12"/>
  <c r="T38" i="12"/>
  <c r="T50" i="12"/>
  <c r="T3" i="13"/>
  <c r="W40" i="14"/>
  <c r="T38" i="13"/>
  <c r="T6" i="13"/>
  <c r="T50" i="13"/>
  <c r="W19" i="14"/>
  <c r="T54" i="13"/>
  <c r="T57" i="13"/>
  <c r="W43" i="14"/>
  <c r="T60" i="12"/>
  <c r="T56" i="12"/>
  <c r="W15" i="14"/>
  <c r="T59" i="12"/>
  <c r="U39" i="14"/>
  <c r="S4" i="13"/>
  <c r="U5" i="14"/>
  <c r="U55" i="14"/>
  <c r="S17" i="13"/>
  <c r="S31" i="13"/>
  <c r="S41" i="13"/>
  <c r="T57" i="12"/>
  <c r="W5" i="14"/>
  <c r="D28" i="1"/>
  <c r="W34" i="14"/>
  <c r="T71" i="12"/>
  <c r="T58" i="13"/>
  <c r="T32" i="13"/>
  <c r="W51" i="14"/>
  <c r="W36" i="14"/>
  <c r="T39" i="13"/>
  <c r="T15" i="12"/>
  <c r="W8" i="14"/>
  <c r="T62" i="13"/>
  <c r="T66" i="13"/>
  <c r="T61" i="13"/>
  <c r="S71" i="13"/>
  <c r="U37" i="14"/>
  <c r="W9" i="14"/>
  <c r="T9" i="12"/>
  <c r="T49" i="13"/>
  <c r="W14" i="14"/>
  <c r="W21" i="14"/>
  <c r="T49" i="12"/>
  <c r="T40" i="12"/>
  <c r="T67" i="12"/>
  <c r="T4" i="13"/>
  <c r="T47" i="13"/>
  <c r="W30" i="14"/>
  <c r="W35" i="14"/>
  <c r="U36" i="14"/>
  <c r="T13" i="12"/>
  <c r="T26" i="13"/>
  <c r="T47" i="12"/>
  <c r="T8" i="13"/>
  <c r="T22" i="12"/>
  <c r="T26" i="12"/>
  <c r="W39" i="14"/>
  <c r="T21" i="12"/>
  <c r="T61" i="12"/>
  <c r="T55" i="12"/>
  <c r="D42" i="1"/>
  <c r="T58" i="12"/>
  <c r="S29" i="13"/>
  <c r="W23" i="14"/>
  <c r="T14" i="12"/>
  <c r="T37" i="12"/>
  <c r="T19" i="13"/>
  <c r="U19" i="14"/>
  <c r="S25" i="13"/>
  <c r="S58" i="13"/>
  <c r="U45" i="14"/>
  <c r="U29" i="14"/>
  <c r="U9" i="14"/>
  <c r="T10" i="12"/>
  <c r="W25" i="14"/>
  <c r="T13" i="13"/>
  <c r="W26" i="14"/>
  <c r="T24" i="12"/>
  <c r="T63" i="13"/>
  <c r="T65" i="13"/>
  <c r="T41" i="12"/>
  <c r="W33" i="14"/>
  <c r="T65" i="12"/>
  <c r="W42" i="14"/>
  <c r="T67" i="13"/>
  <c r="U3" i="14"/>
  <c r="W32" i="14"/>
  <c r="T48" i="12"/>
  <c r="T35" i="13"/>
  <c r="T46" i="12"/>
  <c r="T28" i="13"/>
  <c r="T25" i="12"/>
  <c r="T45" i="12"/>
  <c r="W18" i="14"/>
  <c r="T32" i="12"/>
  <c r="I28" i="1"/>
  <c r="U14" i="14"/>
  <c r="T44" i="13"/>
  <c r="W6" i="14"/>
  <c r="T9" i="13"/>
  <c r="T7" i="13"/>
  <c r="T3" i="12"/>
  <c r="T20" i="12"/>
  <c r="T69" i="13"/>
  <c r="W52" i="14"/>
  <c r="T31" i="13"/>
  <c r="T36" i="12"/>
  <c r="U25" i="14"/>
  <c r="T69" i="12"/>
  <c r="T64" i="13"/>
  <c r="T27" i="12"/>
  <c r="T53" i="12"/>
  <c r="U49" i="14"/>
  <c r="S20" i="13"/>
  <c r="S5" i="13"/>
  <c r="S39" i="13"/>
  <c r="S7" i="13"/>
  <c r="U18" i="14"/>
  <c r="S32" i="13"/>
  <c r="S69" i="13"/>
  <c r="S21" i="13"/>
  <c r="U33" i="14"/>
  <c r="S57" i="13"/>
  <c r="U8" i="14"/>
  <c r="W37" i="14"/>
  <c r="T59" i="13"/>
  <c r="W31" i="14"/>
  <c r="T70" i="12"/>
  <c r="T33" i="12"/>
  <c r="T30" i="13"/>
  <c r="T14" i="13"/>
  <c r="T18" i="13"/>
  <c r="T28" i="12"/>
  <c r="T15" i="13"/>
  <c r="T10" i="13"/>
  <c r="T19" i="12"/>
  <c r="S3" i="13"/>
  <c r="T31" i="12"/>
  <c r="T39" i="12"/>
  <c r="W48" i="14"/>
  <c r="V2" i="12" a="1"/>
  <c r="W56" i="14"/>
  <c r="W7" i="14"/>
  <c r="T64" i="12"/>
  <c r="T11" i="12"/>
  <c r="T68" i="13"/>
  <c r="W44" i="14"/>
  <c r="S13" i="13"/>
  <c r="W54" i="14"/>
  <c r="T11" i="13"/>
  <c r="S38" i="13"/>
  <c r="U27" i="14"/>
  <c r="S30" i="13"/>
  <c r="S53" i="13"/>
  <c r="U31" i="14"/>
  <c r="S50" i="13"/>
  <c r="S27" i="13"/>
  <c r="U11" i="14"/>
  <c r="S10" i="13"/>
  <c r="U21" i="14"/>
  <c r="S36" i="13"/>
  <c r="S64" i="13"/>
  <c r="S12" i="13"/>
  <c r="S6" i="13"/>
  <c r="S55" i="13"/>
  <c r="T51" i="12"/>
  <c r="T35" i="12"/>
  <c r="T62" i="12"/>
  <c r="T66" i="12"/>
  <c r="T29" i="12"/>
  <c r="T5" i="13"/>
  <c r="W28" i="14"/>
  <c r="T44" i="12"/>
  <c r="T71" i="13"/>
  <c r="T43" i="13"/>
  <c r="T7" i="12"/>
  <c r="W13" i="14"/>
  <c r="S59" i="13"/>
  <c r="T21" i="13"/>
  <c r="T45" i="13"/>
  <c r="W17" i="14"/>
  <c r="T12" i="12"/>
  <c r="T4" i="12"/>
  <c r="W3" i="14"/>
  <c r="T55" i="13"/>
  <c r="W16" i="14"/>
  <c r="S62" i="13"/>
  <c r="I42" i="1"/>
  <c r="W24" i="14"/>
  <c r="T56" i="13"/>
  <c r="S44" i="13"/>
  <c r="U54" i="14"/>
  <c r="S60" i="13"/>
  <c r="S54" i="13"/>
  <c r="S35" i="13"/>
  <c r="S15" i="13"/>
  <c r="U47" i="14"/>
  <c r="U4" i="14"/>
  <c r="S45" i="13"/>
  <c r="U26" i="14"/>
  <c r="T54" i="12"/>
  <c r="W38" i="14"/>
  <c r="W22" i="14"/>
  <c r="S66" i="13"/>
  <c r="S67" i="13"/>
  <c r="U32" i="14"/>
  <c r="S33" i="13"/>
  <c r="T16" i="12"/>
  <c r="W11" i="14"/>
  <c r="W12" i="14"/>
  <c r="S18" i="13"/>
  <c r="S52" i="13"/>
  <c r="U50" i="14"/>
  <c r="S11" i="13"/>
  <c r="U16" i="14"/>
  <c r="S40" i="13"/>
  <c r="S48" i="13"/>
  <c r="U22" i="14"/>
  <c r="U20" i="14"/>
  <c r="S47" i="13"/>
  <c r="U40" i="14"/>
  <c r="U7" i="14"/>
  <c r="U44" i="14"/>
  <c r="S61" i="13"/>
  <c r="U43" i="14"/>
  <c r="U17" i="14"/>
  <c r="U51" i="14"/>
  <c r="T17" i="12"/>
  <c r="T33" i="13"/>
  <c r="T27" i="13"/>
  <c r="T51" i="13"/>
  <c r="T40" i="13"/>
  <c r="W47" i="14"/>
  <c r="V2" i="11" a="1"/>
  <c r="T60" i="13"/>
  <c r="S37" i="13"/>
  <c r="U41" i="14"/>
  <c r="U23" i="14"/>
  <c r="S65" i="13"/>
  <c r="S70" i="13"/>
  <c r="W27" i="14"/>
  <c r="W20" i="14"/>
  <c r="T37" i="13"/>
  <c r="T63" i="12"/>
  <c r="T22" i="13"/>
  <c r="S22" i="13"/>
  <c r="U53" i="14"/>
  <c r="U13" i="14"/>
  <c r="S43" i="13"/>
  <c r="U38" i="14"/>
  <c r="U35" i="14"/>
  <c r="U34" i="14"/>
  <c r="S24" i="13"/>
  <c r="S34" i="13"/>
  <c r="S8" i="13"/>
  <c r="S63" i="13"/>
  <c r="S28" i="13"/>
  <c r="U10" i="14"/>
  <c r="S49" i="13"/>
  <c r="S68" i="13"/>
  <c r="S19" i="13"/>
  <c r="T68" i="12"/>
  <c r="T34" i="12"/>
  <c r="T36" i="13"/>
  <c r="T34" i="13"/>
  <c r="W46" i="14"/>
  <c r="T24" i="13"/>
  <c r="T17" i="13"/>
  <c r="T18" i="12"/>
  <c r="T42" i="13"/>
  <c r="T41" i="13"/>
  <c r="W4" i="14"/>
  <c r="T30" i="12"/>
  <c r="T6" i="12"/>
  <c r="W10" i="14"/>
  <c r="W55" i="14"/>
  <c r="T20" i="13"/>
  <c r="T8" i="12"/>
  <c r="T29" i="13"/>
  <c r="T23" i="12"/>
  <c r="T23" i="13"/>
  <c r="T16" i="13"/>
  <c r="W53" i="14"/>
  <c r="T25" i="13"/>
  <c r="S42" i="13"/>
  <c r="S14" i="13"/>
  <c r="U46" i="14"/>
  <c r="U52" i="14"/>
  <c r="W41" i="14"/>
  <c r="W45" i="14"/>
  <c r="T48" i="13"/>
  <c r="T53" i="13"/>
  <c r="T52" i="12"/>
  <c r="U40" i="12"/>
  <c r="U26" i="12"/>
  <c r="U13" i="12"/>
  <c r="U15" i="12"/>
  <c r="U4" i="13"/>
  <c r="U23" i="13"/>
  <c r="U52" i="13"/>
  <c r="U59" i="13"/>
  <c r="U12" i="12"/>
  <c r="U11" i="12"/>
  <c r="U37" i="13"/>
  <c r="U44" i="12"/>
  <c r="U9" i="12"/>
  <c r="U33" i="12"/>
  <c r="U53" i="13"/>
  <c r="U25" i="12"/>
  <c r="U61" i="12"/>
  <c r="U12" i="13"/>
  <c r="U67" i="13"/>
  <c r="U47" i="12"/>
  <c r="U49" i="12"/>
  <c r="U48" i="12"/>
  <c r="U19" i="12"/>
  <c r="U38" i="12"/>
  <c r="U44" i="13"/>
  <c r="U71" i="13"/>
  <c r="U64" i="12"/>
  <c r="U54" i="13"/>
  <c r="U27" i="13"/>
  <c r="U54" i="12"/>
  <c r="I43" i="1"/>
  <c r="D29" i="1"/>
  <c r="U65" i="13"/>
  <c r="U30" i="12"/>
  <c r="U62" i="13"/>
  <c r="U38" i="13"/>
  <c r="D43" i="1"/>
  <c r="U45" i="13"/>
  <c r="U28" i="12"/>
  <c r="U59" i="12"/>
  <c r="U15" i="13"/>
  <c r="U22" i="13"/>
  <c r="U61" i="13"/>
  <c r="U33" i="13"/>
  <c r="U47" i="13"/>
  <c r="U34" i="13"/>
  <c r="U52" i="12"/>
  <c r="U71" i="12"/>
  <c r="U49" i="13"/>
  <c r="U8" i="12"/>
  <c r="U67" i="12"/>
  <c r="U20" i="13"/>
  <c r="U7" i="12"/>
  <c r="U43" i="12"/>
  <c r="U51" i="12"/>
  <c r="U16" i="13"/>
  <c r="U35" i="12"/>
  <c r="U29" i="13"/>
  <c r="U36" i="12"/>
  <c r="U50" i="12"/>
  <c r="U20" i="12"/>
  <c r="U31" i="13"/>
  <c r="U9" i="13"/>
  <c r="U11" i="13"/>
  <c r="U30" i="13"/>
  <c r="U53" i="12"/>
  <c r="U42" i="12"/>
  <c r="U42" i="13"/>
  <c r="U13" i="13"/>
  <c r="U70" i="12"/>
  <c r="U8" i="13"/>
  <c r="U37" i="12"/>
  <c r="U66" i="13"/>
  <c r="U32" i="13"/>
  <c r="U21" i="13"/>
  <c r="U7" i="13"/>
  <c r="U22" i="12"/>
  <c r="U65" i="12"/>
  <c r="U56" i="12"/>
  <c r="U17" i="12"/>
  <c r="U58" i="12"/>
  <c r="U6" i="13"/>
  <c r="U40" i="13"/>
  <c r="U18" i="13"/>
  <c r="U36" i="13"/>
  <c r="U63" i="12"/>
  <c r="U6" i="12"/>
  <c r="U19" i="13"/>
  <c r="U29" i="12"/>
  <c r="U39" i="12"/>
  <c r="U48" i="13"/>
  <c r="U63" i="13"/>
  <c r="U28" i="13"/>
  <c r="U24" i="13"/>
  <c r="U58" i="13"/>
  <c r="U32" i="12"/>
  <c r="U3" i="12"/>
  <c r="U26" i="13"/>
  <c r="U62" i="12"/>
  <c r="U68" i="12"/>
  <c r="U31" i="12"/>
  <c r="U5" i="13"/>
  <c r="U55" i="12"/>
  <c r="U56" i="13"/>
  <c r="U23" i="12"/>
  <c r="U64" i="13"/>
  <c r="U51" i="13"/>
  <c r="U27" i="12"/>
  <c r="U60" i="13"/>
  <c r="U35" i="13"/>
  <c r="U10" i="12"/>
  <c r="U34" i="12"/>
  <c r="U16" i="12"/>
  <c r="U5" i="12"/>
  <c r="U3" i="13"/>
  <c r="U39" i="13"/>
  <c r="U55" i="13"/>
  <c r="U10" i="13"/>
  <c r="U66" i="12"/>
  <c r="U57" i="13"/>
  <c r="U68" i="13"/>
  <c r="U4" i="12"/>
  <c r="U57" i="12"/>
  <c r="U21" i="12"/>
  <c r="U14" i="12"/>
  <c r="U18" i="12"/>
  <c r="U43" i="13"/>
  <c r="U14" i="13"/>
  <c r="U24" i="12"/>
  <c r="U45" i="12"/>
  <c r="U41" i="13"/>
  <c r="U25" i="13"/>
  <c r="U60" i="12"/>
  <c r="U41" i="12"/>
  <c r="U69" i="12"/>
  <c r="U50" i="13"/>
  <c r="U46" i="13"/>
  <c r="U17" i="13"/>
  <c r="U70" i="13"/>
  <c r="U46" i="12"/>
  <c r="U69" i="13"/>
  <c r="V2" i="13" a="1"/>
  <c r="V2" i="2" a="1"/>
  <c r="D38" i="1"/>
  <c r="D36" i="1"/>
  <c r="D37" i="1"/>
  <c r="C36" i="1"/>
  <c r="C37" i="1"/>
  <c r="D52" i="1"/>
  <c r="C50" i="1"/>
  <c r="C51" i="1"/>
  <c r="D50" i="1"/>
  <c r="D51" i="1"/>
  <c r="I38" i="1"/>
  <c r="H36" i="1"/>
  <c r="H37" i="1"/>
  <c r="I36" i="1"/>
  <c r="I37" i="1"/>
  <c r="I52" i="1"/>
  <c r="H50" i="1"/>
  <c r="H51" i="1"/>
  <c r="I50" i="1"/>
  <c r="I51" i="1"/>
  <c r="V23" i="2" l="1"/>
  <c r="V64" i="2"/>
  <c r="V4" i="2"/>
  <c r="V36" i="2"/>
  <c r="V14" i="2"/>
  <c r="V42" i="2"/>
  <c r="V66" i="2"/>
  <c r="V65" i="2"/>
  <c r="V68" i="2"/>
  <c r="V29" i="2"/>
  <c r="V11" i="2"/>
  <c r="V51" i="2"/>
  <c r="V2" i="2"/>
  <c r="V22" i="2"/>
  <c r="V15" i="2"/>
  <c r="V47" i="2"/>
  <c r="V39" i="2"/>
  <c r="V41" i="2"/>
  <c r="V67" i="2"/>
  <c r="V46" i="2"/>
  <c r="V69" i="2"/>
  <c r="V59" i="2"/>
  <c r="V5" i="2"/>
  <c r="V35" i="2"/>
  <c r="V18" i="2"/>
  <c r="V37" i="2"/>
  <c r="V32" i="2"/>
  <c r="V50" i="2"/>
  <c r="V7" i="2"/>
  <c r="V16" i="2"/>
  <c r="V6" i="2"/>
  <c r="V17" i="2"/>
  <c r="V26" i="2"/>
  <c r="V12" i="2"/>
  <c r="V19" i="2"/>
  <c r="V52" i="2"/>
  <c r="V13" i="2"/>
  <c r="V70" i="2"/>
  <c r="V44" i="2"/>
  <c r="V45" i="2"/>
  <c r="V54" i="2"/>
  <c r="V57" i="2"/>
  <c r="V38" i="2"/>
  <c r="V71" i="2"/>
  <c r="V34" i="2"/>
  <c r="V25" i="2"/>
  <c r="V31" i="2"/>
  <c r="V43" i="2"/>
  <c r="V62" i="2"/>
  <c r="V28" i="2"/>
  <c r="V61" i="2"/>
  <c r="V58" i="2"/>
  <c r="V20" i="2"/>
  <c r="V24" i="2"/>
  <c r="V55" i="2"/>
  <c r="V9" i="2"/>
  <c r="V3" i="2"/>
  <c r="V40" i="2"/>
  <c r="V48" i="2"/>
  <c r="V33" i="2"/>
  <c r="V10" i="2"/>
  <c r="V60" i="2"/>
  <c r="V53" i="2"/>
  <c r="V8" i="2"/>
  <c r="V30" i="2"/>
  <c r="V21" i="2"/>
  <c r="V27" i="2"/>
  <c r="V63" i="2"/>
  <c r="V56" i="2"/>
  <c r="V49" i="2"/>
  <c r="V41" i="12"/>
  <c r="V66" i="12"/>
  <c r="V5" i="12"/>
  <c r="V34" i="12"/>
  <c r="V44" i="12"/>
  <c r="V22" i="12"/>
  <c r="V20" i="12"/>
  <c r="V10" i="12"/>
  <c r="V39" i="12"/>
  <c r="V57" i="12"/>
  <c r="V50" i="12"/>
  <c r="V2" i="12"/>
  <c r="V62" i="12"/>
  <c r="V12" i="12"/>
  <c r="V19" i="12"/>
  <c r="V23" i="12"/>
  <c r="V67" i="12"/>
  <c r="V38" i="12"/>
  <c r="V37" i="12"/>
  <c r="V36" i="12"/>
  <c r="V58" i="12"/>
  <c r="V31" i="12"/>
  <c r="V61" i="12"/>
  <c r="V24" i="12"/>
  <c r="V48" i="12"/>
  <c r="V33" i="12"/>
  <c r="V53" i="12"/>
  <c r="V35" i="12"/>
  <c r="V29" i="12"/>
  <c r="V42" i="12"/>
  <c r="V64" i="12"/>
  <c r="V63" i="12"/>
  <c r="V28" i="12"/>
  <c r="V51" i="12"/>
  <c r="V6" i="12"/>
  <c r="V13" i="12"/>
  <c r="V60" i="12"/>
  <c r="V26" i="12"/>
  <c r="V59" i="12"/>
  <c r="V27" i="12"/>
  <c r="V32" i="12"/>
  <c r="V46" i="12"/>
  <c r="V40" i="12"/>
  <c r="V55" i="12"/>
  <c r="V4" i="12"/>
  <c r="V25" i="12"/>
  <c r="V56" i="12"/>
  <c r="V45" i="12"/>
  <c r="V7" i="12"/>
  <c r="V3" i="12"/>
  <c r="V49" i="12"/>
  <c r="V15" i="12"/>
  <c r="V68" i="12"/>
  <c r="V8" i="12"/>
  <c r="V52" i="12"/>
  <c r="V71" i="12"/>
  <c r="V43" i="12"/>
  <c r="V47" i="12"/>
  <c r="V17" i="12"/>
  <c r="V54" i="12"/>
  <c r="V16" i="12"/>
  <c r="V70" i="12"/>
  <c r="V9" i="12"/>
  <c r="V18" i="12"/>
  <c r="V30" i="12"/>
  <c r="V11" i="12"/>
  <c r="V14" i="12"/>
  <c r="V21" i="12"/>
  <c r="V65" i="12"/>
  <c r="V69" i="12"/>
  <c r="V23" i="11"/>
  <c r="V28" i="11"/>
  <c r="V41" i="11"/>
  <c r="V71" i="11"/>
  <c r="V65" i="11"/>
  <c r="V17" i="11"/>
  <c r="V44" i="11"/>
  <c r="V30" i="11"/>
  <c r="V7" i="11"/>
  <c r="V3" i="11"/>
  <c r="V70" i="11"/>
  <c r="V34" i="11"/>
  <c r="V45" i="11"/>
  <c r="V60" i="11"/>
  <c r="V61" i="11"/>
  <c r="V42" i="11"/>
  <c r="V33" i="11"/>
  <c r="V40" i="11"/>
  <c r="V43" i="11"/>
  <c r="V39" i="11"/>
  <c r="V4" i="11"/>
  <c r="V69" i="11"/>
  <c r="V46" i="11"/>
  <c r="V14" i="11"/>
  <c r="V31" i="11"/>
  <c r="V10" i="11"/>
  <c r="V13" i="11"/>
  <c r="V8" i="11"/>
  <c r="V36" i="11"/>
  <c r="V20" i="11"/>
  <c r="V53" i="11"/>
  <c r="V12" i="11"/>
  <c r="V49" i="11"/>
  <c r="V47" i="11"/>
  <c r="V55" i="11"/>
  <c r="V48" i="11"/>
  <c r="V52" i="11"/>
  <c r="V50" i="11"/>
  <c r="V21" i="11"/>
  <c r="V19" i="11"/>
  <c r="V64" i="11"/>
  <c r="V62" i="11"/>
  <c r="V54" i="11"/>
  <c r="V63" i="11"/>
  <c r="V38" i="11"/>
  <c r="V51" i="11"/>
  <c r="V16" i="11"/>
  <c r="V35" i="11"/>
  <c r="V68" i="11"/>
  <c r="V27" i="11"/>
  <c r="V59" i="11"/>
  <c r="V56" i="11"/>
  <c r="V24" i="11"/>
  <c r="V29" i="11"/>
  <c r="V58" i="11"/>
  <c r="V66" i="11"/>
  <c r="V5" i="11"/>
  <c r="V18" i="11"/>
  <c r="V22" i="11"/>
  <c r="V9" i="11"/>
  <c r="V15" i="11"/>
  <c r="V37" i="11"/>
  <c r="V57" i="11"/>
  <c r="V6" i="11"/>
  <c r="V11" i="11"/>
  <c r="V67" i="11"/>
  <c r="V25" i="11"/>
  <c r="V32" i="11"/>
  <c r="V2" i="11"/>
  <c r="V26" i="11"/>
  <c r="V16" i="13"/>
  <c r="V13" i="13"/>
  <c r="V20" i="13"/>
  <c r="V30" i="13"/>
  <c r="V18" i="13"/>
  <c r="V71" i="13"/>
  <c r="V64" i="13"/>
  <c r="V14" i="13"/>
  <c r="V41" i="13"/>
  <c r="V2" i="13"/>
  <c r="V58" i="13"/>
  <c r="V8" i="13"/>
  <c r="V21" i="13"/>
  <c r="V42" i="13"/>
  <c r="V52" i="13"/>
  <c r="V38" i="13"/>
  <c r="V53" i="13"/>
  <c r="V66" i="13"/>
  <c r="V22" i="13"/>
  <c r="V44" i="13"/>
  <c r="V43" i="13"/>
  <c r="V50" i="13"/>
  <c r="V70" i="13"/>
  <c r="V15" i="13"/>
  <c r="V39" i="13"/>
  <c r="V61" i="13"/>
  <c r="V11" i="13"/>
  <c r="V31" i="13"/>
  <c r="V12" i="13"/>
  <c r="V29" i="13"/>
  <c r="V17" i="13"/>
  <c r="V37" i="13"/>
  <c r="V9" i="13"/>
  <c r="V3" i="13"/>
  <c r="V19" i="13"/>
  <c r="V33" i="13"/>
  <c r="V5" i="13"/>
  <c r="V40" i="13"/>
  <c r="V24" i="13"/>
  <c r="V7" i="13"/>
  <c r="V25" i="13"/>
  <c r="V26" i="13"/>
  <c r="V36" i="13"/>
  <c r="V63" i="13"/>
  <c r="V45" i="13"/>
  <c r="V51" i="13"/>
  <c r="V67" i="13"/>
  <c r="V65" i="13"/>
  <c r="V23" i="13"/>
  <c r="V28" i="13"/>
  <c r="V56" i="13"/>
  <c r="V68" i="13"/>
  <c r="V34" i="13"/>
  <c r="V27" i="13"/>
  <c r="V49" i="13"/>
  <c r="V48" i="13"/>
  <c r="V60" i="13"/>
  <c r="V57" i="13"/>
  <c r="V10" i="13"/>
  <c r="V47" i="13"/>
  <c r="V32" i="13"/>
  <c r="V54" i="13"/>
  <c r="V62" i="13"/>
  <c r="V4" i="13"/>
  <c r="V69" i="13"/>
  <c r="V46" i="13"/>
  <c r="V55" i="13"/>
  <c r="V35" i="13"/>
  <c r="V59" i="13"/>
  <c r="V6" i="13"/>
  <c r="I29" i="1"/>
  <c r="D14" i="1" l="1"/>
  <c r="Y2" i="14" a="1"/>
  <c r="D15" i="1"/>
  <c r="D24" i="1"/>
  <c r="C23" i="1"/>
  <c r="D23" i="1" s="1"/>
  <c r="C22" i="1"/>
  <c r="D22" i="1" s="1"/>
  <c r="Y25" i="14" l="1"/>
  <c r="Y39" i="14"/>
  <c r="Y34" i="14"/>
  <c r="Y51" i="14"/>
  <c r="Y13" i="14"/>
  <c r="Y46" i="14"/>
  <c r="Y17" i="14"/>
  <c r="Y23" i="14"/>
  <c r="Y26" i="14"/>
  <c r="Y43" i="14"/>
  <c r="Y5" i="14"/>
  <c r="Y30" i="14"/>
  <c r="Y9" i="14"/>
  <c r="Y7" i="14"/>
  <c r="Y18" i="14"/>
  <c r="Y35" i="14"/>
  <c r="Y52" i="14"/>
  <c r="Y22" i="14"/>
  <c r="Y56" i="14"/>
  <c r="Y54" i="14"/>
  <c r="Y10" i="14"/>
  <c r="Y27" i="14"/>
  <c r="Y44" i="14"/>
  <c r="Y6" i="14"/>
  <c r="Y40" i="14"/>
  <c r="Y38" i="14"/>
  <c r="Y2" i="14"/>
  <c r="Y19" i="14"/>
  <c r="Y36" i="14"/>
  <c r="Y53" i="14"/>
  <c r="Y24" i="14"/>
  <c r="Y14" i="14"/>
  <c r="Y48" i="14"/>
  <c r="Y11" i="14"/>
  <c r="Y28" i="14"/>
  <c r="Y45" i="14"/>
  <c r="Y16" i="14"/>
  <c r="Y49" i="14"/>
  <c r="Y32" i="14"/>
  <c r="Y3" i="14"/>
  <c r="Y20" i="14"/>
  <c r="Y37" i="14"/>
  <c r="Y47" i="14"/>
  <c r="Y41" i="14"/>
  <c r="Y8" i="14"/>
  <c r="Y50" i="14"/>
  <c r="Y12" i="14"/>
  <c r="Y29" i="14"/>
  <c r="Y31" i="14"/>
  <c r="Y33" i="14"/>
  <c r="Y55" i="14"/>
  <c r="Y42" i="14"/>
  <c r="Y4" i="14"/>
  <c r="Y21" i="14"/>
  <c r="Y15" i="14"/>
  <c r="Y47" i="15"/>
  <c r="Z47" i="15"/>
  <c r="X47" i="15"/>
  <c r="AA47" i="15"/>
  <c r="AB47" i="15"/>
  <c r="X26" i="15"/>
  <c r="Y26" i="15"/>
  <c r="AB26" i="15"/>
  <c r="Z26" i="15"/>
  <c r="AA26" i="15"/>
  <c r="Y54" i="15"/>
  <c r="Z54" i="15"/>
  <c r="X54" i="15"/>
  <c r="AA54" i="15"/>
  <c r="AB54" i="15"/>
  <c r="Z11" i="15"/>
  <c r="AA11" i="15"/>
  <c r="AB11" i="15"/>
  <c r="X11" i="15"/>
  <c r="Y11" i="15"/>
  <c r="Z29" i="15"/>
  <c r="AB29" i="15"/>
  <c r="Y29" i="15"/>
  <c r="AA29" i="15"/>
  <c r="X29" i="15"/>
  <c r="Y38" i="15"/>
  <c r="X38" i="15"/>
  <c r="Z38" i="15"/>
  <c r="AA38" i="15"/>
  <c r="AB38" i="15"/>
  <c r="AA48" i="15"/>
  <c r="AB48" i="15"/>
  <c r="Y48" i="15"/>
  <c r="X48" i="15"/>
  <c r="Z48" i="15"/>
  <c r="Z39" i="15"/>
  <c r="AA39" i="15"/>
  <c r="AB39" i="15"/>
  <c r="X39" i="15"/>
  <c r="Y39" i="15"/>
  <c r="X14" i="15"/>
  <c r="Y14" i="15"/>
  <c r="Z14" i="15"/>
  <c r="AA14" i="15"/>
  <c r="AB14" i="15"/>
  <c r="AA44" i="15"/>
  <c r="AB44" i="15"/>
  <c r="X44" i="15"/>
  <c r="Y44" i="15"/>
  <c r="Z44" i="15"/>
  <c r="AB10" i="15"/>
  <c r="Y10" i="15"/>
  <c r="Z10" i="15"/>
  <c r="AA10" i="15"/>
  <c r="X10" i="15"/>
  <c r="AB30" i="15"/>
  <c r="AA30" i="15"/>
  <c r="Y30" i="15"/>
  <c r="X30" i="15"/>
  <c r="Z30" i="15"/>
  <c r="X37" i="15"/>
  <c r="AA37" i="15"/>
  <c r="Y37" i="15"/>
  <c r="Z37" i="15"/>
  <c r="AB37" i="15"/>
  <c r="X40" i="15"/>
  <c r="AB40" i="15"/>
  <c r="Y40" i="15"/>
  <c r="Z40" i="15"/>
  <c r="AA40" i="15"/>
  <c r="X31" i="15"/>
  <c r="AB31" i="15"/>
  <c r="Y31" i="15"/>
  <c r="Z31" i="15"/>
  <c r="AA31" i="15"/>
  <c r="Z4" i="15"/>
  <c r="AA4" i="15"/>
  <c r="AB4" i="15"/>
  <c r="X4" i="15"/>
  <c r="Y4" i="15"/>
  <c r="Z34" i="15"/>
  <c r="Y34" i="15"/>
  <c r="AA34" i="15"/>
  <c r="AB34" i="15"/>
  <c r="X34" i="15"/>
  <c r="AB33" i="15"/>
  <c r="X33" i="15"/>
  <c r="Y33" i="15"/>
  <c r="Z33" i="15"/>
  <c r="AA33" i="15"/>
  <c r="Y9" i="15"/>
  <c r="Z9" i="15"/>
  <c r="AB9" i="15"/>
  <c r="AA9" i="15"/>
  <c r="X9" i="15"/>
  <c r="X17" i="15"/>
  <c r="AA17" i="15"/>
  <c r="AB17" i="15"/>
  <c r="Y17" i="15"/>
  <c r="Z17" i="15"/>
  <c r="X32" i="15"/>
  <c r="Z32" i="15"/>
  <c r="Y32" i="15"/>
  <c r="AA32" i="15"/>
  <c r="AB32" i="15"/>
  <c r="X23" i="15"/>
  <c r="AA23" i="15"/>
  <c r="Y23" i="15"/>
  <c r="Z23" i="15"/>
  <c r="AB23" i="15"/>
  <c r="Y45" i="15"/>
  <c r="X45" i="15"/>
  <c r="Z45" i="15"/>
  <c r="AA45" i="15"/>
  <c r="AB45" i="15"/>
  <c r="X22" i="15"/>
  <c r="Y22" i="15"/>
  <c r="Z22" i="15"/>
  <c r="AA22" i="15"/>
  <c r="AB22" i="15"/>
  <c r="X41" i="15"/>
  <c r="Z41" i="15"/>
  <c r="Y41" i="15"/>
  <c r="AB41" i="15"/>
  <c r="AA41" i="15"/>
  <c r="AA51" i="15"/>
  <c r="AB51" i="15"/>
  <c r="X51" i="15"/>
  <c r="Y51" i="15"/>
  <c r="Z51" i="15"/>
  <c r="Z28" i="15"/>
  <c r="AA28" i="15"/>
  <c r="AB28" i="15"/>
  <c r="X28" i="15"/>
  <c r="Y28" i="15"/>
  <c r="Y24" i="15"/>
  <c r="Z24" i="15"/>
  <c r="AA24" i="15"/>
  <c r="AB24" i="15"/>
  <c r="X24" i="15"/>
  <c r="Y15" i="15"/>
  <c r="X15" i="15"/>
  <c r="Z15" i="15"/>
  <c r="AA15" i="15"/>
  <c r="AB15" i="15"/>
  <c r="AA35" i="15"/>
  <c r="AB35" i="15"/>
  <c r="X35" i="15"/>
  <c r="Y35" i="15"/>
  <c r="Z35" i="15"/>
  <c r="AB12" i="15"/>
  <c r="X12" i="15"/>
  <c r="AA12" i="15"/>
  <c r="Y12" i="15"/>
  <c r="Z12" i="15"/>
  <c r="Z19" i="15"/>
  <c r="AA19" i="15"/>
  <c r="AB19" i="15"/>
  <c r="X19" i="15"/>
  <c r="Y19" i="15"/>
  <c r="AB50" i="15"/>
  <c r="Z50" i="15"/>
  <c r="AA50" i="15"/>
  <c r="X50" i="15"/>
  <c r="Y50" i="15"/>
  <c r="Y27" i="15"/>
  <c r="X27" i="15"/>
  <c r="AA27" i="15"/>
  <c r="Z27" i="15"/>
  <c r="AB27" i="15"/>
  <c r="AB16" i="15"/>
  <c r="Y16" i="15"/>
  <c r="Z16" i="15"/>
  <c r="X16" i="15"/>
  <c r="AA16" i="15"/>
  <c r="Z7" i="15"/>
  <c r="AA7" i="15"/>
  <c r="X7" i="15"/>
  <c r="Y7" i="15"/>
  <c r="AB7" i="15"/>
  <c r="Z25" i="15"/>
  <c r="AA25" i="15"/>
  <c r="AB25" i="15"/>
  <c r="X25" i="15"/>
  <c r="Y25" i="15"/>
  <c r="X53" i="15"/>
  <c r="Y53" i="15"/>
  <c r="Z53" i="15"/>
  <c r="AA53" i="15"/>
  <c r="AB53" i="15"/>
  <c r="X52" i="15"/>
  <c r="AB52" i="15"/>
  <c r="Y52" i="15"/>
  <c r="Z52" i="15"/>
  <c r="AA52" i="15"/>
  <c r="AA6" i="15"/>
  <c r="AB6" i="15"/>
  <c r="Y6" i="15"/>
  <c r="Z6" i="15"/>
  <c r="X6" i="15"/>
  <c r="Z18" i="15"/>
  <c r="AA18" i="15"/>
  <c r="AB18" i="15"/>
  <c r="Y18" i="15"/>
  <c r="X18" i="15"/>
  <c r="X8" i="15"/>
  <c r="Y8" i="15"/>
  <c r="AA8" i="15"/>
  <c r="AB8" i="15"/>
  <c r="Z8" i="15"/>
  <c r="X46" i="15"/>
  <c r="Z46" i="15"/>
  <c r="Y46" i="15"/>
  <c r="AA46" i="15"/>
  <c r="AB46" i="15"/>
  <c r="X13" i="15"/>
  <c r="Y13" i="15"/>
  <c r="AB13" i="15"/>
  <c r="Z13" i="15"/>
  <c r="AA13" i="15"/>
  <c r="Z43" i="15"/>
  <c r="AA43" i="15"/>
  <c r="AB43" i="15"/>
  <c r="Y43" i="15"/>
  <c r="X43" i="15"/>
  <c r="Z42" i="15"/>
  <c r="AA42" i="15"/>
  <c r="X42" i="15"/>
  <c r="Y42" i="15"/>
  <c r="AB42" i="15"/>
  <c r="Z49" i="15"/>
  <c r="AA49" i="15"/>
  <c r="AB49" i="15"/>
  <c r="Y49" i="15"/>
  <c r="X49" i="15"/>
  <c r="Z55" i="15"/>
  <c r="X55" i="15"/>
  <c r="AA55" i="15"/>
  <c r="Y55" i="15"/>
  <c r="AB55" i="15"/>
  <c r="X36" i="15"/>
  <c r="Y36" i="15"/>
  <c r="Z36" i="15"/>
  <c r="AA36" i="15"/>
  <c r="AB36" i="15"/>
  <c r="AA3" i="15"/>
  <c r="Z3" i="15"/>
  <c r="X3" i="15"/>
  <c r="AB3" i="15"/>
  <c r="Y3" i="15"/>
  <c r="Y21" i="15"/>
  <c r="X21" i="15"/>
  <c r="AB21" i="15"/>
  <c r="Z21" i="15"/>
  <c r="AA21" i="15"/>
  <c r="X20" i="15"/>
  <c r="AA20" i="15"/>
  <c r="AB20" i="15"/>
  <c r="Y20" i="15"/>
  <c r="Z20" i="15"/>
  <c r="AB5" i="15"/>
  <c r="X5" i="15"/>
  <c r="Y5" i="15"/>
  <c r="Z5" i="15"/>
  <c r="AA5" i="15"/>
  <c r="V20" i="15" l="1"/>
  <c r="V21" i="15"/>
  <c r="V36" i="15"/>
  <c r="V49" i="15"/>
  <c r="V42" i="15"/>
  <c r="V43" i="15"/>
  <c r="V13" i="15"/>
  <c r="V46" i="15"/>
  <c r="V18" i="15"/>
  <c r="V25" i="15"/>
  <c r="V16" i="15"/>
  <c r="V27" i="15"/>
  <c r="V50" i="15"/>
  <c r="V19" i="15"/>
  <c r="V12" i="15"/>
  <c r="V35" i="15"/>
  <c r="V15" i="15"/>
  <c r="V24" i="15"/>
  <c r="V28" i="15"/>
  <c r="V51" i="15"/>
  <c r="V41" i="15"/>
  <c r="V22" i="15"/>
  <c r="V45" i="15"/>
  <c r="V23" i="15"/>
  <c r="V32" i="15"/>
  <c r="V17" i="15"/>
  <c r="V33" i="15"/>
  <c r="V34" i="15"/>
  <c r="V31" i="15"/>
  <c r="V40" i="15"/>
  <c r="V37" i="15"/>
  <c r="V30" i="15"/>
  <c r="V10" i="15"/>
  <c r="V44" i="15"/>
  <c r="V14" i="15"/>
  <c r="V39" i="15"/>
  <c r="V48" i="15"/>
  <c r="V38" i="15"/>
  <c r="V29" i="15"/>
  <c r="V11" i="15"/>
  <c r="V26" i="15"/>
  <c r="V47" i="15"/>
  <c r="V55" i="15"/>
  <c r="V52" i="15"/>
  <c r="V53" i="15"/>
  <c r="V54" i="15"/>
  <c r="V5" i="15"/>
  <c r="V3" i="15"/>
  <c r="V8" i="15"/>
  <c r="V6" i="15"/>
  <c r="V7" i="15"/>
  <c r="V9" i="15"/>
  <c r="V4" i="15"/>
  <c r="I14" i="1"/>
  <c r="AC2" i="15" a="1"/>
  <c r="AC9" i="15"/>
  <c r="AC73" i="15"/>
  <c r="AC50" i="15"/>
  <c r="AC27" i="15"/>
  <c r="AC4" i="15"/>
  <c r="AC68" i="15"/>
  <c r="AC45" i="15"/>
  <c r="AC22" i="15"/>
  <c r="AC86" i="15"/>
  <c r="AC63" i="15"/>
  <c r="AC40" i="15"/>
  <c r="AC17" i="15"/>
  <c r="AC81" i="15"/>
  <c r="AC58" i="15"/>
  <c r="AC35" i="15"/>
  <c r="AC12" i="15"/>
  <c r="AC76" i="15"/>
  <c r="AC53" i="15"/>
  <c r="AC30" i="15"/>
  <c r="AC7" i="15"/>
  <c r="AC71" i="15"/>
  <c r="AC48" i="15"/>
  <c r="AC25" i="15"/>
  <c r="AC2" i="15"/>
  <c r="AC66" i="15"/>
  <c r="AC43" i="15"/>
  <c r="AC20" i="15"/>
  <c r="AC84" i="15"/>
  <c r="AC61" i="15"/>
  <c r="AC38" i="15"/>
  <c r="AC15" i="15"/>
  <c r="AC79" i="15"/>
  <c r="AC56" i="15"/>
  <c r="AC33" i="15"/>
  <c r="AC10" i="15"/>
  <c r="AC74" i="15"/>
  <c r="AC51" i="15"/>
  <c r="AC28" i="15"/>
  <c r="AC5" i="15"/>
  <c r="AC69" i="15"/>
  <c r="AC46" i="15"/>
  <c r="AC23" i="15"/>
  <c r="AC87" i="15"/>
  <c r="AC64" i="15"/>
  <c r="AC41" i="15"/>
  <c r="AC82" i="15"/>
  <c r="AC36" i="15"/>
  <c r="AC77" i="15"/>
  <c r="AC31" i="15"/>
  <c r="AC72" i="15"/>
  <c r="AC49" i="15"/>
  <c r="AC3" i="15"/>
  <c r="AC44" i="15"/>
  <c r="AC85" i="15"/>
  <c r="AC39" i="15"/>
  <c r="AC80" i="15"/>
  <c r="AC57" i="15"/>
  <c r="AC11" i="15"/>
  <c r="AC52" i="15"/>
  <c r="AC6" i="15"/>
  <c r="AC47" i="15"/>
  <c r="AC88" i="15"/>
  <c r="AC65" i="15"/>
  <c r="AC19" i="15"/>
  <c r="AC60" i="15"/>
  <c r="AC14" i="15"/>
  <c r="AC55" i="15"/>
  <c r="AC18" i="15"/>
  <c r="AC59" i="15"/>
  <c r="AC13" i="15"/>
  <c r="AC54" i="15"/>
  <c r="AC8" i="15"/>
  <c r="AC26" i="15"/>
  <c r="AC67" i="15"/>
  <c r="AC21" i="15"/>
  <c r="AC62" i="15"/>
  <c r="AC16" i="15"/>
  <c r="AC34" i="15"/>
  <c r="AC75" i="15"/>
  <c r="AC29" i="15"/>
  <c r="AC70" i="15"/>
  <c r="AC24" i="15"/>
  <c r="AC42" i="15"/>
  <c r="AC37" i="15"/>
  <c r="AC78" i="15"/>
  <c r="AC32" i="15"/>
  <c r="AC83" i="15"/>
  <c r="I24" i="1"/>
  <c r="H22" i="1"/>
  <c r="I22" i="1"/>
  <c r="H23" i="1"/>
  <c r="I23" i="1"/>
  <c r="I15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4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44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5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45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47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48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<sst xmlns="http://schemas.openxmlformats.org/spreadsheetml/2006/main" count="1945" uniqueCount="180">
  <si>
    <t>3M</t>
  </si>
  <si>
    <t>tenor</t>
  </si>
  <si>
    <t>fixing days</t>
  </si>
  <si>
    <t>eom</t>
  </si>
  <si>
    <t>daycounter</t>
  </si>
  <si>
    <t>Quote Object ID</t>
  </si>
  <si>
    <t>1M</t>
  </si>
  <si>
    <t>6M</t>
  </si>
  <si>
    <t>Future Code</t>
  </si>
  <si>
    <t>Index</t>
  </si>
  <si>
    <t>ConvAdj Quote Object ID</t>
  </si>
  <si>
    <t>Fwd start</t>
  </si>
  <si>
    <t>Freq</t>
  </si>
  <si>
    <t>Business Day Convention</t>
  </si>
  <si>
    <t>0D</t>
  </si>
  <si>
    <t>Modified Following</t>
  </si>
  <si>
    <t>Annual</t>
  </si>
  <si>
    <t>30/360 (Bond Basis)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</si>
  <si>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</si>
  <si>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</si>
  <si>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</si>
  <si>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</si>
  <si>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</si>
  <si>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</si>
  <si>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</si>
  <si>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</si>
  <si>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</si>
  <si>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</si>
  <si>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</si>
  <si>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</si>
  <si>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</si>
  <si>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</si>
  <si>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IMM Date</t>
  </si>
  <si>
    <t>Earliest Date</t>
  </si>
  <si>
    <t>Latest Date</t>
  </si>
  <si>
    <t>Rate</t>
  </si>
  <si>
    <t>Rate Helpers</t>
  </si>
  <si>
    <t>Sf</t>
  </si>
  <si>
    <t>Sw</t>
  </si>
  <si>
    <t>Dp</t>
  </si>
  <si>
    <t>Selected</t>
  </si>
  <si>
    <t>Actual/360</t>
  </si>
  <si>
    <t>1Y</t>
  </si>
  <si>
    <t>Euribor3M</t>
  </si>
  <si>
    <t>Tenor</t>
  </si>
  <si>
    <t>Evaluation Date</t>
  </si>
  <si>
    <t>SettlementDate</t>
  </si>
  <si>
    <t>EUR1M</t>
  </si>
  <si>
    <t>EUR1Y</t>
  </si>
  <si>
    <t>EUR6M</t>
  </si>
  <si>
    <t>EURSTD</t>
  </si>
  <si>
    <t>Discount</t>
  </si>
  <si>
    <t>Code</t>
  </si>
  <si>
    <t>Business Day Conv</t>
  </si>
  <si>
    <t>Zero Rate</t>
  </si>
  <si>
    <t>USD</t>
  </si>
  <si>
    <t>JoinCalendar Rule</t>
  </si>
  <si>
    <t>JoinHolidays</t>
  </si>
  <si>
    <t>GB Calendar</t>
  </si>
  <si>
    <t>US Calendar</t>
  </si>
  <si>
    <t>UnitedStates::Settlement</t>
  </si>
  <si>
    <t>JoinCalendar</t>
  </si>
  <si>
    <t>Family Name</t>
  </si>
  <si>
    <t>Libor</t>
  </si>
  <si>
    <t>UnitedKingdom::Exchange</t>
  </si>
  <si>
    <t>HolidayCheck</t>
  </si>
  <si>
    <t xml:space="preserve"> </t>
  </si>
  <si>
    <t>MonotonicLogCubicNaturalSpline</t>
  </si>
  <si>
    <t>_NEWEUR3M</t>
  </si>
  <si>
    <t>_NEWEUR6M</t>
  </si>
  <si>
    <t>_NEWEUR1M</t>
  </si>
  <si>
    <t>_NEWEUR1Y</t>
  </si>
  <si>
    <t>_NEWEURSTD</t>
  </si>
  <si>
    <t>_NEWEURON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</si>
  <si>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</si>
  <si>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</si>
  <si>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</si>
  <si>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</si>
  <si>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</si>
  <si>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</si>
  <si>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</si>
  <si>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</si>
  <si>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</si>
  <si>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</si>
  <si>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</si>
  <si>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</si>
  <si>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</si>
  <si>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</si>
  <si>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</si>
  <si>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</si>
  <si>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</si>
  <si>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</si>
  <si>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</si>
  <si>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</si>
  <si>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</si>
  <si>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</si>
  <si>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</si>
  <si>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2Y</t>
  </si>
  <si>
    <t>27M</t>
  </si>
  <si>
    <t>30M</t>
  </si>
  <si>
    <t>33M</t>
  </si>
  <si>
    <t>3Y</t>
  </si>
  <si>
    <t>39M</t>
  </si>
  <si>
    <t>42M</t>
  </si>
  <si>
    <t>45M</t>
  </si>
  <si>
    <t>4Y</t>
  </si>
  <si>
    <t>51M</t>
  </si>
  <si>
    <t>54M</t>
  </si>
  <si>
    <t>57M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</si>
  <si>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</si>
  <si>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</si>
  <si>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</si>
  <si>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</si>
  <si>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</si>
  <si>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</si>
  <si>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</si>
  <si>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</si>
  <si>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</si>
  <si>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</si>
  <si>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</si>
  <si>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</si>
  <si>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</si>
  <si>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</si>
  <si>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</si>
  <si>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</si>
  <si>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OIS</t>
  </si>
  <si>
    <t>QuoteSuffix</t>
  </si>
  <si>
    <t>_Quote</t>
  </si>
  <si>
    <t>TN</t>
  </si>
  <si>
    <t>SN</t>
  </si>
  <si>
    <t>FedFunds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</si>
  <si>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</si>
  <si>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</si>
  <si>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</si>
  <si>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</si>
  <si>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</si>
  <si>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</si>
  <si>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</si>
  <si>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</si>
  <si>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</si>
  <si>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</si>
  <si>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</si>
  <si>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</si>
  <si>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</si>
  <si>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</si>
  <si>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</si>
  <si>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</si>
  <si>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</si>
  <si>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</si>
  <si>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</si>
  <si>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</si>
  <si>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</si>
  <si>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</si>
  <si>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</si>
  <si>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</si>
  <si>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</si>
  <si>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</si>
  <si>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</si>
  <si>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</si>
  <si>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</si>
  <si>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</si>
  <si>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</si>
  <si>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</si>
  <si>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</si>
  <si>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</si>
  <si>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</si>
  <si>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</si>
  <si>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</si>
  <si>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</si>
  <si>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</si>
  <si>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</si>
  <si>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</si>
  <si>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</si>
  <si>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</si>
  <si>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AM</t>
  </si>
  <si>
    <t>3L</t>
  </si>
  <si>
    <t>fwd</t>
  </si>
  <si>
    <t>Day Count</t>
  </si>
  <si>
    <t>qlSwapRateHelper2(,I90,,C90&amp;"M",JoinCalendar,USD3M!E90,USD3M!F90,USD3M!G90,USD3M!H90,USD3M!J90,USD3M!D90,Discounting,PillarDate,,Permanent,Trigger,ObjectOverwrite)</t>
  </si>
  <si>
    <t>qlFraRateHelper(,I12,C12&amp;"M",H12,PillarDate,,Permanent,Trigger,ObjectOverwrite)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</si>
</sst>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"/>
    <numFmt numFmtId="174" formatCode="0.000000"/>
    <numFmt numFmtId="175" formatCode="_([$€-2]* #,##0.00_);_([$€-2]* \(#,##0.00\);_([$€-2]* &quot;-&quot;??_)"/>
    <numFmt numFmtId="176" formatCode="General_)"/>
    <numFmt numFmtId="177" formatCode="#,##0.0;#,##0.0"/>
    <numFmt numFmtId="178" formatCode="&quot;£&quot;#,##0;[Red]\-&quot;£&quot;#,##0"/>
    <numFmt numFmtId="179" formatCode="dd\-mmm\-yy"/>
    <numFmt numFmtId="181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6" fontId="7" fillId="0" borderId="0"/>
    <xf numFmtId="177" fontId="8" fillId="5" borderId="0">
      <alignment horizontal="center" vertical="center"/>
    </xf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</cellStyleXfs>
  <cellXfs count="232">
    <xf numFmtId="0" fontId="0" fillId="0" borderId="0" xfId="0"/>
    <xf numFmtId="0" fontId="3" fillId="2" borderId="2" xfId="1" applyFont="1" applyFill="1" applyBorder="1"/>
    <xf numFmtId="0" fontId="3" fillId="2" borderId="1" xfId="1" applyFont="1" applyFill="1" applyBorder="1" applyAlignment="1">
      <alignment horizontal="center"/>
    </xf>
    <xf numFmtId="164" fontId="3" fillId="2" borderId="1" xfId="1" applyNumberFormat="1" applyFont="1" applyFill="1" applyBorder="1" applyAlignment="1"/>
    <xf numFmtId="0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3" fillId="2" borderId="1" xfId="1" quotePrefix="1" applyFont="1" applyFill="1" applyBorder="1" applyAlignment="1">
      <alignment horizontal="center"/>
    </xf>
    <xf numFmtId="167" fontId="3" fillId="2" borderId="1" xfId="1" quotePrefix="1" applyNumberFormat="1" applyFont="1" applyFill="1" applyBorder="1" applyAlignment="1">
      <alignment horizontal="center"/>
    </xf>
    <xf numFmtId="0" fontId="3" fillId="2" borderId="5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center"/>
    </xf>
    <xf numFmtId="0" fontId="5" fillId="0" borderId="0" xfId="0" applyFont="1"/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173" fontId="3" fillId="2" borderId="5" xfId="2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0" fontId="3" fillId="2" borderId="1" xfId="1" quotePrefix="1" applyFont="1" applyFill="1" applyBorder="1" applyAlignment="1">
      <alignment horizontal="left"/>
    </xf>
    <xf numFmtId="164" fontId="5" fillId="0" borderId="6" xfId="0" applyNumberFormat="1" applyFont="1" applyBorder="1"/>
    <xf numFmtId="164" fontId="5" fillId="0" borderId="1" xfId="0" applyNumberFormat="1" applyFont="1" applyBorder="1"/>
    <xf numFmtId="164" fontId="3" fillId="2" borderId="1" xfId="1" applyNumberFormat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 vertical="center"/>
    </xf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3" fillId="2" borderId="1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3" fillId="8" borderId="0" xfId="1" applyFont="1" applyFill="1" applyBorder="1" applyAlignment="1">
      <alignment horizontal="right" vertical="center"/>
    </xf>
    <xf numFmtId="0" fontId="3" fillId="8" borderId="0" xfId="1" applyFont="1" applyFill="1" applyBorder="1" applyAlignment="1">
      <alignment horizontal="center" vertical="center"/>
    </xf>
    <xf numFmtId="0" fontId="3" fillId="8" borderId="0" xfId="1" applyFont="1" applyFill="1" applyBorder="1" applyAlignment="1">
      <alignment horizontal="right"/>
    </xf>
    <xf numFmtId="164" fontId="3" fillId="8" borderId="4" xfId="1" applyNumberFormat="1" applyFont="1" applyFill="1" applyBorder="1" applyAlignment="1"/>
    <xf numFmtId="164" fontId="3" fillId="8" borderId="0" xfId="1" applyNumberFormat="1" applyFont="1" applyFill="1" applyBorder="1" applyAlignment="1"/>
    <xf numFmtId="164" fontId="3" fillId="8" borderId="0" xfId="1" applyNumberFormat="1" applyFont="1" applyFill="1" applyBorder="1" applyAlignment="1">
      <alignment horizontal="right" vertical="center"/>
    </xf>
    <xf numFmtId="0" fontId="3" fillId="8" borderId="0" xfId="1" applyNumberFormat="1" applyFont="1" applyFill="1" applyBorder="1" applyAlignment="1">
      <alignment horizontal="center" vertical="center"/>
    </xf>
    <xf numFmtId="164" fontId="3" fillId="8" borderId="0" xfId="1" applyNumberFormat="1" applyFont="1" applyFill="1" applyBorder="1" applyAlignment="1">
      <alignment horizontal="right"/>
    </xf>
    <xf numFmtId="0" fontId="3" fillId="8" borderId="0" xfId="1" applyNumberFormat="1" applyFont="1" applyFill="1" applyBorder="1" applyAlignment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0" fontId="3" fillId="8" borderId="0" xfId="1" applyNumberFormat="1" applyFont="1" applyFill="1" applyBorder="1" applyAlignment="1">
      <alignment horizontal="center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right"/>
    </xf>
    <xf numFmtId="164" fontId="3" fillId="2" borderId="8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/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right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/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1" xfId="0" applyFont="1" applyFill="1" applyBorder="1"/>
    <xf numFmtId="0" fontId="3" fillId="7" borderId="12" xfId="0" applyFont="1" applyFill="1" applyBorder="1" applyAlignment="1">
      <alignment horizontal="centerContinuous" vertical="center"/>
    </xf>
    <xf numFmtId="0" fontId="3" fillId="7" borderId="9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0" fontId="5" fillId="0" borderId="8" xfId="0" applyFont="1" applyBorder="1"/>
    <xf numFmtId="174" fontId="3" fillId="7" borderId="12" xfId="0" applyNumberFormat="1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2" borderId="8" xfId="1" quotePrefix="1" applyFont="1" applyFill="1" applyBorder="1" applyAlignment="1">
      <alignment horizontal="left"/>
    </xf>
    <xf numFmtId="167" fontId="3" fillId="2" borderId="8" xfId="1" quotePrefix="1" applyNumberFormat="1" applyFont="1" applyFill="1" applyBorder="1" applyAlignment="1">
      <alignment horizontal="center"/>
    </xf>
    <xf numFmtId="0" fontId="3" fillId="2" borderId="8" xfId="1" quotePrefix="1" applyFont="1" applyFill="1" applyBorder="1" applyAlignment="1">
      <alignment horizontal="center"/>
    </xf>
    <xf numFmtId="0" fontId="3" fillId="2" borderId="8" xfId="1" applyFont="1" applyFill="1" applyBorder="1" applyAlignment="1">
      <alignment horizontal="center"/>
    </xf>
    <xf numFmtId="173" fontId="3" fillId="2" borderId="11" xfId="2" applyNumberFormat="1" applyFont="1" applyFill="1" applyBorder="1" applyAlignment="1">
      <alignment horizontal="right"/>
    </xf>
    <xf numFmtId="0" fontId="3" fillId="2" borderId="11" xfId="2" applyNumberFormat="1" applyFont="1" applyFill="1" applyBorder="1" applyAlignment="1">
      <alignment horizontal="right"/>
    </xf>
    <xf numFmtId="164" fontId="3" fillId="2" borderId="8" xfId="2" applyNumberFormat="1" applyFont="1" applyFill="1" applyBorder="1" applyAlignment="1">
      <alignment horizontal="center"/>
    </xf>
    <xf numFmtId="0" fontId="3" fillId="2" borderId="6" xfId="1" quotePrefix="1" applyFont="1" applyFill="1" applyBorder="1" applyAlignment="1">
      <alignment horizontal="left"/>
    </xf>
    <xf numFmtId="167" fontId="3" fillId="2" borderId="6" xfId="1" quotePrefix="1" applyNumberFormat="1" applyFont="1" applyFill="1" applyBorder="1" applyAlignment="1">
      <alignment horizontal="center"/>
    </xf>
    <xf numFmtId="0" fontId="3" fillId="2" borderId="6" xfId="1" quotePrefix="1" applyFont="1" applyFill="1" applyBorder="1" applyAlignment="1">
      <alignment horizontal="center"/>
    </xf>
    <xf numFmtId="0" fontId="3" fillId="2" borderId="6" xfId="1" applyFont="1" applyFill="1" applyBorder="1" applyAlignment="1">
      <alignment horizontal="center"/>
    </xf>
    <xf numFmtId="173" fontId="3" fillId="2" borderId="7" xfId="2" applyNumberFormat="1" applyFont="1" applyFill="1" applyBorder="1" applyAlignment="1">
      <alignment horizontal="right"/>
    </xf>
    <xf numFmtId="0" fontId="3" fillId="2" borderId="7" xfId="2" applyNumberFormat="1" applyFont="1" applyFill="1" applyBorder="1" applyAlignment="1">
      <alignment horizontal="right"/>
    </xf>
    <xf numFmtId="164" fontId="3" fillId="2" borderId="6" xfId="2" applyNumberFormat="1" applyFont="1" applyFill="1" applyBorder="1" applyAlignment="1">
      <alignment horizontal="center"/>
    </xf>
    <xf numFmtId="0" fontId="3" fillId="2" borderId="8" xfId="1" applyNumberFormat="1" applyFont="1" applyFill="1" applyBorder="1" applyAlignment="1">
      <alignment horizontal="center"/>
    </xf>
    <xf numFmtId="0" fontId="3" fillId="0" borderId="8" xfId="2" applyNumberFormat="1" applyFont="1" applyFill="1" applyBorder="1" applyAlignment="1">
      <alignment horizontal="center"/>
    </xf>
    <xf numFmtId="165" fontId="3" fillId="2" borderId="8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center"/>
    </xf>
    <xf numFmtId="0" fontId="3" fillId="0" borderId="6" xfId="2" applyNumberFormat="1" applyFont="1" applyFill="1" applyBorder="1" applyAlignment="1">
      <alignment horizontal="center"/>
    </xf>
    <xf numFmtId="165" fontId="3" fillId="2" borderId="6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center"/>
    </xf>
    <xf numFmtId="0" fontId="3" fillId="0" borderId="1" xfId="2" applyNumberFormat="1" applyFont="1" applyFill="1" applyBorder="1" applyAlignment="1">
      <alignment horizontal="center"/>
    </xf>
    <xf numFmtId="165" fontId="3" fillId="2" borderId="1" xfId="1" applyNumberFormat="1" applyFont="1" applyFill="1" applyBorder="1" applyAlignment="1">
      <alignment horizontal="right"/>
    </xf>
    <xf numFmtId="0" fontId="3" fillId="7" borderId="2" xfId="0" applyFont="1" applyFill="1" applyBorder="1" applyAlignment="1">
      <alignment horizontal="center" vertical="center"/>
    </xf>
    <xf numFmtId="174" fontId="3" fillId="7" borderId="2" xfId="0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9" fontId="3" fillId="2" borderId="8" xfId="1" quotePrefix="1" applyNumberFormat="1" applyFont="1" applyFill="1" applyBorder="1" applyAlignment="1">
      <alignment horizontal="center"/>
    </xf>
    <xf numFmtId="179" fontId="3" fillId="2" borderId="6" xfId="1" quotePrefix="1" applyNumberFormat="1" applyFont="1" applyFill="1" applyBorder="1" applyAlignment="1">
      <alignment horizontal="center"/>
    </xf>
    <xf numFmtId="179" fontId="3" fillId="2" borderId="1" xfId="1" quotePrefix="1" applyNumberFormat="1" applyFont="1" applyFill="1" applyBorder="1" applyAlignment="1">
      <alignment horizontal="center"/>
    </xf>
    <xf numFmtId="164" fontId="3" fillId="2" borderId="8" xfId="1" applyNumberFormat="1" applyFont="1" applyFill="1" applyBorder="1" applyAlignment="1">
      <alignment horizontal="center"/>
    </xf>
    <xf numFmtId="164" fontId="3" fillId="2" borderId="6" xfId="1" applyNumberFormat="1" applyFont="1" applyFill="1" applyBorder="1" applyAlignment="1">
      <alignment horizontal="center"/>
    </xf>
    <xf numFmtId="174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167" fontId="3" fillId="2" borderId="3" xfId="1" applyNumberFormat="1" applyFont="1" applyFill="1" applyBorder="1" applyAlignment="1">
      <alignment horizontal="center"/>
    </xf>
    <xf numFmtId="167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7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9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9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9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81" fontId="5" fillId="0" borderId="8" xfId="0" applyNumberFormat="1" applyFont="1" applyBorder="1" applyAlignment="1">
      <alignment horizontal="center"/>
    </xf>
    <xf numFmtId="181" fontId="5" fillId="0" borderId="6" xfId="0" applyNumberFormat="1" applyFont="1" applyBorder="1" applyAlignment="1">
      <alignment horizontal="center"/>
    </xf>
    <xf numFmtId="181" fontId="5" fillId="0" borderId="1" xfId="0" applyNumberFormat="1" applyFont="1" applyBorder="1" applyAlignment="1">
      <alignment horizontal="center"/>
    </xf>
    <xf numFmtId="179" fontId="5" fillId="3" borderId="1" xfId="0" applyNumberFormat="1" applyFont="1" applyFill="1" applyBorder="1" applyAlignment="1">
      <alignment horizontal="center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3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64" customWidth="1"/>
    <col min="3" max="3" width="20.28515625" style="64" bestFit="1" customWidth="1"/>
    <col min="4" max="4" width="30.7109375" style="64" customWidth="1"/>
    <col min="5" max="7" width="2.7109375" style="64" customWidth="1"/>
    <col min="8" max="8" width="20.28515625" style="64" bestFit="1" customWidth="1"/>
    <col min="9" max="9" width="30.7109375" style="64" customWidth="1"/>
    <col min="10" max="10" width="2.7109375" style="64" customWidth="1"/>
    <col min="11" max="13" width="9.140625" style="64"/>
    <col min="14" max="14" width="9.7109375" style="64" bestFit="1" customWidth="1"/>
    <col min="15" max="16384" width="9.140625" style="64"/>
  </cols>
  <sheetData>
    <row r="2" spans="1:10" x14ac:dyDescent="0.2">
      <c r="B2" s="151"/>
      <c r="C2" s="152"/>
      <c r="D2" s="152"/>
      <c r="E2" s="153"/>
      <c r="G2" s="151"/>
      <c r="H2" s="152"/>
      <c r="I2" s="152"/>
      <c r="J2" s="153"/>
    </row>
    <row r="3" spans="1:10" ht="11.25" customHeight="1" x14ac:dyDescent="0.2">
      <c r="B3" s="156"/>
      <c r="C3" s="26" t="s">
        <v>31</v>
      </c>
      <c r="D3" s="148" t="s">
        <v>55</v>
      </c>
      <c r="E3" s="154"/>
      <c r="G3" s="156"/>
      <c r="H3" s="26" t="s">
        <v>45</v>
      </c>
      <c r="I3" s="27">
        <f>_xll.qlSettingsEvaluationDate(Trigger)</f>
        <v>42180</v>
      </c>
      <c r="J3" s="154"/>
    </row>
    <row r="4" spans="1:10" ht="11.25" customHeight="1" x14ac:dyDescent="0.2">
      <c r="B4" s="156"/>
      <c r="C4" s="28" t="s">
        <v>28</v>
      </c>
      <c r="D4" s="30" t="b">
        <v>1</v>
      </c>
      <c r="E4" s="154"/>
      <c r="G4" s="156"/>
      <c r="H4" s="28" t="s">
        <v>46</v>
      </c>
      <c r="I4" s="29">
        <f>_xll.qlCalendarAdvance(Calendar,Evaluationdate,"2D","F",,Trigger)</f>
        <v>42184</v>
      </c>
      <c r="J4" s="154"/>
    </row>
    <row r="5" spans="1:10" ht="11.25" customHeight="1" x14ac:dyDescent="0.2">
      <c r="A5" s="66"/>
      <c r="B5" s="157"/>
      <c r="C5" s="34" t="s">
        <v>27</v>
      </c>
      <c r="D5" s="35"/>
      <c r="E5" s="154"/>
      <c r="G5" s="156"/>
      <c r="H5" s="28" t="s">
        <v>56</v>
      </c>
      <c r="I5" s="29" t="s">
        <v>57</v>
      </c>
      <c r="J5" s="154"/>
    </row>
    <row r="6" spans="1:10" ht="11.25" customHeight="1" x14ac:dyDescent="0.2">
      <c r="A6" s="66"/>
      <c r="B6" s="157"/>
      <c r="C6" s="28" t="s">
        <v>29</v>
      </c>
      <c r="D6" s="30" t="b">
        <v>1</v>
      </c>
      <c r="E6" s="154"/>
      <c r="G6" s="156"/>
      <c r="H6" s="28" t="s">
        <v>58</v>
      </c>
      <c r="I6" s="29" t="s">
        <v>64</v>
      </c>
      <c r="J6" s="154"/>
    </row>
    <row r="7" spans="1:10" ht="11.25" customHeight="1" x14ac:dyDescent="0.2">
      <c r="A7" s="66"/>
      <c r="B7" s="157"/>
      <c r="C7" s="28" t="s">
        <v>30</v>
      </c>
      <c r="D7" s="31" t="str">
        <f>Currency&amp;"ON"</f>
        <v>USDON</v>
      </c>
      <c r="E7" s="154"/>
      <c r="G7" s="156"/>
      <c r="H7" s="28" t="s">
        <v>59</v>
      </c>
      <c r="I7" s="29" t="s">
        <v>60</v>
      </c>
      <c r="J7" s="154"/>
    </row>
    <row r="8" spans="1:10" ht="11.25" customHeight="1" x14ac:dyDescent="0.2">
      <c r="A8" s="66"/>
      <c r="B8" s="157"/>
      <c r="C8" s="28" t="s">
        <v>62</v>
      </c>
      <c r="D8" s="31" t="s">
        <v>63</v>
      </c>
      <c r="E8" s="154"/>
      <c r="G8" s="156"/>
      <c r="H8" s="28" t="s">
        <v>61</v>
      </c>
      <c r="I8" s="150" t="str">
        <f>I5&amp;"("&amp;I6&amp;","&amp;I7&amp;")"</f>
        <v>JoinHolidays(UnitedKingdom::Exchange,UnitedStates::Settlement)</v>
      </c>
      <c r="J8" s="154" t="s">
        <v>66</v>
      </c>
    </row>
    <row r="9" spans="1:10" ht="11.25" customHeight="1" x14ac:dyDescent="0.2">
      <c r="B9" s="158"/>
      <c r="C9" s="32" t="s">
        <v>126</v>
      </c>
      <c r="D9" s="33" t="s">
        <v>127</v>
      </c>
      <c r="E9" s="154"/>
      <c r="G9" s="156"/>
      <c r="H9" s="32" t="s">
        <v>65</v>
      </c>
      <c r="I9" s="149" t="b">
        <f>IF(_xll.qlCalendarIsHoliday(LocalCalendar,_xll.qlCalendarAdvance(LiborCalendar,Evaluationdate,"2D",,,Trigger),Trigger),TRUE,FALSE)</f>
        <v>0</v>
      </c>
      <c r="J9" s="154"/>
    </row>
    <row r="10" spans="1:10" ht="11.25" customHeight="1" x14ac:dyDescent="0.2">
      <c r="B10" s="158"/>
      <c r="C10" s="32" t="s">
        <v>134</v>
      </c>
      <c r="D10" s="33" t="s">
        <v>135</v>
      </c>
      <c r="E10" s="154"/>
      <c r="G10" s="156"/>
      <c r="H10" s="34" t="s">
        <v>23</v>
      </c>
      <c r="I10" s="164" t="str">
        <f>IF(HolidayCheck,JoinCalendar,LiborCalendar)</f>
        <v>UnitedKingdom::Exchange</v>
      </c>
      <c r="J10" s="154"/>
    </row>
    <row r="11" spans="1:10" ht="11.25" customHeight="1" x14ac:dyDescent="0.2">
      <c r="B11" s="159"/>
      <c r="C11" s="160"/>
      <c r="D11" s="161"/>
      <c r="E11" s="155"/>
      <c r="G11" s="162"/>
      <c r="H11" s="160"/>
      <c r="I11" s="163"/>
      <c r="J11" s="155"/>
    </row>
    <row r="12" spans="1:10" ht="11.25" customHeight="1" x14ac:dyDescent="0.2"/>
    <row r="13" spans="1:10" x14ac:dyDescent="0.2">
      <c r="B13" s="53"/>
      <c r="C13" s="54"/>
      <c r="D13" s="54"/>
      <c r="E13" s="55"/>
      <c r="G13" s="53"/>
      <c r="H13" s="54"/>
      <c r="I13" s="54"/>
      <c r="J13" s="55"/>
    </row>
    <row r="14" spans="1:10" x14ac:dyDescent="0.2">
      <c r="B14" s="37"/>
      <c r="C14" s="36" t="s">
        <v>19</v>
      </c>
      <c r="D14" s="57" t="str">
        <f>_xll.qlPiecewiseYieldCurve($D$16,$D$17,Calendar,_xll.ohPack(USDON!S3:S56),,,,D18,D19,D20,Permanent,,ObjectOverwrite)</f>
        <v>_NEWEURON#0061</v>
      </c>
      <c r="E14" s="58"/>
      <c r="G14" s="37"/>
      <c r="H14" s="36" t="s">
        <v>19</v>
      </c>
      <c r="I14" s="57" t="str">
        <f>_xll.qlPiecewiseYieldCurve(I16,I17,Calendar,_xll.ohPack(USD3M!W3:W88),,,,I18,I19,I20,Permanent,,ObjectOverwrite)</f>
        <v>_NEWEUR3M#0048</v>
      </c>
      <c r="J14" s="58"/>
    </row>
    <row r="15" spans="1:10" x14ac:dyDescent="0.2">
      <c r="B15" s="37"/>
      <c r="C15" s="38" t="s">
        <v>20</v>
      </c>
      <c r="D15" s="59" t="str">
        <f>_xll.ohRangeRetrieveError(YieldCurve_ON)</f>
        <v/>
      </c>
      <c r="E15" s="58"/>
      <c r="G15" s="37"/>
      <c r="H15" s="38" t="s">
        <v>20</v>
      </c>
      <c r="I15" s="59" t="str">
        <f>_xll.ohRangeRetrieveError(YieldCurve_3M)</f>
        <v/>
      </c>
      <c r="J15" s="58"/>
    </row>
    <row r="16" spans="1:10" x14ac:dyDescent="0.2">
      <c r="B16" s="37"/>
      <c r="C16" s="36" t="s">
        <v>21</v>
      </c>
      <c r="D16" s="39" t="s">
        <v>73</v>
      </c>
      <c r="E16" s="58"/>
      <c r="G16" s="37"/>
      <c r="H16" s="36" t="s">
        <v>21</v>
      </c>
      <c r="I16" s="39" t="s">
        <v>68</v>
      </c>
      <c r="J16" s="58"/>
    </row>
    <row r="17" spans="1:10" x14ac:dyDescent="0.2">
      <c r="B17" s="37"/>
      <c r="C17" s="40" t="s">
        <v>22</v>
      </c>
      <c r="D17" s="41">
        <v>0</v>
      </c>
      <c r="E17" s="58"/>
      <c r="G17" s="37"/>
      <c r="H17" s="40" t="s">
        <v>22</v>
      </c>
      <c r="I17" s="41">
        <v>2</v>
      </c>
      <c r="J17" s="58"/>
    </row>
    <row r="18" spans="1:10" x14ac:dyDescent="0.2">
      <c r="B18" s="37"/>
      <c r="C18" s="40" t="s">
        <v>24</v>
      </c>
      <c r="D18" s="42"/>
      <c r="E18" s="58"/>
      <c r="G18" s="37"/>
      <c r="H18" s="40" t="s">
        <v>24</v>
      </c>
      <c r="I18" s="42"/>
      <c r="J18" s="58"/>
    </row>
    <row r="19" spans="1:10" x14ac:dyDescent="0.2">
      <c r="B19" s="37"/>
      <c r="C19" s="40" t="s">
        <v>25</v>
      </c>
      <c r="D19" s="43" t="s">
        <v>51</v>
      </c>
      <c r="E19" s="58"/>
      <c r="G19" s="37"/>
      <c r="H19" s="40" t="s">
        <v>25</v>
      </c>
      <c r="I19" s="43" t="s">
        <v>51</v>
      </c>
      <c r="J19" s="58"/>
    </row>
    <row r="20" spans="1:10" x14ac:dyDescent="0.2">
      <c r="B20" s="37"/>
      <c r="C20" s="38" t="s">
        <v>26</v>
      </c>
      <c r="D20" s="44" t="s">
        <v>67</v>
      </c>
      <c r="E20" s="58"/>
      <c r="G20" s="37"/>
      <c r="H20" s="38" t="s">
        <v>26</v>
      </c>
      <c r="I20" s="44" t="s">
        <v>67</v>
      </c>
      <c r="J20" s="58"/>
    </row>
    <row r="21" spans="1:10" x14ac:dyDescent="0.2">
      <c r="B21" s="37"/>
      <c r="C21" s="45"/>
      <c r="D21" s="45"/>
      <c r="E21" s="58"/>
      <c r="G21" s="37"/>
      <c r="H21" s="45"/>
      <c r="I21" s="45"/>
      <c r="J21" s="58"/>
    </row>
    <row r="22" spans="1:10" x14ac:dyDescent="0.2">
      <c r="B22" s="37"/>
      <c r="C22" s="46">
        <f>_xll.qlTermStructureReferenceDate(YieldCurve_ON)</f>
        <v>42180</v>
      </c>
      <c r="D22" s="47">
        <f>_xll.qlYieldTSDiscount(YieldCurve_ON,C22,,Trigger)</f>
        <v>1</v>
      </c>
      <c r="E22" s="58"/>
      <c r="G22" s="37"/>
      <c r="H22" s="46">
        <f>_xll.qlTermStructureReferenceDate(YieldCurve_3M)</f>
        <v>42184</v>
      </c>
      <c r="I22" s="47">
        <f>_xll.qlYieldTSDiscount(YieldCurve_3M,H22,,Trigger)</f>
        <v>1</v>
      </c>
      <c r="J22" s="58"/>
    </row>
    <row r="23" spans="1:10" x14ac:dyDescent="0.2">
      <c r="B23" s="37"/>
      <c r="C23" s="48">
        <f>_xll.qlTermStructureMaxDate(YieldCurve_ON,Trigger)</f>
        <v>60454</v>
      </c>
      <c r="D23" s="49">
        <f>_xll.qlYieldTSDiscount(YieldCurve_ON,C23,,Trigger)</f>
        <v>0.24880349834317916</v>
      </c>
      <c r="E23" s="58"/>
      <c r="G23" s="37"/>
      <c r="H23" s="48">
        <f>_xll.qlTermStructureMaxDate(YieldCurve_3M,Trigger)</f>
        <v>60454</v>
      </c>
      <c r="I23" s="49">
        <f>_xll.qlYieldTSDiscount(YieldCurve_3M,H23,,Trigger)</f>
        <v>0.22438062666668138</v>
      </c>
      <c r="J23" s="58"/>
    </row>
    <row r="24" spans="1:10" x14ac:dyDescent="0.2">
      <c r="B24" s="37"/>
      <c r="C24" s="50"/>
      <c r="D24" s="51" t="e">
        <f>_xll.qlRelinkableHandleLinkTo(C24,D14,Trigger)</f>
        <v>#NUM!</v>
      </c>
      <c r="E24" s="58"/>
      <c r="G24" s="37"/>
      <c r="H24" s="50"/>
      <c r="I24" s="51" t="e">
        <f>_xll.qlRelinkableHandleLinkTo(H24,I14,Trigger)</f>
        <v>#NUM!</v>
      </c>
      <c r="J24" s="58"/>
    </row>
    <row r="25" spans="1:10" x14ac:dyDescent="0.2">
      <c r="B25" s="60"/>
      <c r="C25" s="61"/>
      <c r="D25" s="61"/>
      <c r="E25" s="62"/>
      <c r="G25" s="60"/>
      <c r="H25" s="61"/>
      <c r="I25" s="61"/>
      <c r="J25" s="62"/>
    </row>
    <row r="26" spans="1:10" x14ac:dyDescent="0.2">
      <c r="A26" s="66"/>
      <c r="B26" s="66"/>
      <c r="C26" s="66"/>
      <c r="D26" s="66"/>
      <c r="E26" s="66"/>
      <c r="G26" s="66"/>
      <c r="H26" s="66"/>
      <c r="I26" s="66"/>
      <c r="J26" s="66"/>
    </row>
    <row r="27" spans="1:10" x14ac:dyDescent="0.2">
      <c r="B27" s="53"/>
      <c r="C27" s="63"/>
      <c r="D27" s="63"/>
      <c r="E27" s="55"/>
      <c r="F27" s="65"/>
      <c r="G27" s="53"/>
      <c r="H27" s="54"/>
      <c r="I27" s="54"/>
      <c r="J27" s="55"/>
    </row>
    <row r="28" spans="1:10" x14ac:dyDescent="0.2">
      <c r="B28" s="56"/>
      <c r="C28" s="36" t="s">
        <v>19</v>
      </c>
      <c r="D28" s="57" t="e">
        <f>_xll.qlPiecewiseYieldCurve(D30,D31,Calendar,_xll.ohPack(USD6M!R3:R71),,,,D32,D33,D34,Permanent,,ObjectOverwrite)</f>
        <v>#NUM!</v>
      </c>
      <c r="E28" s="58"/>
      <c r="F28" s="65"/>
      <c r="G28" s="37"/>
      <c r="H28" s="36" t="s">
        <v>19</v>
      </c>
      <c r="I28" s="57" t="e">
        <f>_xll.qlPiecewiseYieldCurve(I30,I31,Calendar,_xll.ohPack(USD1M!R3:R82),,,,I32,I33,I34,Permanent,,ObjectOverwrite)</f>
        <v>#NUM!</v>
      </c>
      <c r="J28" s="58"/>
    </row>
    <row r="29" spans="1:10" x14ac:dyDescent="0.2">
      <c r="B29" s="56"/>
      <c r="C29" s="38" t="s">
        <v>20</v>
      </c>
      <c r="D29" s="59" t="str">
        <f ca="1">_xll.ohRangeRetrieveError(YieldCurve_6M)</f>
        <v>qlPiecewiseYieldCurve - ObjectHandler error: attempt to retrieve object with unknown ID '0'</v>
      </c>
      <c r="E29" s="58"/>
      <c r="F29" s="65"/>
      <c r="G29" s="37"/>
      <c r="H29" s="38" t="s">
        <v>20</v>
      </c>
      <c r="I29" s="59" t="str">
        <f ca="1">_xll.ohRangeRetrieveError(YieldCurve_1M)</f>
        <v>qlPiecewiseYieldCurve - ObjectHandler error: attempt to retrieve object with unknown ID '0'</v>
      </c>
      <c r="J29" s="58"/>
    </row>
    <row r="30" spans="1:10" x14ac:dyDescent="0.2">
      <c r="B30" s="37"/>
      <c r="C30" s="36" t="s">
        <v>21</v>
      </c>
      <c r="D30" s="39" t="s">
        <v>69</v>
      </c>
      <c r="E30" s="58"/>
      <c r="F30" s="65"/>
      <c r="G30" s="37"/>
      <c r="H30" s="36" t="s">
        <v>21</v>
      </c>
      <c r="I30" s="39" t="s">
        <v>70</v>
      </c>
      <c r="J30" s="58"/>
    </row>
    <row r="31" spans="1:10" x14ac:dyDescent="0.2">
      <c r="B31" s="37"/>
      <c r="C31" s="40" t="s">
        <v>22</v>
      </c>
      <c r="D31" s="41">
        <v>2</v>
      </c>
      <c r="E31" s="58"/>
      <c r="F31" s="65"/>
      <c r="G31" s="37"/>
      <c r="H31" s="40" t="s">
        <v>22</v>
      </c>
      <c r="I31" s="41">
        <v>2</v>
      </c>
      <c r="J31" s="58"/>
    </row>
    <row r="32" spans="1:10" x14ac:dyDescent="0.2">
      <c r="B32" s="37"/>
      <c r="C32" s="40" t="s">
        <v>24</v>
      </c>
      <c r="D32" s="42"/>
      <c r="E32" s="58"/>
      <c r="F32" s="65"/>
      <c r="G32" s="37"/>
      <c r="H32" s="40" t="s">
        <v>24</v>
      </c>
      <c r="I32" s="42"/>
      <c r="J32" s="58"/>
    </row>
    <row r="33" spans="2:10" x14ac:dyDescent="0.2">
      <c r="B33" s="37"/>
      <c r="C33" s="40" t="s">
        <v>25</v>
      </c>
      <c r="D33" s="43" t="s">
        <v>51</v>
      </c>
      <c r="E33" s="58"/>
      <c r="F33" s="65"/>
      <c r="G33" s="37"/>
      <c r="H33" s="40" t="s">
        <v>25</v>
      </c>
      <c r="I33" s="43" t="s">
        <v>51</v>
      </c>
      <c r="J33" s="58"/>
    </row>
    <row r="34" spans="2:10" x14ac:dyDescent="0.2">
      <c r="B34" s="37"/>
      <c r="C34" s="38" t="s">
        <v>26</v>
      </c>
      <c r="D34" s="44" t="s">
        <v>67</v>
      </c>
      <c r="E34" s="58"/>
      <c r="F34" s="65"/>
      <c r="G34" s="37"/>
      <c r="H34" s="38" t="s">
        <v>26</v>
      </c>
      <c r="I34" s="44" t="s">
        <v>67</v>
      </c>
      <c r="J34" s="58"/>
    </row>
    <row r="35" spans="2:10" x14ac:dyDescent="0.2">
      <c r="B35" s="37"/>
      <c r="C35" s="45"/>
      <c r="D35" s="45"/>
      <c r="E35" s="58"/>
      <c r="F35" s="65"/>
      <c r="G35" s="37"/>
      <c r="H35" s="45"/>
      <c r="I35" s="45"/>
      <c r="J35" s="58"/>
    </row>
    <row r="36" spans="2:10" x14ac:dyDescent="0.2">
      <c r="B36" s="37"/>
      <c r="C36" s="46" t="e">
        <f>_xll.qlTermStructureReferenceDate(YieldCurve_6M)</f>
        <v>#VALUE!</v>
      </c>
      <c r="D36" s="47" t="e">
        <f>_xll.qlYieldTSDiscount(YieldCurve_6M,C36,,Trigger)</f>
        <v>#VALUE!</v>
      </c>
      <c r="E36" s="58"/>
      <c r="F36" s="65"/>
      <c r="G36" s="37"/>
      <c r="H36" s="46" t="e">
        <f>_xll.qlTermStructureReferenceDate(YieldCurve_1M)</f>
        <v>#VALUE!</v>
      </c>
      <c r="I36" s="47" t="e">
        <f>_xll.qlYieldTSDiscount(YieldCurve_1M,H36,,Trigger)</f>
        <v>#VALUE!</v>
      </c>
      <c r="J36" s="58"/>
    </row>
    <row r="37" spans="2:10" x14ac:dyDescent="0.2">
      <c r="B37" s="37"/>
      <c r="C37" s="48" t="e">
        <f>_xll.qlTermStructureMaxDate(YieldCurve_6M,Trigger)</f>
        <v>#VALUE!</v>
      </c>
      <c r="D37" s="49" t="e">
        <f>_xll.qlYieldTSDiscount(YieldCurve_6M,C37,,Trigger)</f>
        <v>#VALUE!</v>
      </c>
      <c r="E37" s="58"/>
      <c r="F37" s="65"/>
      <c r="G37" s="37"/>
      <c r="H37" s="48" t="e">
        <f>_xll.qlTermStructureMaxDate(YieldCurve_1M,Trigger)</f>
        <v>#VALUE!</v>
      </c>
      <c r="I37" s="49" t="e">
        <f>_xll.qlYieldTSDiscount(YieldCurve_1M,H37,,Trigger)</f>
        <v>#VALUE!</v>
      </c>
      <c r="J37" s="58"/>
    </row>
    <row r="38" spans="2:10" x14ac:dyDescent="0.2">
      <c r="B38" s="37"/>
      <c r="C38" s="50"/>
      <c r="D38" s="52" t="e">
        <f>_xll.qlRelinkableHandleLinkTo(C38,D28,Trigger)</f>
        <v>#NUM!</v>
      </c>
      <c r="E38" s="58"/>
      <c r="F38" s="65"/>
      <c r="G38" s="37"/>
      <c r="H38" s="50"/>
      <c r="I38" s="51" t="e">
        <f>_xll.qlRelinkableHandleLinkTo(H38,I28,Trigger)</f>
        <v>#NUM!</v>
      </c>
      <c r="J38" s="58"/>
    </row>
    <row r="39" spans="2:10" x14ac:dyDescent="0.2">
      <c r="B39" s="60"/>
      <c r="C39" s="61"/>
      <c r="D39" s="61"/>
      <c r="E39" s="62"/>
      <c r="F39" s="65"/>
      <c r="G39" s="60"/>
      <c r="H39" s="61"/>
      <c r="I39" s="61"/>
      <c r="J39" s="62"/>
    </row>
    <row r="40" spans="2:10" x14ac:dyDescent="0.2">
      <c r="F40" s="65"/>
    </row>
    <row r="41" spans="2:10" x14ac:dyDescent="0.2">
      <c r="B41" s="53"/>
      <c r="C41" s="54"/>
      <c r="D41" s="54"/>
      <c r="E41" s="55"/>
      <c r="F41" s="65"/>
      <c r="G41" s="53"/>
      <c r="H41" s="54"/>
      <c r="I41" s="54"/>
      <c r="J41" s="55"/>
    </row>
    <row r="42" spans="2:10" x14ac:dyDescent="0.2">
      <c r="B42" s="37"/>
      <c r="C42" s="36" t="s">
        <v>19</v>
      </c>
      <c r="D42" s="57" t="e">
        <f>_xll.qlPiecewiseYieldCurve(D44,D45,Calendar,_xll.ohPack(USD1Y!R3:R71),,,,D46,D47,D48,Permanent,,ObjectOverwrite)</f>
        <v>#NUM!</v>
      </c>
      <c r="E42" s="58"/>
      <c r="F42" s="65"/>
      <c r="G42" s="56"/>
      <c r="H42" s="36" t="s">
        <v>19</v>
      </c>
      <c r="I42" s="57" t="e">
        <f>_xll.qlPiecewiseYieldCurve(I44,I45,Calendar,_xll.ohPack(USDSTD!R3:R71),,,,I46,I47,I48,Permanent,,ObjectOverwrite)</f>
        <v>#NUM!</v>
      </c>
      <c r="J42" s="58"/>
    </row>
    <row r="43" spans="2:10" x14ac:dyDescent="0.2">
      <c r="B43" s="37"/>
      <c r="C43" s="38" t="s">
        <v>20</v>
      </c>
      <c r="D43" s="59" t="str">
        <f ca="1">_xll.ohRangeRetrieveError(YieldCurve_1Y)</f>
        <v>qlPiecewiseYieldCurve - ObjectHandler error: attempt to retrieve object with unknown ID '0'</v>
      </c>
      <c r="E43" s="58"/>
      <c r="G43" s="56"/>
      <c r="H43" s="38" t="s">
        <v>20</v>
      </c>
      <c r="I43" s="59" t="str">
        <f ca="1">_xll.ohRangeRetrieveError(YieldCurve_STD)</f>
        <v>qlPiecewiseYieldCurve - ObjectHandler error: attempt to retrieve object with unknown ID '0'</v>
      </c>
      <c r="J43" s="58"/>
    </row>
    <row r="44" spans="2:10" x14ac:dyDescent="0.2">
      <c r="B44" s="37"/>
      <c r="C44" s="36" t="s">
        <v>21</v>
      </c>
      <c r="D44" s="39" t="s">
        <v>71</v>
      </c>
      <c r="E44" s="58"/>
      <c r="G44" s="56"/>
      <c r="H44" s="36" t="s">
        <v>21</v>
      </c>
      <c r="I44" s="39" t="s">
        <v>72</v>
      </c>
      <c r="J44" s="58"/>
    </row>
    <row r="45" spans="2:10" x14ac:dyDescent="0.2">
      <c r="B45" s="37"/>
      <c r="C45" s="40" t="s">
        <v>22</v>
      </c>
      <c r="D45" s="41">
        <v>2</v>
      </c>
      <c r="E45" s="58"/>
      <c r="G45" s="56"/>
      <c r="H45" s="40" t="s">
        <v>22</v>
      </c>
      <c r="I45" s="41">
        <v>0</v>
      </c>
      <c r="J45" s="58"/>
    </row>
    <row r="46" spans="2:10" x14ac:dyDescent="0.2">
      <c r="B46" s="37"/>
      <c r="C46" s="40" t="s">
        <v>24</v>
      </c>
      <c r="D46" s="42"/>
      <c r="E46" s="58"/>
      <c r="G46" s="56"/>
      <c r="H46" s="40" t="s">
        <v>24</v>
      </c>
      <c r="I46" s="42"/>
      <c r="J46" s="58"/>
    </row>
    <row r="47" spans="2:10" x14ac:dyDescent="0.2">
      <c r="B47" s="37"/>
      <c r="C47" s="40" t="s">
        <v>25</v>
      </c>
      <c r="D47" s="43" t="s">
        <v>51</v>
      </c>
      <c r="E47" s="58"/>
      <c r="G47" s="56"/>
      <c r="H47" s="40" t="s">
        <v>25</v>
      </c>
      <c r="I47" s="43" t="s">
        <v>51</v>
      </c>
      <c r="J47" s="58"/>
    </row>
    <row r="48" spans="2:10" x14ac:dyDescent="0.2">
      <c r="B48" s="37"/>
      <c r="C48" s="38" t="s">
        <v>26</v>
      </c>
      <c r="D48" s="44" t="s">
        <v>67</v>
      </c>
      <c r="E48" s="58"/>
      <c r="G48" s="56"/>
      <c r="H48" s="38" t="s">
        <v>26</v>
      </c>
      <c r="I48" s="44" t="s">
        <v>67</v>
      </c>
      <c r="J48" s="58"/>
    </row>
    <row r="49" spans="2:10" x14ac:dyDescent="0.2">
      <c r="B49" s="37"/>
      <c r="C49" s="45"/>
      <c r="D49" s="45"/>
      <c r="E49" s="58"/>
      <c r="G49" s="56"/>
      <c r="H49" s="45"/>
      <c r="I49" s="45"/>
      <c r="J49" s="58"/>
    </row>
    <row r="50" spans="2:10" x14ac:dyDescent="0.2">
      <c r="B50" s="37"/>
      <c r="C50" s="46" t="e">
        <f>_xll.qlTermStructureReferenceDate(YieldCurve_1Y)</f>
        <v>#VALUE!</v>
      </c>
      <c r="D50" s="47" t="e">
        <f>_xll.qlYieldTSDiscount(YieldCurve_1Y,C50,,Trigger)</f>
        <v>#VALUE!</v>
      </c>
      <c r="E50" s="58"/>
      <c r="G50" s="56"/>
      <c r="H50" s="46" t="e">
        <f>_xll.qlTermStructureReferenceDate(YieldCurve_STD)</f>
        <v>#VALUE!</v>
      </c>
      <c r="I50" s="47" t="e">
        <f>_xll.qlYieldTSDiscount(YieldCurve_STD,H50,,Trigger)</f>
        <v>#VALUE!</v>
      </c>
      <c r="J50" s="58"/>
    </row>
    <row r="51" spans="2:10" x14ac:dyDescent="0.2">
      <c r="B51" s="37"/>
      <c r="C51" s="48" t="e">
        <f>_xll.qlTermStructureMaxDate(YieldCurve_1Y,Trigger)</f>
        <v>#VALUE!</v>
      </c>
      <c r="D51" s="49" t="e">
        <f>_xll.qlYieldTSDiscount(YieldCurve_1Y,C51,,Trigger)</f>
        <v>#VALUE!</v>
      </c>
      <c r="E51" s="58"/>
      <c r="G51" s="56"/>
      <c r="H51" s="48" t="e">
        <f>_xll.qlTermStructureMaxDate(YieldCurve_STD,Trigger)</f>
        <v>#VALUE!</v>
      </c>
      <c r="I51" s="49" t="e">
        <f>_xll.qlYieldTSDiscount(YieldCurve_STD,H51,,Trigger)</f>
        <v>#VALUE!</v>
      </c>
      <c r="J51" s="58"/>
    </row>
    <row r="52" spans="2:10" x14ac:dyDescent="0.2">
      <c r="B52" s="37"/>
      <c r="C52" s="50"/>
      <c r="D52" s="52" t="e">
        <f>_xll.qlRelinkableHandleLinkTo(C52,D42,Trigger)</f>
        <v>#NUM!</v>
      </c>
      <c r="E52" s="58"/>
      <c r="G52" s="56"/>
      <c r="H52" s="50"/>
      <c r="I52" s="51" t="e">
        <f>_xll.qlRelinkableHandleLinkTo(H52,I42,Trigger)</f>
        <v>#NUM!</v>
      </c>
      <c r="J52" s="58"/>
    </row>
    <row r="53" spans="2:10" x14ac:dyDescent="0.2">
      <c r="B53" s="60"/>
      <c r="C53" s="61"/>
      <c r="D53" s="61"/>
      <c r="E53" s="62"/>
      <c r="G53" s="60"/>
      <c r="H53" s="61"/>
      <c r="I53" s="61"/>
      <c r="J53" s="62"/>
    </row>
  </sheetData>
  <dataValidations count="6">
    <dataValidation type="list" allowBlank="1" showInputMessage="1" showErrorMessage="1" sqref="D33 I47 I19 I33 D47 D19">
      <formula1>"Discount,ZeroYield,ForwardRate"</formula1>
    </dataValidation>
    <dataValidation type="list" allowBlank="1" showInputMessage="1" showErrorMessage="1" sqref="D34 I48 I20 I34 D48 D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"JoinBusinessDays,JoinHolidays"</formula1>
    </dataValidation>
    <dataValidation type="list" allowBlank="1" showInputMessage="1" showErrorMessage="1" sqref="I6:I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A80"/>
  <sheetViews>
    <sheetView showGridLines="0" topLeftCell="G1" zoomScaleNormal="100" workbookViewId="0">
      <selection activeCell="Y1" sqref="Y1"/>
    </sheetView>
  </sheetViews>
  <sheetFormatPr defaultRowHeight="11.25" outlineLevelCol="1" x14ac:dyDescent="0.2"/>
  <cols>
    <col min="1" max="1" width="5" style="64" hidden="1" customWidth="1" outlineLevel="1"/>
    <col min="2" max="2" width="6" style="78" hidden="1" customWidth="1" outlineLevel="1"/>
    <col min="3" max="3" width="10" style="77" hidden="1" customWidth="1" outlineLevel="1"/>
    <col min="4" max="4" width="12" style="79" hidden="1" customWidth="1" outlineLevel="1"/>
    <col min="5" max="5" width="16.140625" style="64" hidden="1" customWidth="1" outlineLevel="1"/>
    <col min="6" max="6" width="15.140625" style="64" hidden="1" customWidth="1" outlineLevel="1"/>
    <col min="7" max="7" width="2.7109375" style="64" customWidth="1" collapsed="1"/>
    <col min="8" max="8" width="5" style="64" hidden="1" customWidth="1" outlineLevel="1"/>
    <col min="9" max="9" width="15.140625" style="175" hidden="1" customWidth="1" outlineLevel="1"/>
    <col min="10" max="10" width="16.140625" style="175" hidden="1" customWidth="1" outlineLevel="1"/>
    <col min="11" max="11" width="8.5703125" style="175" hidden="1" customWidth="1" outlineLevel="1"/>
    <col min="12" max="12" width="7.85546875" style="175" hidden="1" customWidth="1" outlineLevel="1"/>
    <col min="13" max="13" width="9" style="175" hidden="1" customWidth="1" outlineLevel="1"/>
    <col min="14" max="14" width="5.85546875" style="175" hidden="1" customWidth="1" outlineLevel="1"/>
    <col min="15" max="16" width="10.7109375" style="175" hidden="1" customWidth="1" outlineLevel="1"/>
    <col min="17" max="17" width="2.7109375" style="66" hidden="1" customWidth="1" outlineLevel="1"/>
    <col min="18" max="18" width="5" style="64" bestFit="1" customWidth="1" collapsed="1"/>
    <col min="19" max="19" width="10.140625" style="64" hidden="1" customWidth="1" outlineLevel="1"/>
    <col min="20" max="20" width="16.140625" style="64" bestFit="1" customWidth="1" collapsed="1"/>
    <col min="21" max="21" width="9" style="64" bestFit="1" customWidth="1"/>
    <col min="22" max="22" width="7.7109375" style="64" customWidth="1"/>
    <col min="23" max="24" width="17.28515625" style="64" bestFit="1" customWidth="1"/>
    <col min="25" max="25" width="12" style="64" bestFit="1" customWidth="1"/>
    <col min="26" max="26" width="9.140625" style="64" customWidth="1"/>
    <col min="27" max="27" width="9.140625" style="64"/>
    <col min="28" max="28" width="9.140625" style="64" customWidth="1"/>
    <col min="29" max="16384" width="9.140625" style="64"/>
  </cols>
  <sheetData>
    <row r="1" spans="1:27" ht="18" customHeight="1" x14ac:dyDescent="0.2">
      <c r="D1" s="77" t="s">
        <v>130</v>
      </c>
      <c r="H1" s="101" t="s">
        <v>36</v>
      </c>
      <c r="I1" s="178"/>
      <c r="J1" s="178"/>
      <c r="K1" s="178"/>
      <c r="L1" s="178"/>
      <c r="M1" s="178"/>
      <c r="N1" s="178"/>
      <c r="O1" s="178"/>
      <c r="P1" s="168"/>
      <c r="Q1" s="165"/>
      <c r="R1" s="136" t="str">
        <f>Currency&amp;$D$1</f>
        <v>USDFedFunds</v>
      </c>
      <c r="S1" s="99"/>
      <c r="T1" s="99"/>
      <c r="U1" s="104"/>
      <c r="V1" s="104"/>
      <c r="W1" s="99"/>
      <c r="X1" s="99"/>
      <c r="Y1" s="134" t="s">
        <v>51</v>
      </c>
    </row>
    <row r="2" spans="1:27" ht="21.75" customHeight="1" x14ac:dyDescent="0.2">
      <c r="A2" s="97" t="s">
        <v>18</v>
      </c>
      <c r="B2" s="97" t="s">
        <v>44</v>
      </c>
      <c r="C2" s="97" t="s">
        <v>133</v>
      </c>
      <c r="D2" s="97" t="s">
        <v>9</v>
      </c>
      <c r="E2" s="97" t="s">
        <v>5</v>
      </c>
      <c r="F2" s="97" t="s">
        <v>36</v>
      </c>
      <c r="H2" s="135" t="s">
        <v>18</v>
      </c>
      <c r="I2" s="135" t="s">
        <v>36</v>
      </c>
      <c r="J2" s="135" t="s">
        <v>137</v>
      </c>
      <c r="K2" s="135" t="s">
        <v>140</v>
      </c>
      <c r="L2" s="135" t="s">
        <v>138</v>
      </c>
      <c r="M2" s="135" t="s">
        <v>139</v>
      </c>
      <c r="N2" s="135" t="s">
        <v>141</v>
      </c>
      <c r="O2" s="135" t="s">
        <v>33</v>
      </c>
      <c r="P2" s="135" t="s">
        <v>134</v>
      </c>
      <c r="Q2" s="165"/>
      <c r="R2" s="135" t="s">
        <v>18</v>
      </c>
      <c r="S2" s="135" t="s">
        <v>36</v>
      </c>
      <c r="T2" s="135" t="s">
        <v>137</v>
      </c>
      <c r="U2" s="142" t="s">
        <v>35</v>
      </c>
      <c r="V2" s="142" t="s">
        <v>142</v>
      </c>
      <c r="W2" s="135" t="s">
        <v>33</v>
      </c>
      <c r="X2" s="135" t="s">
        <v>134</v>
      </c>
      <c r="Y2" s="143">
        <f t="array" ref="Y2:Y56">_xll.qlPiecewiseYieldCurveData(YieldCurve_ON,Trigger)</f>
        <v>1</v>
      </c>
    </row>
    <row r="3" spans="1:27" ht="11.25" customHeight="1" x14ac:dyDescent="0.2">
      <c r="A3" s="81" t="s">
        <v>39</v>
      </c>
      <c r="B3" s="82" t="s">
        <v>74</v>
      </c>
      <c r="C3" s="85" t="s">
        <v>14</v>
      </c>
      <c r="D3" s="83" t="str">
        <f>Currency&amp;$D$1</f>
        <v>USDFedFunds</v>
      </c>
      <c r="E3" s="87" t="str">
        <f>Currency&amp;$B3&amp;"D"&amp;QuoteSuffix</f>
        <v>USDOND_Quote</v>
      </c>
      <c r="F3" s="88" t="str">
        <f>_xll.qlDepositRateHelper(,E3,D3,Permanent,Trigger,ObjectOverwrite)</f>
        <v>obj_003d3#0028</v>
      </c>
      <c r="G3" s="67"/>
      <c r="H3" s="21" t="str">
        <f>A3</f>
        <v>Dp</v>
      </c>
      <c r="I3" s="166" t="str">
        <f>F8</f>
        <v>obj_0039c#0038</v>
      </c>
      <c r="J3" s="169" t="str">
        <f>IFERROR(_xll.qlRateHelperQuoteName(I3,Trigger),"--")</f>
        <v>USDOISSW_Quote</v>
      </c>
      <c r="K3" s="170">
        <f>IFERROR(_xll.qlRateHelperQuoteValue($I3,Trigger),"--")</f>
        <v>1.23E-3</v>
      </c>
      <c r="L3" s="169" t="b">
        <v>1</v>
      </c>
      <c r="M3" s="166">
        <v>70</v>
      </c>
      <c r="N3" s="166">
        <v>1</v>
      </c>
      <c r="O3" s="171">
        <f>IFERROR(_xll.qlRateHelperEarliestDate(I3,Trigger),"--")</f>
        <v>42184</v>
      </c>
      <c r="P3" s="171">
        <f>IFERROR(_xll.qlRateHelperPillarDate(I3,Trigger),"--")</f>
        <v>42191</v>
      </c>
      <c r="R3" s="12" t="str">
        <f t="array" ref="R3:R56">_xll.ohPack(_xll.ohFilter(H3:H71,L3:L71),Trigger)</f>
        <v>Dp</v>
      </c>
      <c r="S3" s="12" t="str">
        <f t="array" ref="S3:S56">_xll.qlRateHelperSelection(_xll.ohFilter(RateHelpers,IncludeFlag),_xll.ohFilter(Priority,IncludeFlag),,,,,_xll.ohFilter(MinDistance,IncludeFlag),Trigger)</f>
        <v>obj_0039c</v>
      </c>
      <c r="T3" s="12" t="str">
        <f>_xll.qlRateHelperQuoteName(S3,Trigger)</f>
        <v>USDOISSW_Quote</v>
      </c>
      <c r="U3" s="106">
        <f>_xll.qlRateHelperRate(S3,Trigger)</f>
        <v>1.23E-3</v>
      </c>
      <c r="V3" s="176" t="str">
        <f>IF(ISERROR(_xll.qlSwapRateHelperSpread($S3)),IF(ISERROR(_xll.qlFuturesRateHelperConvexityAdjustment($S3)),"--",_xll.qlFuturesRateHelperConvexityAdjustment($S3)),_xll.qlSwapRateHelperSpread($S3))</f>
        <v>--</v>
      </c>
      <c r="W3" s="13">
        <f>_xll.qlRateHelperEarliestDate(S3,Trigger)</f>
        <v>42184</v>
      </c>
      <c r="X3" s="13">
        <f>_xll.qlRateHelperPillarDate(S3,Trigger)</f>
        <v>42191</v>
      </c>
      <c r="Y3" s="144">
        <v>0.99996279680178479</v>
      </c>
    </row>
    <row r="4" spans="1:27" ht="11.25" customHeight="1" x14ac:dyDescent="0.2">
      <c r="A4" s="81" t="s">
        <v>39</v>
      </c>
      <c r="B4" s="82" t="s">
        <v>128</v>
      </c>
      <c r="C4" s="85" t="s">
        <v>131</v>
      </c>
      <c r="D4" s="83" t="str">
        <f>Currency&amp;$D$1</f>
        <v>USDFedFunds</v>
      </c>
      <c r="E4" s="87" t="str">
        <f>Currency&amp;$B4&amp;"D"&amp;QuoteSuffix</f>
        <v>USDTND_Quote</v>
      </c>
      <c r="F4" s="88" t="str">
        <f>_xll.qlFraRateHelper(,E4,C4,D4,PillarDate,,Permanent,Trigger,ObjectOverwrite)</f>
        <v>obj_003d4#0045</v>
      </c>
      <c r="G4" s="66"/>
      <c r="H4" s="21" t="str">
        <f>A4</f>
        <v>Dp</v>
      </c>
      <c r="I4" s="166" t="str">
        <f>F9</f>
        <v>obj_003c9#0034</v>
      </c>
      <c r="J4" s="169" t="str">
        <f>IFERROR(_xll.qlRateHelperQuoteName(I4,Trigger),"--")</f>
        <v>USDOIS2W_Quote</v>
      </c>
      <c r="K4" s="170">
        <f>IFERROR(_xll.qlRateHelperQuoteValue($I4,Trigger),"--")</f>
        <v>1.2600000000000001E-3</v>
      </c>
      <c r="L4" s="169" t="b">
        <v>1</v>
      </c>
      <c r="M4" s="166">
        <v>70</v>
      </c>
      <c r="N4" s="166">
        <v>1</v>
      </c>
      <c r="O4" s="171">
        <f>IFERROR(_xll.qlRateHelperEarliestDate(I4,Trigger),"--")</f>
        <v>42184</v>
      </c>
      <c r="P4" s="171">
        <f>IFERROR(_xll.qlRateHelperPillarDate(I4,Trigger),"--")</f>
        <v>42198</v>
      </c>
      <c r="R4" s="12" t="str">
        <v>Dp</v>
      </c>
      <c r="S4" s="12" t="str">
        <v>obj_003c9</v>
      </c>
      <c r="T4" s="12" t="str">
        <f>_xll.qlRateHelperQuoteName(S4,Trigger)</f>
        <v>USDOIS2W_Quote</v>
      </c>
      <c r="U4" s="106">
        <f>_xll.qlRateHelperRate(S4,Trigger)</f>
        <v>1.2600000000000001E-3</v>
      </c>
      <c r="V4" s="176" t="str">
        <f>IF(ISERROR(_xll.qlSwapRateHelperSpread($S4)),IF(ISERROR(_xll.qlFuturesRateHelperConvexityAdjustment($S4)),"--",_xll.qlFuturesRateHelperConvexityAdjustment($S4)),_xll.qlSwapRateHelperSpread($S4))</f>
        <v>--</v>
      </c>
      <c r="W4" s="13">
        <f>_xll.qlRateHelperEarliestDate(S4,Trigger)</f>
        <v>42184</v>
      </c>
      <c r="X4" s="13">
        <f>_xll.qlRateHelperPillarDate(S4,Trigger)</f>
        <v>42198</v>
      </c>
      <c r="Y4" s="144">
        <v>0.99993771563059619</v>
      </c>
    </row>
    <row r="5" spans="1:27" ht="11.25" customHeight="1" x14ac:dyDescent="0.2">
      <c r="A5" s="3" t="s">
        <v>39</v>
      </c>
      <c r="B5" s="18" t="s">
        <v>129</v>
      </c>
      <c r="C5" s="19" t="s">
        <v>132</v>
      </c>
      <c r="D5" s="16" t="str">
        <f>Currency&amp;$D$1</f>
        <v>USDFedFunds</v>
      </c>
      <c r="E5" s="5" t="str">
        <f>Currency&amp;$B5&amp;"D"&amp;QuoteSuffix</f>
        <v>USDSND_Quote</v>
      </c>
      <c r="F5" s="6" t="str">
        <f>_xll.qlFraRateHelper(,E5,C5,D5,PillarDate,,Permanent,Trigger,ObjectOverwrite)</f>
        <v>obj_003d5#0023</v>
      </c>
      <c r="G5" s="66"/>
      <c r="H5" s="22" t="str">
        <f>A5</f>
        <v>Dp</v>
      </c>
      <c r="I5" s="167" t="str">
        <f>F10</f>
        <v>obj_003cc#0033</v>
      </c>
      <c r="J5" s="172" t="str">
        <f>IFERROR(_xll.qlRateHelperQuoteName(I5,Trigger),"--")</f>
        <v>USDOIS3W_Quote</v>
      </c>
      <c r="K5" s="173">
        <f>IFERROR(_xll.qlRateHelperQuoteValue($I5,Trigger),"--")</f>
        <v>1.2700000000000001E-3</v>
      </c>
      <c r="L5" s="172" t="b">
        <v>1</v>
      </c>
      <c r="M5" s="167">
        <v>70</v>
      </c>
      <c r="N5" s="167">
        <v>1</v>
      </c>
      <c r="O5" s="174">
        <f>IFERROR(_xll.qlRateHelperEarliestDate(I5,Trigger),"--")</f>
        <v>42184</v>
      </c>
      <c r="P5" s="174">
        <f>IFERROR(_xll.qlRateHelperPillarDate(I5,Trigger),"--")</f>
        <v>42205</v>
      </c>
      <c r="R5" s="12" t="str">
        <v>Dp</v>
      </c>
      <c r="S5" s="12" t="str">
        <v>obj_003cc</v>
      </c>
      <c r="T5" s="12" t="str">
        <f>_xll.qlRateHelperQuoteName(S5,Trigger)</f>
        <v>USDOIS3W_Quote</v>
      </c>
      <c r="U5" s="106">
        <f>_xll.qlRateHelperRate(S5,Trigger)</f>
        <v>1.2700000000000001E-3</v>
      </c>
      <c r="V5" s="176" t="str">
        <f>IF(ISERROR(_xll.qlSwapRateHelperSpread($S5)),IF(ISERROR(_xll.qlFuturesRateHelperConvexityAdjustment($S5)),"--",_xll.qlFuturesRateHelperConvexityAdjustment($S5)),_xll.qlSwapRateHelperSpread($S5))</f>
        <v>--</v>
      </c>
      <c r="W5" s="13">
        <f>_xll.qlRateHelperEarliestDate(S5,Trigger)</f>
        <v>42184</v>
      </c>
      <c r="X5" s="13">
        <f>_xll.qlRateHelperPillarDate(S5,Trigger)</f>
        <v>42205</v>
      </c>
      <c r="Y5" s="144">
        <v>0.99991263571853339</v>
      </c>
      <c r="Z5" s="147"/>
      <c r="AA5" s="147"/>
    </row>
    <row r="6" spans="1:27" ht="11.25" customHeight="1" x14ac:dyDescent="0.2">
      <c r="G6" s="66"/>
      <c r="H6" s="21" t="str">
        <f>A8</f>
        <v>OIS</v>
      </c>
      <c r="I6" s="166" t="str">
        <f t="shared" ref="I6:I56" si="0">IF(ISBLANK(F11),"--",F11)</f>
        <v>obj_003ca#0033</v>
      </c>
      <c r="J6" s="169" t="str">
        <f>IFERROR(_xll.qlRateHelperQuoteName(I6,Trigger),"--")</f>
        <v>USDOIS1M_Quote</v>
      </c>
      <c r="K6" s="170">
        <f>IFERROR(_xll.qlRateHelperQuoteValue($I6,Trigger),"--")</f>
        <v>1.2999999999999999E-3</v>
      </c>
      <c r="L6" s="169" t="b">
        <v>1</v>
      </c>
      <c r="M6" s="166">
        <v>50</v>
      </c>
      <c r="N6" s="166">
        <v>1</v>
      </c>
      <c r="O6" s="171">
        <f>IFERROR(_xll.qlRateHelperEarliestDate(I6,Trigger),"--")</f>
        <v>42184</v>
      </c>
      <c r="P6" s="171">
        <f>IFERROR(_xll.qlRateHelperPillarDate(I6,Trigger),"--")</f>
        <v>42214</v>
      </c>
      <c r="R6" s="12" t="str">
        <v>OIS</v>
      </c>
      <c r="S6" s="12" t="str">
        <v>obj_003ca</v>
      </c>
      <c r="T6" s="12" t="str">
        <f>_xll.qlRateHelperQuoteName(S6,Trigger)</f>
        <v>USDOIS1M_Quote</v>
      </c>
      <c r="U6" s="106">
        <f>_xll.qlRateHelperRate(S6,Trigger)</f>
        <v>1.2999999999999999E-3</v>
      </c>
      <c r="V6" s="176" t="str">
        <f>IF(ISERROR(_xll.qlSwapRateHelperSpread($S6)),IF(ISERROR(_xll.qlFuturesRateHelperConvexityAdjustment($S6)),"--",_xll.qlFuturesRateHelperConvexityAdjustment($S6)),_xll.qlSwapRateHelperSpread($S6))</f>
        <v>--</v>
      </c>
      <c r="W6" s="13">
        <f>_xll.qlRateHelperEarliestDate(S6,Trigger)</f>
        <v>42184</v>
      </c>
      <c r="X6" s="13">
        <f>_xll.qlRateHelperPillarDate(S6,Trigger)</f>
        <v>42214</v>
      </c>
      <c r="Y6" s="144">
        <v>0.99987839241950771</v>
      </c>
    </row>
    <row r="7" spans="1:27" ht="11.25" customHeight="1" x14ac:dyDescent="0.2">
      <c r="A7" s="97" t="s">
        <v>18</v>
      </c>
      <c r="B7" s="97" t="s">
        <v>44</v>
      </c>
      <c r="C7" s="97" t="s">
        <v>136</v>
      </c>
      <c r="D7" s="97" t="s">
        <v>9</v>
      </c>
      <c r="E7" s="97" t="s">
        <v>5</v>
      </c>
      <c r="F7" s="97" t="s">
        <v>36</v>
      </c>
      <c r="G7" s="66"/>
      <c r="H7" s="21" t="str">
        <f>A9</f>
        <v>OIS</v>
      </c>
      <c r="I7" s="166" t="str">
        <f t="shared" si="0"/>
        <v>obj_003c7#0033</v>
      </c>
      <c r="J7" s="169" t="str">
        <f>IFERROR(_xll.qlRateHelperQuoteName(I7,Trigger),"--")</f>
        <v>USDOIS2M_Quote</v>
      </c>
      <c r="K7" s="170">
        <f>IFERROR(_xll.qlRateHelperQuoteValue($I7,Trigger),"--")</f>
        <v>1.34E-3</v>
      </c>
      <c r="L7" s="169" t="b">
        <v>1</v>
      </c>
      <c r="M7" s="166">
        <v>50</v>
      </c>
      <c r="N7" s="166">
        <v>1</v>
      </c>
      <c r="O7" s="171">
        <f>IFERROR(_xll.qlRateHelperEarliestDate(I7,Trigger),"--")</f>
        <v>42184</v>
      </c>
      <c r="P7" s="171">
        <f>IFERROR(_xll.qlRateHelperPillarDate(I7,Trigger),"--")</f>
        <v>42247</v>
      </c>
      <c r="R7" s="12" t="str">
        <v>OIS</v>
      </c>
      <c r="S7" s="12" t="str">
        <v>obj_003c7</v>
      </c>
      <c r="T7" s="12" t="str">
        <f>_xll.qlRateHelperQuoteName(S7,Trigger)</f>
        <v>USDOIS2M_Quote</v>
      </c>
      <c r="U7" s="106">
        <f>_xll.qlRateHelperRate(S7,Trigger)</f>
        <v>1.34E-3</v>
      </c>
      <c r="V7" s="176" t="str">
        <f>IF(ISERROR(_xll.qlSwapRateHelperSpread($S7)),IF(ISERROR(_xll.qlFuturesRateHelperConvexityAdjustment($S7)),"--",_xll.qlFuturesRateHelperConvexityAdjustment($S7)),_xll.qlSwapRateHelperSpread($S7))</f>
        <v>--</v>
      </c>
      <c r="W7" s="13">
        <f>_xll.qlRateHelperEarliestDate(S7,Trigger)</f>
        <v>42184</v>
      </c>
      <c r="X7" s="13">
        <f>_xll.qlRateHelperPillarDate(S7,Trigger)</f>
        <v>42247</v>
      </c>
      <c r="Y7" s="144">
        <v>0.99975227067216521</v>
      </c>
    </row>
    <row r="8" spans="1:27" ht="11.25" customHeight="1" x14ac:dyDescent="0.2">
      <c r="A8" s="81" t="s">
        <v>125</v>
      </c>
      <c r="B8" s="82" t="s">
        <v>75</v>
      </c>
      <c r="C8" s="83">
        <f>IF(B8="O/N",0,IF(B8="T/N",1,2))</f>
        <v>2</v>
      </c>
      <c r="D8" s="92" t="str">
        <f>Currency&amp;$D$1</f>
        <v>USDFedFunds</v>
      </c>
      <c r="E8" s="87" t="str">
        <f>Currency&amp;$A8&amp;IF($B8="1W","SW",$B8)&amp;QuoteSuffix</f>
        <v>USDOISSW_Quote</v>
      </c>
      <c r="F8" s="88" t="str">
        <f>_xll.qlOISRateHelper(,C8,B8,E8,$D8,,Permanent,Trigger,ObjectOverwrite)</f>
        <v>obj_0039c#0038</v>
      </c>
      <c r="G8" s="66"/>
      <c r="H8" s="21" t="str">
        <f>A10</f>
        <v>OIS</v>
      </c>
      <c r="I8" s="166" t="str">
        <f t="shared" si="0"/>
        <v>obj_003cb#0033</v>
      </c>
      <c r="J8" s="169" t="str">
        <f>IFERROR(_xll.qlRateHelperQuoteName(I8,Trigger),"--")</f>
        <v>USDOIS3M_Quote</v>
      </c>
      <c r="K8" s="170">
        <f>IFERROR(_xll.qlRateHelperQuoteValue($I8,Trigger),"--")</f>
        <v>1.4599999999999999E-3</v>
      </c>
      <c r="L8" s="169" t="b">
        <v>1</v>
      </c>
      <c r="M8" s="166">
        <v>50</v>
      </c>
      <c r="N8" s="166">
        <v>1</v>
      </c>
      <c r="O8" s="171">
        <f>IFERROR(_xll.qlRateHelperEarliestDate(I8,Trigger),"--")</f>
        <v>42184</v>
      </c>
      <c r="P8" s="171">
        <f>IFERROR(_xll.qlRateHelperPillarDate(I8,Trigger),"--")</f>
        <v>42276</v>
      </c>
      <c r="R8" s="12" t="str">
        <v>OIS</v>
      </c>
      <c r="S8" s="12" t="str">
        <v>obj_003cb</v>
      </c>
      <c r="T8" s="12" t="str">
        <f>_xll.qlRateHelperQuoteName(S8,Trigger)</f>
        <v>USDOIS3M_Quote</v>
      </c>
      <c r="U8" s="106">
        <f>_xll.qlRateHelperRate(S8,Trigger)</f>
        <v>1.4599999999999999E-3</v>
      </c>
      <c r="V8" s="176" t="str">
        <f>IF(ISERROR(_xll.qlSwapRateHelperSpread($S8)),IF(ISERROR(_xll.qlFuturesRateHelperConvexityAdjustment($S8)),"--",_xll.qlFuturesRateHelperConvexityAdjustment($S8)),_xll.qlSwapRateHelperSpread($S8))</f>
        <v>--</v>
      </c>
      <c r="W8" s="13">
        <f>_xll.qlRateHelperEarliestDate(S8,Trigger)</f>
        <v>42184</v>
      </c>
      <c r="X8" s="13">
        <f>_xll.qlRateHelperPillarDate(S8,Trigger)</f>
        <v>42276</v>
      </c>
      <c r="Y8" s="144">
        <v>0.99961374558432836</v>
      </c>
    </row>
    <row r="9" spans="1:27" ht="11.25" customHeight="1" x14ac:dyDescent="0.2">
      <c r="A9" s="89" t="s">
        <v>125</v>
      </c>
      <c r="B9" s="90" t="s">
        <v>76</v>
      </c>
      <c r="C9" s="91">
        <f t="shared" ref="C9:C22" si="1">IF(B9="O/N",0,IF(B9="T/N",1,2))</f>
        <v>2</v>
      </c>
      <c r="D9" s="92" t="str">
        <f>Currency&amp;$D$1</f>
        <v>USDFedFunds</v>
      </c>
      <c r="E9" s="95" t="str">
        <f>Currency&amp;$A9&amp;IF($B9="1W","SW",$B9)&amp;QuoteSuffix</f>
        <v>USDOIS2W_Quote</v>
      </c>
      <c r="F9" s="96" t="str">
        <f>_xll.qlOISRateHelper(,C9,B9,E9,$D9,,Permanent,Trigger,ObjectOverwrite)</f>
        <v>obj_003c9#0034</v>
      </c>
      <c r="G9" s="66"/>
      <c r="H9" s="21" t="str">
        <f>A11</f>
        <v>OIS</v>
      </c>
      <c r="I9" s="166" t="str">
        <f t="shared" si="0"/>
        <v>obj_003cd#0033</v>
      </c>
      <c r="J9" s="169" t="str">
        <f>IFERROR(_xll.qlRateHelperQuoteName(I9,Trigger),"--")</f>
        <v>USDOIS4M_Quote</v>
      </c>
      <c r="K9" s="170">
        <f>IFERROR(_xll.qlRateHelperQuoteValue($I9,Trigger),"--")</f>
        <v>1.6299999999999997E-3</v>
      </c>
      <c r="L9" s="169" t="b">
        <v>1</v>
      </c>
      <c r="M9" s="166">
        <v>50</v>
      </c>
      <c r="N9" s="166">
        <v>1</v>
      </c>
      <c r="O9" s="171">
        <f>IFERROR(_xll.qlRateHelperEarliestDate(I9,Trigger),"--")</f>
        <v>42184</v>
      </c>
      <c r="P9" s="171">
        <f>IFERROR(_xll.qlRateHelperPillarDate(I9,Trigger),"--")</f>
        <v>42306</v>
      </c>
      <c r="R9" s="12" t="str">
        <v>OIS</v>
      </c>
      <c r="S9" s="12" t="str">
        <v>obj_003cd</v>
      </c>
      <c r="T9" s="12" t="str">
        <f>_xll.qlRateHelperQuoteName(S9,Trigger)</f>
        <v>USDOIS4M_Quote</v>
      </c>
      <c r="U9" s="106">
        <f>_xll.qlRateHelperRate(S9,Trigger)</f>
        <v>1.6299999999999997E-3</v>
      </c>
      <c r="V9" s="176" t="str">
        <f>IF(ISERROR(_xll.qlSwapRateHelperSpread($S9)),IF(ISERROR(_xll.qlFuturesRateHelperConvexityAdjustment($S9)),"--",_xll.qlFuturesRateHelperConvexityAdjustment($S9)),_xll.qlSwapRateHelperSpread($S9))</f>
        <v>--</v>
      </c>
      <c r="W9" s="13">
        <f>_xll.qlRateHelperEarliestDate(S9,Trigger)</f>
        <v>42184</v>
      </c>
      <c r="X9" s="13">
        <f>_xll.qlRateHelperPillarDate(S9,Trigger)</f>
        <v>42306</v>
      </c>
      <c r="Y9" s="144">
        <v>0.99943463599153604</v>
      </c>
    </row>
    <row r="10" spans="1:27" ht="11.25" customHeight="1" x14ac:dyDescent="0.2">
      <c r="A10" s="89" t="s">
        <v>125</v>
      </c>
      <c r="B10" s="90" t="s">
        <v>77</v>
      </c>
      <c r="C10" s="91">
        <f t="shared" si="1"/>
        <v>2</v>
      </c>
      <c r="D10" s="92" t="str">
        <f>Currency&amp;$D$1</f>
        <v>USDFedFunds</v>
      </c>
      <c r="E10" s="95" t="str">
        <f>Currency&amp;$A10&amp;IF($B10="1W","SW",$B10)&amp;QuoteSuffix</f>
        <v>USDOIS3W_Quote</v>
      </c>
      <c r="F10" s="96" t="str">
        <f>_xll.qlOISRateHelper(,C10,B10,E10,$D10,,Permanent,Trigger,ObjectOverwrite)</f>
        <v>obj_003cc#0033</v>
      </c>
      <c r="G10" s="66"/>
      <c r="H10" s="21" t="str">
        <f>A12</f>
        <v>OIS</v>
      </c>
      <c r="I10" s="166" t="str">
        <f t="shared" si="0"/>
        <v>obj_003d1#0033</v>
      </c>
      <c r="J10" s="169" t="str">
        <f>IFERROR(_xll.qlRateHelperQuoteName(I10,Trigger),"--")</f>
        <v>USDOIS5M_Quote</v>
      </c>
      <c r="K10" s="170">
        <f>IFERROR(_xll.qlRateHelperQuoteValue($I10,Trigger),"--")</f>
        <v>1.82E-3</v>
      </c>
      <c r="L10" s="169" t="b">
        <v>1</v>
      </c>
      <c r="M10" s="166">
        <v>50</v>
      </c>
      <c r="N10" s="166">
        <v>1</v>
      </c>
      <c r="O10" s="171">
        <f>IFERROR(_xll.qlRateHelperEarliestDate(I10,Trigger),"--")</f>
        <v>42184</v>
      </c>
      <c r="P10" s="171">
        <f>IFERROR(_xll.qlRateHelperPillarDate(I10,Trigger),"--")</f>
        <v>42338</v>
      </c>
      <c r="R10" s="12" t="str">
        <v>OIS</v>
      </c>
      <c r="S10" s="12" t="str">
        <v>obj_003d1</v>
      </c>
      <c r="T10" s="12" t="str">
        <f>_xll.qlRateHelperQuoteName(S10,Trigger)</f>
        <v>USDOIS5M_Quote</v>
      </c>
      <c r="U10" s="106">
        <f>_xll.qlRateHelperRate(S10,Trigger)</f>
        <v>1.82E-3</v>
      </c>
      <c r="V10" s="176" t="str">
        <f>IF(ISERROR(_xll.qlSwapRateHelperSpread($S10)),IF(ISERROR(_xll.qlFuturesRateHelperConvexityAdjustment($S10)),"--",_xll.qlFuturesRateHelperConvexityAdjustment($S10)),_xll.qlSwapRateHelperSpread($S10))</f>
        <v>--</v>
      </c>
      <c r="W10" s="13">
        <f>_xll.qlRateHelperEarliestDate(S10,Trigger)</f>
        <v>42184</v>
      </c>
      <c r="X10" s="13">
        <f>_xll.qlRateHelperPillarDate(S10,Trigger)</f>
        <v>42338</v>
      </c>
      <c r="Y10" s="144">
        <v>0.99920877303822619</v>
      </c>
    </row>
    <row r="11" spans="1:27" ht="11.25" customHeight="1" x14ac:dyDescent="0.2">
      <c r="A11" s="89" t="s">
        <v>125</v>
      </c>
      <c r="B11" s="90" t="s">
        <v>6</v>
      </c>
      <c r="C11" s="91">
        <f t="shared" si="1"/>
        <v>2</v>
      </c>
      <c r="D11" s="92" t="str">
        <f>Currency&amp;$D$1</f>
        <v>USDFedFunds</v>
      </c>
      <c r="E11" s="95" t="str">
        <f>Currency&amp;$A11&amp;IF($B11="1W","SW",$B11)&amp;QuoteSuffix</f>
        <v>USDOIS1M_Quote</v>
      </c>
      <c r="F11" s="96" t="str">
        <f>_xll.qlOISRateHelper(,C11,B11,E11,$D11,,Permanent,Trigger,ObjectOverwrite)</f>
        <v>obj_003ca#0033</v>
      </c>
      <c r="G11" s="66"/>
      <c r="H11" s="21" t="str">
        <f>A13</f>
        <v>OIS</v>
      </c>
      <c r="I11" s="166" t="str">
        <f t="shared" si="0"/>
        <v>obj_003ce#0033</v>
      </c>
      <c r="J11" s="169" t="str">
        <f>IFERROR(_xll.qlRateHelperQuoteName(I11,Trigger),"--")</f>
        <v>USDOIS6M_Quote</v>
      </c>
      <c r="K11" s="170">
        <f>IFERROR(_xll.qlRateHelperQuoteValue($I11,Trigger),"--")</f>
        <v>2.0200000000000001E-3</v>
      </c>
      <c r="L11" s="169" t="b">
        <v>1</v>
      </c>
      <c r="M11" s="166">
        <v>50</v>
      </c>
      <c r="N11" s="166">
        <v>1</v>
      </c>
      <c r="O11" s="171">
        <f>IFERROR(_xll.qlRateHelperEarliestDate(I11,Trigger),"--")</f>
        <v>42184</v>
      </c>
      <c r="P11" s="171">
        <f>IFERROR(_xll.qlRateHelperPillarDate(I11,Trigger),"--")</f>
        <v>42367</v>
      </c>
      <c r="R11" s="12" t="str">
        <v>OIS</v>
      </c>
      <c r="S11" s="12" t="str">
        <v>obj_003ce</v>
      </c>
      <c r="T11" s="12" t="str">
        <f>_xll.qlRateHelperQuoteName(S11,Trigger)</f>
        <v>USDOIS6M_Quote</v>
      </c>
      <c r="U11" s="106">
        <f>_xll.qlRateHelperRate(S11,Trigger)</f>
        <v>2.0200000000000001E-3</v>
      </c>
      <c r="V11" s="176" t="str">
        <f>IF(ISERROR(_xll.qlSwapRateHelperSpread($S11)),IF(ISERROR(_xll.qlFuturesRateHelperConvexityAdjustment($S11)),"--",_xll.qlFuturesRateHelperConvexityAdjustment($S11)),_xll.qlSwapRateHelperSpread($S11))</f>
        <v>--</v>
      </c>
      <c r="W11" s="13">
        <f>_xll.qlRateHelperEarliestDate(S11,Trigger)</f>
        <v>42184</v>
      </c>
      <c r="X11" s="13">
        <f>_xll.qlRateHelperPillarDate(S11,Trigger)</f>
        <v>42367</v>
      </c>
      <c r="Y11" s="144">
        <v>0.99896094618138809</v>
      </c>
    </row>
    <row r="12" spans="1:27" ht="11.25" customHeight="1" x14ac:dyDescent="0.2">
      <c r="A12" s="89" t="s">
        <v>125</v>
      </c>
      <c r="B12" s="90" t="s">
        <v>78</v>
      </c>
      <c r="C12" s="91">
        <f t="shared" si="1"/>
        <v>2</v>
      </c>
      <c r="D12" s="92" t="str">
        <f>Currency&amp;$D$1</f>
        <v>USDFedFunds</v>
      </c>
      <c r="E12" s="95" t="str">
        <f>Currency&amp;$A12&amp;IF($B12="1W","SW",$B12)&amp;QuoteSuffix</f>
        <v>USDOIS2M_Quote</v>
      </c>
      <c r="F12" s="96" t="str">
        <f>_xll.qlOISRateHelper(,C12,B12,E12,$D12,,Permanent,Trigger,ObjectOverwrite)</f>
        <v>obj_003c7#0033</v>
      </c>
      <c r="G12" s="66"/>
      <c r="H12" s="21" t="str">
        <f>A14</f>
        <v>OIS</v>
      </c>
      <c r="I12" s="166" t="str">
        <f t="shared" si="0"/>
        <v>obj_003d2#0033</v>
      </c>
      <c r="J12" s="169" t="str">
        <f>IFERROR(_xll.qlRateHelperQuoteName(I12,Trigger),"--")</f>
        <v>USDOIS7M_Quote</v>
      </c>
      <c r="K12" s="170">
        <f>IFERROR(_xll.qlRateHelperQuoteValue($I12,Trigger),"--")</f>
        <v>2.2599999999999999E-3</v>
      </c>
      <c r="L12" s="169" t="b">
        <v>1</v>
      </c>
      <c r="M12" s="166">
        <v>50</v>
      </c>
      <c r="N12" s="166">
        <v>1</v>
      </c>
      <c r="O12" s="171">
        <f>IFERROR(_xll.qlRateHelperEarliestDate(I12,Trigger),"--")</f>
        <v>42184</v>
      </c>
      <c r="P12" s="171">
        <f>IFERROR(_xll.qlRateHelperPillarDate(I12,Trigger),"--")</f>
        <v>42398</v>
      </c>
      <c r="R12" s="12" t="str">
        <v>OIS</v>
      </c>
      <c r="S12" s="12" t="str">
        <v>obj_003d2</v>
      </c>
      <c r="T12" s="12" t="str">
        <f>_xll.qlRateHelperQuoteName(S12,Trigger)</f>
        <v>USDOIS7M_Quote</v>
      </c>
      <c r="U12" s="106">
        <f>_xll.qlRateHelperRate(S12,Trigger)</f>
        <v>2.2599999999999999E-3</v>
      </c>
      <c r="V12" s="176" t="str">
        <f>IF(ISERROR(_xll.qlSwapRateHelperSpread($S12)),IF(ISERROR(_xll.qlFuturesRateHelperConvexityAdjustment($S12)),"--",_xll.qlFuturesRateHelperConvexityAdjustment($S12)),_xll.qlSwapRateHelperSpread($S12))</f>
        <v>--</v>
      </c>
      <c r="W12" s="13">
        <f>_xll.qlRateHelperEarliestDate(S12,Trigger)</f>
        <v>42184</v>
      </c>
      <c r="X12" s="13">
        <f>_xll.qlRateHelperPillarDate(S12,Trigger)</f>
        <v>42398</v>
      </c>
      <c r="Y12" s="144">
        <v>0.99864508838367116</v>
      </c>
    </row>
    <row r="13" spans="1:27" ht="11.25" customHeight="1" x14ac:dyDescent="0.2">
      <c r="A13" s="89" t="s">
        <v>125</v>
      </c>
      <c r="B13" s="90" t="s">
        <v>0</v>
      </c>
      <c r="C13" s="91">
        <f t="shared" si="1"/>
        <v>2</v>
      </c>
      <c r="D13" s="92" t="str">
        <f>Currency&amp;$D$1</f>
        <v>USDFedFunds</v>
      </c>
      <c r="E13" s="95" t="str">
        <f>Currency&amp;$A13&amp;IF($B13="1W","SW",$B13)&amp;QuoteSuffix</f>
        <v>USDOIS3M_Quote</v>
      </c>
      <c r="F13" s="96" t="str">
        <f>_xll.qlOISRateHelper(,C13,B13,E13,$D13,,Permanent,Trigger,ObjectOverwrite)</f>
        <v>obj_003cb#0033</v>
      </c>
      <c r="G13" s="66"/>
      <c r="H13" s="21" t="str">
        <f>A15</f>
        <v>OIS</v>
      </c>
      <c r="I13" s="166" t="str">
        <f t="shared" si="0"/>
        <v>obj_003c8#0033</v>
      </c>
      <c r="J13" s="169" t="str">
        <f>IFERROR(_xll.qlRateHelperQuoteName(I13,Trigger),"--")</f>
        <v>USDOIS8M_Quote</v>
      </c>
      <c r="K13" s="170">
        <f>IFERROR(_xll.qlRateHelperQuoteValue($I13,Trigger),"--")</f>
        <v>2.5100000000000001E-3</v>
      </c>
      <c r="L13" s="169" t="b">
        <v>1</v>
      </c>
      <c r="M13" s="166">
        <v>50</v>
      </c>
      <c r="N13" s="166">
        <v>1</v>
      </c>
      <c r="O13" s="171">
        <f>IFERROR(_xll.qlRateHelperEarliestDate(I13,Trigger),"--")</f>
        <v>42184</v>
      </c>
      <c r="P13" s="171">
        <f>IFERROR(_xll.qlRateHelperPillarDate(I13,Trigger),"--")</f>
        <v>42429</v>
      </c>
      <c r="R13" s="12" t="str">
        <v>OIS</v>
      </c>
      <c r="S13" s="12" t="str">
        <v>obj_003c8</v>
      </c>
      <c r="T13" s="12" t="str">
        <f>_xll.qlRateHelperQuoteName(S13,Trigger)</f>
        <v>USDOIS8M_Quote</v>
      </c>
      <c r="U13" s="106">
        <f>_xll.qlRateHelperRate(S13,Trigger)</f>
        <v>2.5100000000000001E-3</v>
      </c>
      <c r="V13" s="176" t="str">
        <f>IF(ISERROR(_xll.qlSwapRateHelperSpread($S13)),IF(ISERROR(_xll.qlFuturesRateHelperConvexityAdjustment($S13)),"--",_xll.qlFuturesRateHelperConvexityAdjustment($S13)),_xll.qlSwapRateHelperSpread($S13))</f>
        <v>--</v>
      </c>
      <c r="W13" s="13">
        <f>_xll.qlRateHelperEarliestDate(S13,Trigger)</f>
        <v>42184</v>
      </c>
      <c r="X13" s="13">
        <f>_xll.qlRateHelperPillarDate(S13,Trigger)</f>
        <v>42429</v>
      </c>
      <c r="Y13" s="144">
        <v>0.99828145374635047</v>
      </c>
    </row>
    <row r="14" spans="1:27" ht="11.25" customHeight="1" x14ac:dyDescent="0.2">
      <c r="A14" s="89" t="s">
        <v>125</v>
      </c>
      <c r="B14" s="90" t="s">
        <v>79</v>
      </c>
      <c r="C14" s="91">
        <f t="shared" si="1"/>
        <v>2</v>
      </c>
      <c r="D14" s="92" t="str">
        <f>Currency&amp;$D$1</f>
        <v>USDFedFunds</v>
      </c>
      <c r="E14" s="95" t="str">
        <f>Currency&amp;$A14&amp;IF($B14="1W","SW",$B14)&amp;QuoteSuffix</f>
        <v>USDOIS4M_Quote</v>
      </c>
      <c r="F14" s="96" t="str">
        <f>_xll.qlOISRateHelper(,C14,B14,E14,$D14,,Permanent,Trigger,ObjectOverwrite)</f>
        <v>obj_003cd#0033</v>
      </c>
      <c r="G14" s="66"/>
      <c r="H14" s="21" t="str">
        <f>A16</f>
        <v>OIS</v>
      </c>
      <c r="I14" s="166" t="str">
        <f t="shared" si="0"/>
        <v>obj_003c6#0033</v>
      </c>
      <c r="J14" s="169" t="str">
        <f>IFERROR(_xll.qlRateHelperQuoteName(I14,Trigger),"--")</f>
        <v>USDOIS9M_Quote</v>
      </c>
      <c r="K14" s="170">
        <f>IFERROR(_xll.qlRateHelperQuoteValue($I14,Trigger),"--")</f>
        <v>2.7400000000000002E-3</v>
      </c>
      <c r="L14" s="169" t="b">
        <v>1</v>
      </c>
      <c r="M14" s="166">
        <v>50</v>
      </c>
      <c r="N14" s="166">
        <v>1</v>
      </c>
      <c r="O14" s="171">
        <f>IFERROR(_xll.qlRateHelperEarliestDate(I14,Trigger),"--")</f>
        <v>42184</v>
      </c>
      <c r="P14" s="171">
        <f>IFERROR(_xll.qlRateHelperPillarDate(I14,Trigger),"--")</f>
        <v>42458</v>
      </c>
      <c r="R14" s="12" t="str">
        <v>OIS</v>
      </c>
      <c r="S14" s="12" t="str">
        <v>obj_003c6</v>
      </c>
      <c r="T14" s="12" t="str">
        <f>_xll.qlRateHelperQuoteName(S14,Trigger)</f>
        <v>USDOIS9M_Quote</v>
      </c>
      <c r="U14" s="106">
        <f>_xll.qlRateHelperRate(S14,Trigger)</f>
        <v>2.7400000000000002E-3</v>
      </c>
      <c r="V14" s="176" t="str">
        <f>IF(ISERROR(_xll.qlSwapRateHelperSpread($S14)),IF(ISERROR(_xll.qlFuturesRateHelperConvexityAdjustment($S14)),"--",_xll.qlFuturesRateHelperConvexityAdjustment($S14)),_xll.qlSwapRateHelperSpread($S14))</f>
        <v>--</v>
      </c>
      <c r="W14" s="13">
        <f>_xll.qlRateHelperEarliestDate(S14,Trigger)</f>
        <v>42184</v>
      </c>
      <c r="X14" s="13">
        <f>_xll.qlRateHelperPillarDate(S14,Trigger)</f>
        <v>42458</v>
      </c>
      <c r="Y14" s="144">
        <v>0.99790563581533476</v>
      </c>
    </row>
    <row r="15" spans="1:27" ht="11.25" customHeight="1" x14ac:dyDescent="0.2">
      <c r="A15" s="89" t="s">
        <v>125</v>
      </c>
      <c r="B15" s="90" t="s">
        <v>80</v>
      </c>
      <c r="C15" s="91">
        <f t="shared" si="1"/>
        <v>2</v>
      </c>
      <c r="D15" s="92" t="str">
        <f>Currency&amp;$D$1</f>
        <v>USDFedFunds</v>
      </c>
      <c r="E15" s="95" t="str">
        <f>Currency&amp;$A15&amp;IF($B15="1W","SW",$B15)&amp;QuoteSuffix</f>
        <v>USDOIS5M_Quote</v>
      </c>
      <c r="F15" s="96" t="str">
        <f>_xll.qlOISRateHelper(,C15,B15,E15,$D15,,Permanent,Trigger,ObjectOverwrite)</f>
        <v>obj_003d1#0033</v>
      </c>
      <c r="G15" s="66"/>
      <c r="H15" s="21" t="str">
        <f>A17</f>
        <v>OIS</v>
      </c>
      <c r="I15" s="166" t="str">
        <f t="shared" si="0"/>
        <v>obj_003c5#0033</v>
      </c>
      <c r="J15" s="169" t="str">
        <f>IFERROR(_xll.qlRateHelperQuoteName(I15,Trigger),"--")</f>
        <v>USDOIS10M_Quote</v>
      </c>
      <c r="K15" s="170">
        <f>IFERROR(_xll.qlRateHelperQuoteValue($I15,Trigger),"--")</f>
        <v>3.0000000000000005E-3</v>
      </c>
      <c r="L15" s="169" t="b">
        <v>1</v>
      </c>
      <c r="M15" s="166">
        <v>50</v>
      </c>
      <c r="N15" s="166">
        <v>1</v>
      </c>
      <c r="O15" s="171">
        <f>IFERROR(_xll.qlRateHelperEarliestDate(I15,Trigger),"--")</f>
        <v>42184</v>
      </c>
      <c r="P15" s="171">
        <f>IFERROR(_xll.qlRateHelperPillarDate(I15,Trigger),"--")</f>
        <v>42489</v>
      </c>
      <c r="R15" s="12" t="str">
        <v>OIS</v>
      </c>
      <c r="S15" s="12" t="str">
        <v>obj_003c5</v>
      </c>
      <c r="T15" s="12" t="str">
        <f>_xll.qlRateHelperQuoteName(S15,Trigger)</f>
        <v>USDOIS10M_Quote</v>
      </c>
      <c r="U15" s="106">
        <f>_xll.qlRateHelperRate(S15,Trigger)</f>
        <v>3.0000000000000005E-3</v>
      </c>
      <c r="V15" s="176" t="str">
        <f>IF(ISERROR(_xll.qlSwapRateHelperSpread($S15)),IF(ISERROR(_xll.qlFuturesRateHelperConvexityAdjustment($S15)),"--",_xll.qlFuturesRateHelperConvexityAdjustment($S15)),_xll.qlSwapRateHelperSpread($S15))</f>
        <v>--</v>
      </c>
      <c r="W15" s="13">
        <f>_xll.qlRateHelperEarliestDate(S15,Trigger)</f>
        <v>42184</v>
      </c>
      <c r="X15" s="13">
        <f>_xll.qlRateHelperPillarDate(S15,Trigger)</f>
        <v>42489</v>
      </c>
      <c r="Y15" s="144">
        <v>0.99745152329126663</v>
      </c>
    </row>
    <row r="16" spans="1:27" ht="11.25" customHeight="1" x14ac:dyDescent="0.2">
      <c r="A16" s="89" t="s">
        <v>125</v>
      </c>
      <c r="B16" s="90" t="s">
        <v>7</v>
      </c>
      <c r="C16" s="91">
        <f t="shared" si="1"/>
        <v>2</v>
      </c>
      <c r="D16" s="92" t="str">
        <f>Currency&amp;$D$1</f>
        <v>USDFedFunds</v>
      </c>
      <c r="E16" s="95" t="str">
        <f>Currency&amp;$A16&amp;IF($B16="1W","SW",$B16)&amp;QuoteSuffix</f>
        <v>USDOIS6M_Quote</v>
      </c>
      <c r="F16" s="96" t="str">
        <f>_xll.qlOISRateHelper(,C16,B16,E16,$D16,,Permanent,Trigger,ObjectOverwrite)</f>
        <v>obj_003ce#0033</v>
      </c>
      <c r="G16" s="66"/>
      <c r="H16" s="21" t="str">
        <f>A18</f>
        <v>OIS</v>
      </c>
      <c r="I16" s="166" t="str">
        <f t="shared" si="0"/>
        <v>obj_003cf#0033</v>
      </c>
      <c r="J16" s="169" t="str">
        <f>IFERROR(_xll.qlRateHelperQuoteName(I16,Trigger),"--")</f>
        <v>USDOIS11M_Quote</v>
      </c>
      <c r="K16" s="170">
        <f>IFERROR(_xll.qlRateHelperQuoteValue($I16,Trigger),"--")</f>
        <v>3.2799999999999999E-3</v>
      </c>
      <c r="L16" s="169" t="b">
        <v>1</v>
      </c>
      <c r="M16" s="166">
        <v>50</v>
      </c>
      <c r="N16" s="166">
        <v>1</v>
      </c>
      <c r="O16" s="171">
        <f>IFERROR(_xll.qlRateHelperEarliestDate(I16,Trigger),"--")</f>
        <v>42184</v>
      </c>
      <c r="P16" s="171">
        <f>IFERROR(_xll.qlRateHelperPillarDate(I16,Trigger),"--")</f>
        <v>42521</v>
      </c>
      <c r="R16" s="12" t="str">
        <v>OIS</v>
      </c>
      <c r="S16" s="12" t="str">
        <v>obj_003cf</v>
      </c>
      <c r="T16" s="12" t="str">
        <f>_xll.qlRateHelperQuoteName(S16,Trigger)</f>
        <v>USDOIS11M_Quote</v>
      </c>
      <c r="U16" s="106">
        <f>_xll.qlRateHelperRate(S16,Trigger)</f>
        <v>3.2799999999999999E-3</v>
      </c>
      <c r="V16" s="176" t="str">
        <f>IF(ISERROR(_xll.qlSwapRateHelperSpread($S16)),IF(ISERROR(_xll.qlFuturesRateHelperConvexityAdjustment($S16)),"--",_xll.qlFuturesRateHelperConvexityAdjustment($S16)),_xll.qlSwapRateHelperSpread($S16))</f>
        <v>--</v>
      </c>
      <c r="W16" s="13">
        <f>_xll.qlRateHelperEarliestDate(S16,Trigger)</f>
        <v>42184</v>
      </c>
      <c r="X16" s="13">
        <f>_xll.qlRateHelperPillarDate(S16,Trigger)</f>
        <v>42521</v>
      </c>
      <c r="Y16" s="144">
        <v>0.99692570757927468</v>
      </c>
    </row>
    <row r="17" spans="1:25" ht="11.25" customHeight="1" x14ac:dyDescent="0.2">
      <c r="A17" s="89" t="s">
        <v>125</v>
      </c>
      <c r="B17" s="90" t="s">
        <v>81</v>
      </c>
      <c r="C17" s="91">
        <f t="shared" si="1"/>
        <v>2</v>
      </c>
      <c r="D17" s="92" t="str">
        <f>Currency&amp;$D$1</f>
        <v>USDFedFunds</v>
      </c>
      <c r="E17" s="95" t="str">
        <f>Currency&amp;$A17&amp;IF($B17="1W","SW",$B17)&amp;QuoteSuffix</f>
        <v>USDOIS7M_Quote</v>
      </c>
      <c r="F17" s="96" t="str">
        <f>_xll.qlOISRateHelper(,C17,B17,E17,$D17,,Permanent,Trigger,ObjectOverwrite)</f>
        <v>obj_003d2#0033</v>
      </c>
      <c r="G17" s="66"/>
      <c r="H17" s="21" t="str">
        <f>A19</f>
        <v>OIS</v>
      </c>
      <c r="I17" s="166" t="str">
        <f t="shared" si="0"/>
        <v>obj_003d0#0033</v>
      </c>
      <c r="J17" s="169" t="str">
        <f>IFERROR(_xll.qlRateHelperQuoteName(I17,Trigger),"--")</f>
        <v>USDOIS1Y_Quote</v>
      </c>
      <c r="K17" s="170">
        <f>IFERROR(_xll.qlRateHelperQuoteValue($I17,Trigger),"--")</f>
        <v>3.5399999999999997E-3</v>
      </c>
      <c r="L17" s="169" t="b">
        <v>1</v>
      </c>
      <c r="M17" s="166">
        <v>50</v>
      </c>
      <c r="N17" s="166">
        <v>1</v>
      </c>
      <c r="O17" s="171">
        <f>IFERROR(_xll.qlRateHelperEarliestDate(I17,Trigger),"--")</f>
        <v>42184</v>
      </c>
      <c r="P17" s="171">
        <f>IFERROR(_xll.qlRateHelperPillarDate(I17,Trigger),"--")</f>
        <v>42550</v>
      </c>
      <c r="R17" s="12" t="str">
        <v>OIS</v>
      </c>
      <c r="S17" s="12" t="str">
        <v>obj_003d0</v>
      </c>
      <c r="T17" s="12" t="str">
        <f>_xll.qlRateHelperQuoteName(S17,Trigger)</f>
        <v>USDOIS1Y_Quote</v>
      </c>
      <c r="U17" s="106">
        <f>_xll.qlRateHelperRate(S17,Trigger)</f>
        <v>3.5399999999999997E-3</v>
      </c>
      <c r="V17" s="176" t="str">
        <f>IF(ISERROR(_xll.qlSwapRateHelperSpread($S17)),IF(ISERROR(_xll.qlFuturesRateHelperConvexityAdjustment($S17)),"--",_xll.qlFuturesRateHelperConvexityAdjustment($S17)),_xll.qlSwapRateHelperSpread($S17))</f>
        <v>--</v>
      </c>
      <c r="W17" s="13">
        <f>_xll.qlRateHelperEarliestDate(S17,Trigger)</f>
        <v>42184</v>
      </c>
      <c r="X17" s="13">
        <f>_xll.qlRateHelperPillarDate(S17,Trigger)</f>
        <v>42550</v>
      </c>
      <c r="Y17" s="144">
        <v>0.99640066658060211</v>
      </c>
    </row>
    <row r="18" spans="1:25" ht="11.25" customHeight="1" x14ac:dyDescent="0.2">
      <c r="A18" s="89" t="s">
        <v>125</v>
      </c>
      <c r="B18" s="90" t="s">
        <v>82</v>
      </c>
      <c r="C18" s="91">
        <f t="shared" si="1"/>
        <v>2</v>
      </c>
      <c r="D18" s="92" t="str">
        <f>Currency&amp;$D$1</f>
        <v>USDFedFunds</v>
      </c>
      <c r="E18" s="95" t="str">
        <f>Currency&amp;$A18&amp;IF($B18="1W","SW",$B18)&amp;QuoteSuffix</f>
        <v>USDOIS8M_Quote</v>
      </c>
      <c r="F18" s="96" t="str">
        <f>_xll.qlOISRateHelper(,C18,B18,E18,$D18,,Permanent,Trigger,ObjectOverwrite)</f>
        <v>obj_003c8#0033</v>
      </c>
      <c r="G18" s="66"/>
      <c r="H18" s="21" t="str">
        <f>A20</f>
        <v>OIS</v>
      </c>
      <c r="I18" s="166" t="str">
        <f t="shared" si="0"/>
        <v>--</v>
      </c>
      <c r="J18" s="169" t="str">
        <f>IFERROR(_xll.qlRateHelperQuoteName(I18,Trigger),"--")</f>
        <v>--</v>
      </c>
      <c r="K18" s="170" t="str">
        <f>IFERROR(_xll.qlRateHelperQuoteValue($I18,Trigger),"--")</f>
        <v>--</v>
      </c>
      <c r="L18" s="169" t="b">
        <v>0</v>
      </c>
      <c r="M18" s="166">
        <v>50</v>
      </c>
      <c r="N18" s="166">
        <v>1</v>
      </c>
      <c r="O18" s="171" t="str">
        <f>IFERROR(_xll.qlRateHelperEarliestDate(I18,Trigger),"--")</f>
        <v>--</v>
      </c>
      <c r="P18" s="171" t="str">
        <f>IFERROR(_xll.qlRateHelperPillarDate(I18,Trigger),"--")</f>
        <v>--</v>
      </c>
      <c r="R18" s="12" t="str">
        <v>OIS</v>
      </c>
      <c r="S18" s="12" t="str">
        <v>obj_003ac</v>
      </c>
      <c r="T18" s="12" t="str">
        <f>_xll.qlRateHelperQuoteName(S18,Trigger)</f>
        <v>USDOIS15M_Quote</v>
      </c>
      <c r="U18" s="106">
        <f>_xll.qlRateHelperRate(S18,Trigger)</f>
        <v>4.3999999999999994E-3</v>
      </c>
      <c r="V18" s="176" t="str">
        <f>IF(ISERROR(_xll.qlSwapRateHelperSpread($S18)),IF(ISERROR(_xll.qlFuturesRateHelperConvexityAdjustment($S18)),"--",_xll.qlFuturesRateHelperConvexityAdjustment($S18)),_xll.qlSwapRateHelperSpread($S18))</f>
        <v>--</v>
      </c>
      <c r="W18" s="13">
        <f>_xll.qlRateHelperEarliestDate(S18,Trigger)</f>
        <v>42184</v>
      </c>
      <c r="X18" s="13">
        <f>_xll.qlRateHelperPillarDate(S18,Trigger)</f>
        <v>42642</v>
      </c>
      <c r="Y18" s="144">
        <v>0.99441435557191415</v>
      </c>
    </row>
    <row r="19" spans="1:25" ht="11.25" customHeight="1" x14ac:dyDescent="0.2">
      <c r="A19" s="89" t="s">
        <v>125</v>
      </c>
      <c r="B19" s="90" t="s">
        <v>83</v>
      </c>
      <c r="C19" s="91">
        <f t="shared" si="1"/>
        <v>2</v>
      </c>
      <c r="D19" s="92" t="str">
        <f>Currency&amp;$D$1</f>
        <v>USDFedFunds</v>
      </c>
      <c r="E19" s="95" t="str">
        <f>Currency&amp;$A19&amp;IF($B19="1W","SW",$B19)&amp;QuoteSuffix</f>
        <v>USDOIS9M_Quote</v>
      </c>
      <c r="F19" s="96" t="str">
        <f>_xll.qlOISRateHelper(,C19,B19,E19,$D19,,Permanent,Trigger,ObjectOverwrite)</f>
        <v>obj_003c6#0033</v>
      </c>
      <c r="G19" s="66"/>
      <c r="H19" s="21" t="str">
        <f>A21</f>
        <v>OIS</v>
      </c>
      <c r="I19" s="166" t="str">
        <f t="shared" si="0"/>
        <v>--</v>
      </c>
      <c r="J19" s="169" t="str">
        <f>IFERROR(_xll.qlRateHelperQuoteName(I19,Trigger),"--")</f>
        <v>--</v>
      </c>
      <c r="K19" s="170" t="str">
        <f>IFERROR(_xll.qlRateHelperQuoteValue($I19,Trigger),"--")</f>
        <v>--</v>
      </c>
      <c r="L19" s="169" t="b">
        <v>0</v>
      </c>
      <c r="M19" s="166">
        <v>50</v>
      </c>
      <c r="N19" s="166">
        <v>1</v>
      </c>
      <c r="O19" s="171" t="str">
        <f>IFERROR(_xll.qlRateHelperEarliestDate(I19,Trigger),"--")</f>
        <v>--</v>
      </c>
      <c r="P19" s="171" t="str">
        <f>IFERROR(_xll.qlRateHelperPillarDate(I19,Trigger),"--")</f>
        <v>--</v>
      </c>
      <c r="R19" s="12" t="str">
        <v>OIS</v>
      </c>
      <c r="S19" s="12" t="str">
        <v>obj_003b0</v>
      </c>
      <c r="T19" s="12" t="str">
        <f>_xll.qlRateHelperQuoteName(S19,Trigger)</f>
        <v>USDOIS18M_Quote</v>
      </c>
      <c r="U19" s="106">
        <f>_xll.qlRateHelperRate(S19,Trigger)</f>
        <v>5.2900000000000004E-3</v>
      </c>
      <c r="V19" s="176" t="str">
        <f>IF(ISERROR(_xll.qlSwapRateHelperSpread($S19)),IF(ISERROR(_xll.qlFuturesRateHelperConvexityAdjustment($S19)),"--",_xll.qlFuturesRateHelperConvexityAdjustment($S19)),_xll.qlSwapRateHelperSpread($S19))</f>
        <v>--</v>
      </c>
      <c r="W19" s="13">
        <f>_xll.qlRateHelperEarliestDate(S19,Trigger)</f>
        <v>42184</v>
      </c>
      <c r="X19" s="13">
        <f>_xll.qlRateHelperPillarDate(S19,Trigger)</f>
        <v>42733</v>
      </c>
      <c r="Y19" s="144">
        <v>0.99196546773462191</v>
      </c>
    </row>
    <row r="20" spans="1:25" ht="11.25" customHeight="1" x14ac:dyDescent="0.2">
      <c r="A20" s="89" t="s">
        <v>125</v>
      </c>
      <c r="B20" s="90" t="s">
        <v>84</v>
      </c>
      <c r="C20" s="91">
        <f t="shared" si="1"/>
        <v>2</v>
      </c>
      <c r="D20" s="92" t="str">
        <f>Currency&amp;$D$1</f>
        <v>USDFedFunds</v>
      </c>
      <c r="E20" s="95" t="str">
        <f>Currency&amp;$A20&amp;IF($B20="1W","SW",$B20)&amp;QuoteSuffix</f>
        <v>USDOIS10M_Quote</v>
      </c>
      <c r="F20" s="96" t="str">
        <f>_xll.qlOISRateHelper(,C20,B20,E20,$D20,,Permanent,Trigger,ObjectOverwrite)</f>
        <v>obj_003c5#0033</v>
      </c>
      <c r="G20" s="66"/>
      <c r="H20" s="21" t="str">
        <f>A22</f>
        <v>OIS</v>
      </c>
      <c r="I20" s="166" t="str">
        <f t="shared" si="0"/>
        <v>obj_003ac#0035</v>
      </c>
      <c r="J20" s="169" t="str">
        <f>IFERROR(_xll.qlRateHelperQuoteName(I20,Trigger),"--")</f>
        <v>USDOIS15M_Quote</v>
      </c>
      <c r="K20" s="170">
        <f>IFERROR(_xll.qlRateHelperQuoteValue($I20,Trigger),"--")</f>
        <v>4.3999999999999994E-3</v>
      </c>
      <c r="L20" s="169" t="b">
        <v>1</v>
      </c>
      <c r="M20" s="166">
        <v>50</v>
      </c>
      <c r="N20" s="166">
        <v>1</v>
      </c>
      <c r="O20" s="171">
        <f>IFERROR(_xll.qlRateHelperEarliestDate(I20,Trigger),"--")</f>
        <v>42184</v>
      </c>
      <c r="P20" s="171">
        <f>IFERROR(_xll.qlRateHelperPillarDate(I20,Trigger),"--")</f>
        <v>42642</v>
      </c>
      <c r="R20" s="12" t="str">
        <v>OIS</v>
      </c>
      <c r="S20" s="12" t="str">
        <v>obj_003bd</v>
      </c>
      <c r="T20" s="12" t="str">
        <f>_xll.qlRateHelperQuoteName(S20,Trigger)</f>
        <v>USDOIS21M_Quote</v>
      </c>
      <c r="U20" s="106">
        <f>_xll.qlRateHelperRate(S20,Trigger)</f>
        <v>6.2399999999999999E-3</v>
      </c>
      <c r="V20" s="176" t="str">
        <f>IF(ISERROR(_xll.qlSwapRateHelperSpread($S20)),IF(ISERROR(_xll.qlFuturesRateHelperConvexityAdjustment($S20)),"--",_xll.qlFuturesRateHelperConvexityAdjustment($S20)),_xll.qlSwapRateHelperSpread($S20))</f>
        <v>--</v>
      </c>
      <c r="W20" s="13">
        <f>_xll.qlRateHelperEarliestDate(S20,Trigger)</f>
        <v>42184</v>
      </c>
      <c r="X20" s="13">
        <f>_xll.qlRateHelperPillarDate(S20,Trigger)</f>
        <v>42823</v>
      </c>
      <c r="Y20" s="144">
        <v>0.9889903140266133</v>
      </c>
    </row>
    <row r="21" spans="1:25" ht="11.25" customHeight="1" x14ac:dyDescent="0.2">
      <c r="A21" s="89" t="s">
        <v>125</v>
      </c>
      <c r="B21" s="90" t="s">
        <v>85</v>
      </c>
      <c r="C21" s="91">
        <f t="shared" si="1"/>
        <v>2</v>
      </c>
      <c r="D21" s="92" t="str">
        <f>Currency&amp;$D$1</f>
        <v>USDFedFunds</v>
      </c>
      <c r="E21" s="95" t="str">
        <f>Currency&amp;$A21&amp;IF($B21="1W","SW",$B21)&amp;QuoteSuffix</f>
        <v>USDOIS11M_Quote</v>
      </c>
      <c r="F21" s="96" t="str">
        <f>_xll.qlOISRateHelper(,C21,B21,E21,$D21,,Permanent,Trigger,ObjectOverwrite)</f>
        <v>obj_003cf#0033</v>
      </c>
      <c r="G21" s="66"/>
      <c r="H21" s="21" t="str">
        <f>A23</f>
        <v>OIS</v>
      </c>
      <c r="I21" s="166" t="str">
        <f t="shared" si="0"/>
        <v>--</v>
      </c>
      <c r="J21" s="169" t="str">
        <f>IFERROR(_xll.qlRateHelperQuoteName(I21,Trigger),"--")</f>
        <v>--</v>
      </c>
      <c r="K21" s="170" t="str">
        <f>IFERROR(_xll.qlRateHelperQuoteValue($I21,Trigger),"--")</f>
        <v>--</v>
      </c>
      <c r="L21" s="169" t="b">
        <v>0</v>
      </c>
      <c r="M21" s="166">
        <v>50</v>
      </c>
      <c r="N21" s="166">
        <v>1</v>
      </c>
      <c r="O21" s="171" t="str">
        <f>IFERROR(_xll.qlRateHelperEarliestDate(I21,Trigger),"--")</f>
        <v>--</v>
      </c>
      <c r="P21" s="171" t="str">
        <f>IFERROR(_xll.qlRateHelperPillarDate(I21,Trigger),"--")</f>
        <v>--</v>
      </c>
      <c r="R21" s="12" t="str">
        <v>OIS</v>
      </c>
      <c r="S21" s="12" t="str">
        <v>obj_003a7</v>
      </c>
      <c r="T21" s="12" t="str">
        <f>_xll.qlRateHelperQuoteName(S21,Trigger)</f>
        <v>USDOIS2Y_Quote</v>
      </c>
      <c r="U21" s="106">
        <f>_xll.qlRateHelperRate(S21,Trigger)</f>
        <v>7.2099999999999994E-3</v>
      </c>
      <c r="V21" s="176" t="str">
        <f>IF(ISERROR(_xll.qlSwapRateHelperSpread($S21)),IF(ISERROR(_xll.qlFuturesRateHelperConvexityAdjustment($S21)),"--",_xll.qlFuturesRateHelperConvexityAdjustment($S21)),_xll.qlSwapRateHelperSpread($S21))</f>
        <v>--</v>
      </c>
      <c r="W21" s="13">
        <f>_xll.qlRateHelperEarliestDate(S21,Trigger)</f>
        <v>42184</v>
      </c>
      <c r="X21" s="13">
        <f>_xll.qlRateHelperPillarDate(S21,Trigger)</f>
        <v>42915</v>
      </c>
      <c r="Y21" s="144">
        <v>0.98547894169104699</v>
      </c>
    </row>
    <row r="22" spans="1:25" ht="11.25" customHeight="1" x14ac:dyDescent="0.2">
      <c r="A22" s="89" t="s">
        <v>125</v>
      </c>
      <c r="B22" s="90" t="s">
        <v>42</v>
      </c>
      <c r="C22" s="91">
        <f t="shared" si="1"/>
        <v>2</v>
      </c>
      <c r="D22" s="92" t="str">
        <f>Currency&amp;$D$1</f>
        <v>USDFedFunds</v>
      </c>
      <c r="E22" s="95" t="str">
        <f>Currency&amp;$A22&amp;IF($B22="1W","SW",$B22)&amp;QuoteSuffix</f>
        <v>USDOIS1Y_Quote</v>
      </c>
      <c r="F22" s="96" t="str">
        <f>_xll.qlOISRateHelper(,C22,B22,E22,$D22,,Permanent,Trigger,ObjectOverwrite)</f>
        <v>obj_003d0#0033</v>
      </c>
      <c r="H22" s="21" t="str">
        <f>A24</f>
        <v>OIS</v>
      </c>
      <c r="I22" s="166" t="str">
        <f t="shared" si="0"/>
        <v>--</v>
      </c>
      <c r="J22" s="169" t="str">
        <f>IFERROR(_xll.qlRateHelperQuoteName(I22,Trigger),"--")</f>
        <v>--</v>
      </c>
      <c r="K22" s="170" t="str">
        <f>IFERROR(_xll.qlRateHelperQuoteValue($I22,Trigger),"--")</f>
        <v>--</v>
      </c>
      <c r="L22" s="169" t="b">
        <v>0</v>
      </c>
      <c r="M22" s="166">
        <v>50</v>
      </c>
      <c r="N22" s="166">
        <v>1</v>
      </c>
      <c r="O22" s="171" t="str">
        <f>IFERROR(_xll.qlRateHelperEarliestDate(I22,Trigger),"--")</f>
        <v>--</v>
      </c>
      <c r="P22" s="171" t="str">
        <f>IFERROR(_xll.qlRateHelperPillarDate(I22,Trigger),"--")</f>
        <v>--</v>
      </c>
      <c r="R22" s="12" t="str">
        <v>OIS</v>
      </c>
      <c r="S22" s="12" t="str">
        <v>obj_003b2</v>
      </c>
      <c r="T22" s="12" t="str">
        <f>_xll.qlRateHelperQuoteName(S22,Trigger)</f>
        <v>USDOIS3Y_Quote</v>
      </c>
      <c r="U22" s="106">
        <f>_xll.qlRateHelperRate(S22,Trigger)</f>
        <v>1.068E-2</v>
      </c>
      <c r="V22" s="176" t="str">
        <f>IF(ISERROR(_xll.qlSwapRateHelperSpread($S22)),IF(ISERROR(_xll.qlFuturesRateHelperConvexityAdjustment($S22)),"--",_xll.qlFuturesRateHelperConvexityAdjustment($S22)),_xll.qlSwapRateHelperSpread($S22))</f>
        <v>--</v>
      </c>
      <c r="W22" s="13">
        <f>_xll.qlRateHelperEarliestDate(S22,Trigger)</f>
        <v>42184</v>
      </c>
      <c r="X22" s="13">
        <f>_xll.qlRateHelperPillarDate(S22,Trigger)</f>
        <v>43280</v>
      </c>
      <c r="Y22" s="144">
        <v>0.96801471367612779</v>
      </c>
    </row>
    <row r="23" spans="1:25" ht="11.25" customHeight="1" x14ac:dyDescent="0.2">
      <c r="A23" s="89" t="s">
        <v>125</v>
      </c>
      <c r="B23" s="90" t="s">
        <v>86</v>
      </c>
      <c r="C23" s="91">
        <f t="shared" ref="C23:C61" si="2">IF(B23="O/N",0,IF(B23="T/N",1,2))</f>
        <v>2</v>
      </c>
      <c r="D23" s="92" t="str">
        <f>Currency&amp;$D$1</f>
        <v>USDFedFunds</v>
      </c>
      <c r="E23" s="95" t="str">
        <f>Currency&amp;$A23&amp;IF($B23="1W","SW",$B23)&amp;QuoteSuffix</f>
        <v>USDOIS13M_Quote</v>
      </c>
      <c r="F23" s="96"/>
      <c r="H23" s="21" t="str">
        <f>A25</f>
        <v>OIS</v>
      </c>
      <c r="I23" s="166" t="str">
        <f t="shared" si="0"/>
        <v>obj_003b0#0034</v>
      </c>
      <c r="J23" s="169" t="str">
        <f>IFERROR(_xll.qlRateHelperQuoteName(I23,Trigger),"--")</f>
        <v>USDOIS18M_Quote</v>
      </c>
      <c r="K23" s="170">
        <f>IFERROR(_xll.qlRateHelperQuoteValue($I23,Trigger),"--")</f>
        <v>5.2900000000000004E-3</v>
      </c>
      <c r="L23" s="169" t="b">
        <v>1</v>
      </c>
      <c r="M23" s="166">
        <v>50</v>
      </c>
      <c r="N23" s="166">
        <v>1</v>
      </c>
      <c r="O23" s="171">
        <f>IFERROR(_xll.qlRateHelperEarliestDate(I23,Trigger),"--")</f>
        <v>42184</v>
      </c>
      <c r="P23" s="171">
        <f>IFERROR(_xll.qlRateHelperPillarDate(I23,Trigger),"--")</f>
        <v>42733</v>
      </c>
      <c r="R23" s="12" t="str">
        <v>OIS</v>
      </c>
      <c r="S23" s="12" t="str">
        <v>obj_003be</v>
      </c>
      <c r="T23" s="12" t="str">
        <f>_xll.qlRateHelperQuoteName(S23,Trigger)</f>
        <v>USDOIS4Y_Quote</v>
      </c>
      <c r="U23" s="106">
        <f>_xll.qlRateHelperRate(S23,Trigger)</f>
        <v>1.3580000000000002E-2</v>
      </c>
      <c r="V23" s="176" t="str">
        <f>IF(ISERROR(_xll.qlSwapRateHelperSpread($S23)),IF(ISERROR(_xll.qlFuturesRateHelperConvexityAdjustment($S23)),"--",_xll.qlFuturesRateHelperConvexityAdjustment($S23)),_xll.qlSwapRateHelperSpread($S23))</f>
        <v>--</v>
      </c>
      <c r="W23" s="13">
        <f>_xll.qlRateHelperEarliestDate(S23,Trigger)</f>
        <v>42184</v>
      </c>
      <c r="X23" s="13">
        <f>_xll.qlRateHelperPillarDate(S23,Trigger)</f>
        <v>43644</v>
      </c>
      <c r="Y23" s="144">
        <v>0.94633910134211396</v>
      </c>
    </row>
    <row r="24" spans="1:25" ht="11.25" customHeight="1" x14ac:dyDescent="0.2">
      <c r="A24" s="89" t="s">
        <v>125</v>
      </c>
      <c r="B24" s="90" t="s">
        <v>87</v>
      </c>
      <c r="C24" s="91">
        <f t="shared" si="2"/>
        <v>2</v>
      </c>
      <c r="D24" s="92" t="str">
        <f>Currency&amp;$D$1</f>
        <v>USDFedFunds</v>
      </c>
      <c r="E24" s="95" t="str">
        <f>Currency&amp;$A24&amp;IF($B24="1W","SW",$B24)&amp;QuoteSuffix</f>
        <v>USDOIS14M_Quote</v>
      </c>
      <c r="F24" s="96"/>
      <c r="H24" s="21" t="str">
        <f>A26</f>
        <v>OIS</v>
      </c>
      <c r="I24" s="166" t="str">
        <f t="shared" si="0"/>
        <v>--</v>
      </c>
      <c r="J24" s="169" t="str">
        <f>IFERROR(_xll.qlRateHelperQuoteName(I24,Trigger),"--")</f>
        <v>--</v>
      </c>
      <c r="K24" s="170" t="str">
        <f>IFERROR(_xll.qlRateHelperQuoteValue($I24,Trigger),"--")</f>
        <v>--</v>
      </c>
      <c r="L24" s="169" t="b">
        <v>0</v>
      </c>
      <c r="M24" s="166">
        <v>50</v>
      </c>
      <c r="N24" s="166">
        <v>1</v>
      </c>
      <c r="O24" s="171" t="str">
        <f>IFERROR(_xll.qlRateHelperEarliestDate(I24,Trigger),"--")</f>
        <v>--</v>
      </c>
      <c r="P24" s="171" t="str">
        <f>IFERROR(_xll.qlRateHelperPillarDate(I24,Trigger),"--")</f>
        <v>--</v>
      </c>
      <c r="R24" s="12" t="str">
        <v>OIS</v>
      </c>
      <c r="S24" s="12" t="str">
        <v>obj_003a5</v>
      </c>
      <c r="T24" s="12" t="str">
        <f>_xll.qlRateHelperQuoteName(S24,Trigger)</f>
        <v>USDOIS5Y_Quote</v>
      </c>
      <c r="U24" s="106">
        <f>_xll.qlRateHelperRate(S24,Trigger)</f>
        <v>1.6040000000000002E-2</v>
      </c>
      <c r="V24" s="176" t="str">
        <f>IF(ISERROR(_xll.qlSwapRateHelperSpread($S24)),IF(ISERROR(_xll.qlFuturesRateHelperConvexityAdjustment($S24)),"--",_xll.qlFuturesRateHelperConvexityAdjustment($S24)),_xll.qlSwapRateHelperSpread($S24))</f>
        <v>--</v>
      </c>
      <c r="W24" s="13">
        <f>_xll.qlRateHelperEarliestDate(S24,Trigger)</f>
        <v>42184</v>
      </c>
      <c r="X24" s="13">
        <f>_xll.qlRateHelperPillarDate(S24,Trigger)</f>
        <v>44011</v>
      </c>
      <c r="Y24" s="144">
        <v>0.92155179122944653</v>
      </c>
    </row>
    <row r="25" spans="1:25" ht="11.25" customHeight="1" x14ac:dyDescent="0.2">
      <c r="A25" s="89" t="s">
        <v>125</v>
      </c>
      <c r="B25" s="90" t="s">
        <v>88</v>
      </c>
      <c r="C25" s="91">
        <f t="shared" si="2"/>
        <v>2</v>
      </c>
      <c r="D25" s="92" t="str">
        <f>Currency&amp;$D$1</f>
        <v>USDFedFunds</v>
      </c>
      <c r="E25" s="95" t="str">
        <f>Currency&amp;$A25&amp;IF($B25="1W","SW",$B25)&amp;QuoteSuffix</f>
        <v>USDOIS15M_Quote</v>
      </c>
      <c r="F25" s="96" t="str">
        <f>_xll.qlOISRateHelper(,C25,B25,E25,$D25,,Permanent,Trigger,ObjectOverwrite)</f>
        <v>obj_003ac#0035</v>
      </c>
      <c r="H25" s="21" t="str">
        <f>A27</f>
        <v>OIS</v>
      </c>
      <c r="I25" s="166" t="str">
        <f t="shared" si="0"/>
        <v>--</v>
      </c>
      <c r="J25" s="169" t="str">
        <f>IFERROR(_xll.qlRateHelperQuoteName(I25,Trigger),"--")</f>
        <v>--</v>
      </c>
      <c r="K25" s="170" t="str">
        <f>IFERROR(_xll.qlRateHelperQuoteValue($I25,Trigger),"--")</f>
        <v>--</v>
      </c>
      <c r="L25" s="169" t="b">
        <v>0</v>
      </c>
      <c r="M25" s="166">
        <v>50</v>
      </c>
      <c r="N25" s="166">
        <v>1</v>
      </c>
      <c r="O25" s="171" t="str">
        <f>IFERROR(_xll.qlRateHelperEarliestDate(I25,Trigger),"--")</f>
        <v>--</v>
      </c>
      <c r="P25" s="171" t="str">
        <f>IFERROR(_xll.qlRateHelperPillarDate(I25,Trigger),"--")</f>
        <v>--</v>
      </c>
      <c r="R25" s="12" t="str">
        <v>OIS</v>
      </c>
      <c r="S25" s="12" t="str">
        <v>obj_003aa</v>
      </c>
      <c r="T25" s="12" t="str">
        <f>_xll.qlRateHelperQuoteName(S25,Trigger)</f>
        <v>USDOIS6Y_Quote</v>
      </c>
      <c r="U25" s="106">
        <f>_xll.qlRateHelperRate(S25,Trigger)</f>
        <v>1.8030000000000001E-2</v>
      </c>
      <c r="V25" s="176" t="str">
        <f>IF(ISERROR(_xll.qlSwapRateHelperSpread($S25)),IF(ISERROR(_xll.qlFuturesRateHelperConvexityAdjustment($S25)),"--",_xll.qlFuturesRateHelperConvexityAdjustment($S25)),_xll.qlSwapRateHelperSpread($S25))</f>
        <v>--</v>
      </c>
      <c r="W25" s="13">
        <f>_xll.qlRateHelperEarliestDate(S25,Trigger)</f>
        <v>42184</v>
      </c>
      <c r="X25" s="13">
        <f>_xll.qlRateHelperPillarDate(S25,Trigger)</f>
        <v>44376</v>
      </c>
      <c r="Y25" s="144">
        <v>0.89545154802351534</v>
      </c>
    </row>
    <row r="26" spans="1:25" ht="11.25" customHeight="1" x14ac:dyDescent="0.2">
      <c r="A26" s="89" t="s">
        <v>125</v>
      </c>
      <c r="B26" s="90" t="s">
        <v>89</v>
      </c>
      <c r="C26" s="91">
        <f t="shared" si="2"/>
        <v>2</v>
      </c>
      <c r="D26" s="92" t="str">
        <f>Currency&amp;$D$1</f>
        <v>USDFedFunds</v>
      </c>
      <c r="E26" s="95" t="str">
        <f>Currency&amp;$A26&amp;IF($B26="1W","SW",$B26)&amp;QuoteSuffix</f>
        <v>USDOIS16M_Quote</v>
      </c>
      <c r="F26" s="96"/>
      <c r="H26" s="21" t="str">
        <f>A28</f>
        <v>OIS</v>
      </c>
      <c r="I26" s="166" t="str">
        <f t="shared" si="0"/>
        <v>obj_003bd#0033</v>
      </c>
      <c r="J26" s="169" t="str">
        <f>IFERROR(_xll.qlRateHelperQuoteName(I26,Trigger),"--")</f>
        <v>USDOIS21M_Quote</v>
      </c>
      <c r="K26" s="170">
        <f>IFERROR(_xll.qlRateHelperQuoteValue($I26,Trigger),"--")</f>
        <v>6.2399999999999999E-3</v>
      </c>
      <c r="L26" s="169" t="b">
        <v>1</v>
      </c>
      <c r="M26" s="166">
        <v>50</v>
      </c>
      <c r="N26" s="166">
        <v>1</v>
      </c>
      <c r="O26" s="171">
        <f>IFERROR(_xll.qlRateHelperEarliestDate(I26,Trigger),"--")</f>
        <v>42184</v>
      </c>
      <c r="P26" s="171">
        <f>IFERROR(_xll.qlRateHelperPillarDate(I26,Trigger),"--")</f>
        <v>42823</v>
      </c>
      <c r="R26" s="12" t="str">
        <v>OIS</v>
      </c>
      <c r="S26" s="12" t="str">
        <v>obj_003ad</v>
      </c>
      <c r="T26" s="12" t="str">
        <f>_xll.qlRateHelperQuoteName(S26,Trigger)</f>
        <v>USDOIS7Y_Quote</v>
      </c>
      <c r="U26" s="106">
        <f>_xll.qlRateHelperRate(S26,Trigger)</f>
        <v>1.959E-2</v>
      </c>
      <c r="V26" s="176" t="str">
        <f>IF(ISERROR(_xll.qlSwapRateHelperSpread($S26)),IF(ISERROR(_xll.qlFuturesRateHelperConvexityAdjustment($S26)),"--",_xll.qlFuturesRateHelperConvexityAdjustment($S26)),_xll.qlSwapRateHelperSpread($S26))</f>
        <v>--</v>
      </c>
      <c r="W26" s="13">
        <f>_xll.qlRateHelperEarliestDate(S26,Trigger)</f>
        <v>42184</v>
      </c>
      <c r="X26" s="13">
        <f>_xll.qlRateHelperPillarDate(S26,Trigger)</f>
        <v>44741</v>
      </c>
      <c r="Y26" s="144">
        <v>0.86914389959936356</v>
      </c>
    </row>
    <row r="27" spans="1:25" ht="11.25" customHeight="1" x14ac:dyDescent="0.2">
      <c r="A27" s="89" t="s">
        <v>125</v>
      </c>
      <c r="B27" s="90" t="s">
        <v>90</v>
      </c>
      <c r="C27" s="91">
        <f t="shared" si="2"/>
        <v>2</v>
      </c>
      <c r="D27" s="92" t="str">
        <f>Currency&amp;$D$1</f>
        <v>USDFedFunds</v>
      </c>
      <c r="E27" s="95" t="str">
        <f>Currency&amp;$A27&amp;IF($B27="1W","SW",$B27)&amp;QuoteSuffix</f>
        <v>USDOIS17M_Quote</v>
      </c>
      <c r="F27" s="96"/>
      <c r="H27" s="21" t="str">
        <f>A29</f>
        <v>OIS</v>
      </c>
      <c r="I27" s="166" t="str">
        <f t="shared" si="0"/>
        <v>--</v>
      </c>
      <c r="J27" s="169" t="str">
        <f>IFERROR(_xll.qlRateHelperQuoteName(I27,Trigger),"--")</f>
        <v>--</v>
      </c>
      <c r="K27" s="170" t="str">
        <f>IFERROR(_xll.qlRateHelperQuoteValue($I27,Trigger),"--")</f>
        <v>--</v>
      </c>
      <c r="L27" s="169" t="b">
        <v>0</v>
      </c>
      <c r="M27" s="166">
        <v>50</v>
      </c>
      <c r="N27" s="166">
        <v>1</v>
      </c>
      <c r="O27" s="171" t="str">
        <f>IFERROR(_xll.qlRateHelperEarliestDate(I27,Trigger),"--")</f>
        <v>--</v>
      </c>
      <c r="P27" s="171" t="str">
        <f>IFERROR(_xll.qlRateHelperPillarDate(I27,Trigger),"--")</f>
        <v>--</v>
      </c>
      <c r="R27" s="12" t="str">
        <v>OIS</v>
      </c>
      <c r="S27" s="12" t="str">
        <v>obj_003bb</v>
      </c>
      <c r="T27" s="12" t="str">
        <f>_xll.qlRateHelperQuoteName(S27,Trigger)</f>
        <v>USDOIS8Y_Quote</v>
      </c>
      <c r="U27" s="106">
        <f>_xll.qlRateHelperRate(S27,Trigger)</f>
        <v>2.0840000000000001E-2</v>
      </c>
      <c r="V27" s="176" t="str">
        <f>IF(ISERROR(_xll.qlSwapRateHelperSpread($S27)),IF(ISERROR(_xll.qlFuturesRateHelperConvexityAdjustment($S27)),"--",_xll.qlFuturesRateHelperConvexityAdjustment($S27)),_xll.qlSwapRateHelperSpread($S27))</f>
        <v>--</v>
      </c>
      <c r="W27" s="13">
        <f>_xll.qlRateHelperEarliestDate(S27,Trigger)</f>
        <v>42184</v>
      </c>
      <c r="X27" s="13">
        <f>_xll.qlRateHelperPillarDate(S27,Trigger)</f>
        <v>45106</v>
      </c>
      <c r="Y27" s="144">
        <v>0.84298330395116605</v>
      </c>
    </row>
    <row r="28" spans="1:25" ht="11.25" customHeight="1" x14ac:dyDescent="0.2">
      <c r="A28" s="89" t="s">
        <v>125</v>
      </c>
      <c r="B28" s="90" t="s">
        <v>91</v>
      </c>
      <c r="C28" s="91">
        <f t="shared" si="2"/>
        <v>2</v>
      </c>
      <c r="D28" s="92" t="str">
        <f>Currency&amp;$D$1</f>
        <v>USDFedFunds</v>
      </c>
      <c r="E28" s="95" t="str">
        <f>Currency&amp;$A28&amp;IF($B28="1W","SW",$B28)&amp;QuoteSuffix</f>
        <v>USDOIS18M_Quote</v>
      </c>
      <c r="F28" s="96" t="str">
        <f>_xll.qlOISRateHelper(,C28,B28,E28,$D28,,Permanent,Trigger,ObjectOverwrite)</f>
        <v>obj_003b0#0034</v>
      </c>
      <c r="H28" s="21" t="str">
        <f>A30</f>
        <v>OIS</v>
      </c>
      <c r="I28" s="166" t="str">
        <f t="shared" si="0"/>
        <v>--</v>
      </c>
      <c r="J28" s="169" t="str">
        <f>IFERROR(_xll.qlRateHelperQuoteName(I28,Trigger),"--")</f>
        <v>--</v>
      </c>
      <c r="K28" s="170" t="str">
        <f>IFERROR(_xll.qlRateHelperQuoteValue($I28,Trigger),"--")</f>
        <v>--</v>
      </c>
      <c r="L28" s="169" t="b">
        <v>0</v>
      </c>
      <c r="M28" s="166">
        <v>50</v>
      </c>
      <c r="N28" s="166">
        <v>1</v>
      </c>
      <c r="O28" s="171" t="str">
        <f>IFERROR(_xll.qlRateHelperEarliestDate(I28,Trigger),"--")</f>
        <v>--</v>
      </c>
      <c r="P28" s="171" t="str">
        <f>IFERROR(_xll.qlRateHelperPillarDate(I28,Trigger),"--")</f>
        <v>--</v>
      </c>
      <c r="R28" s="12" t="str">
        <v>OIS</v>
      </c>
      <c r="S28" s="12" t="str">
        <v>obj_003bf</v>
      </c>
      <c r="T28" s="12" t="str">
        <f>_xll.qlRateHelperQuoteName(S28,Trigger)</f>
        <v>USDOIS9Y_Quote</v>
      </c>
      <c r="U28" s="106">
        <f>_xll.qlRateHelperRate(S28,Trigger)</f>
        <v>2.1909999999999999E-2</v>
      </c>
      <c r="V28" s="176" t="str">
        <f>IF(ISERROR(_xll.qlSwapRateHelperSpread($S28)),IF(ISERROR(_xll.qlFuturesRateHelperConvexityAdjustment($S28)),"--",_xll.qlFuturesRateHelperConvexityAdjustment($S28)),_xll.qlSwapRateHelperSpread($S28))</f>
        <v>--</v>
      </c>
      <c r="W28" s="13">
        <f>_xll.qlRateHelperEarliestDate(S28,Trigger)</f>
        <v>42184</v>
      </c>
      <c r="X28" s="13">
        <f>_xll.qlRateHelperPillarDate(S28,Trigger)</f>
        <v>45471</v>
      </c>
      <c r="Y28" s="144">
        <v>0.81677803167434915</v>
      </c>
    </row>
    <row r="29" spans="1:25" ht="11.25" customHeight="1" x14ac:dyDescent="0.2">
      <c r="A29" s="89" t="s">
        <v>125</v>
      </c>
      <c r="B29" s="90" t="s">
        <v>92</v>
      </c>
      <c r="C29" s="91">
        <f t="shared" si="2"/>
        <v>2</v>
      </c>
      <c r="D29" s="92" t="str">
        <f>Currency&amp;$D$1</f>
        <v>USDFedFunds</v>
      </c>
      <c r="E29" s="95" t="str">
        <f>Currency&amp;$A29&amp;IF($B29="1W","SW",$B29)&amp;QuoteSuffix</f>
        <v>USDOIS19M_Quote</v>
      </c>
      <c r="F29" s="96"/>
      <c r="H29" s="21" t="str">
        <f>A31</f>
        <v>OIS</v>
      </c>
      <c r="I29" s="166" t="str">
        <f t="shared" si="0"/>
        <v>obj_003a7#0039</v>
      </c>
      <c r="J29" s="169" t="str">
        <f>IFERROR(_xll.qlRateHelperQuoteName(I29,Trigger),"--")</f>
        <v>USDOIS2Y_Quote</v>
      </c>
      <c r="K29" s="170">
        <f>IFERROR(_xll.qlRateHelperQuoteValue($I29,Trigger),"--")</f>
        <v>7.2099999999999994E-3</v>
      </c>
      <c r="L29" s="169" t="b">
        <v>1</v>
      </c>
      <c r="M29" s="166">
        <v>50</v>
      </c>
      <c r="N29" s="166">
        <v>1</v>
      </c>
      <c r="O29" s="171">
        <f>IFERROR(_xll.qlRateHelperEarliestDate(I29,Trigger),"--")</f>
        <v>42184</v>
      </c>
      <c r="P29" s="171">
        <f>IFERROR(_xll.qlRateHelperPillarDate(I29,Trigger),"--")</f>
        <v>42915</v>
      </c>
      <c r="R29" s="12" t="str">
        <v>OIS</v>
      </c>
      <c r="S29" s="12" t="str">
        <v>obj_003c3</v>
      </c>
      <c r="T29" s="12" t="str">
        <f>_xll.qlRateHelperQuoteName(S29,Trigger)</f>
        <v>USDOIS10Y_Quote</v>
      </c>
      <c r="U29" s="106">
        <f>_xll.qlRateHelperRate(S29,Trigger)</f>
        <v>2.2759999999999999E-2</v>
      </c>
      <c r="V29" s="176" t="str">
        <f>IF(ISERROR(_xll.qlSwapRateHelperSpread($S29)),IF(ISERROR(_xll.qlFuturesRateHelperConvexityAdjustment($S29)),"--",_xll.qlFuturesRateHelperConvexityAdjustment($S29)),_xll.qlSwapRateHelperSpread($S29))</f>
        <v>--</v>
      </c>
      <c r="W29" s="13">
        <f>_xll.qlRateHelperEarliestDate(S29,Trigger)</f>
        <v>42184</v>
      </c>
      <c r="X29" s="13">
        <f>_xll.qlRateHelperPillarDate(S29,Trigger)</f>
        <v>45838</v>
      </c>
      <c r="Y29" s="144">
        <v>0.79131002316370769</v>
      </c>
    </row>
    <row r="30" spans="1:25" ht="11.25" customHeight="1" x14ac:dyDescent="0.2">
      <c r="A30" s="89" t="s">
        <v>125</v>
      </c>
      <c r="B30" s="90" t="s">
        <v>93</v>
      </c>
      <c r="C30" s="91">
        <f t="shared" si="2"/>
        <v>2</v>
      </c>
      <c r="D30" s="92" t="str">
        <f>Currency&amp;$D$1</f>
        <v>USDFedFunds</v>
      </c>
      <c r="E30" s="95" t="str">
        <f>Currency&amp;$A30&amp;IF($B30="1W","SW",$B30)&amp;QuoteSuffix</f>
        <v>USDOIS20M_Quote</v>
      </c>
      <c r="F30" s="96"/>
      <c r="H30" s="21" t="str">
        <f>A32</f>
        <v>OIS</v>
      </c>
      <c r="I30" s="166" t="str">
        <f t="shared" si="0"/>
        <v>--</v>
      </c>
      <c r="J30" s="169" t="str">
        <f>IFERROR(_xll.qlRateHelperQuoteName(I30,Trigger),"--")</f>
        <v>--</v>
      </c>
      <c r="K30" s="170" t="str">
        <f>IFERROR(_xll.qlRateHelperQuoteValue($I30,Trigger),"--")</f>
        <v>--</v>
      </c>
      <c r="L30" s="169" t="b">
        <v>0</v>
      </c>
      <c r="M30" s="166">
        <v>50</v>
      </c>
      <c r="N30" s="166">
        <v>1</v>
      </c>
      <c r="O30" s="171" t="str">
        <f>IFERROR(_xll.qlRateHelperEarliestDate(I30,Trigger),"--")</f>
        <v>--</v>
      </c>
      <c r="P30" s="171" t="str">
        <f>IFERROR(_xll.qlRateHelperPillarDate(I30,Trigger),"--")</f>
        <v>--</v>
      </c>
      <c r="R30" s="12" t="str">
        <v>OIS</v>
      </c>
      <c r="S30" s="12" t="str">
        <v>obj_003a8</v>
      </c>
      <c r="T30" s="12" t="str">
        <f>_xll.qlRateHelperQuoteName(S30,Trigger)</f>
        <v>USDOIS12Y_Quote</v>
      </c>
      <c r="U30" s="106">
        <f>_xll.qlRateHelperRate(S30,Trigger)</f>
        <v>2.4060000000000002E-2</v>
      </c>
      <c r="V30" s="176" t="str">
        <f>IF(ISERROR(_xll.qlSwapRateHelperSpread($S30)),IF(ISERROR(_xll.qlFuturesRateHelperConvexityAdjustment($S30)),"--",_xll.qlFuturesRateHelperConvexityAdjustment($S30)),_xll.qlSwapRateHelperSpread($S30))</f>
        <v>--</v>
      </c>
      <c r="W30" s="13">
        <f>_xll.qlRateHelperEarliestDate(S30,Trigger)</f>
        <v>42184</v>
      </c>
      <c r="X30" s="13">
        <f>_xll.qlRateHelperPillarDate(S30,Trigger)</f>
        <v>46567</v>
      </c>
      <c r="Y30" s="144">
        <v>0.7426244485421053</v>
      </c>
    </row>
    <row r="31" spans="1:25" ht="11.25" customHeight="1" x14ac:dyDescent="0.2">
      <c r="A31" s="89" t="s">
        <v>125</v>
      </c>
      <c r="B31" s="90" t="s">
        <v>94</v>
      </c>
      <c r="C31" s="91">
        <f t="shared" si="2"/>
        <v>2</v>
      </c>
      <c r="D31" s="92" t="str">
        <f>Currency&amp;$D$1</f>
        <v>USDFedFunds</v>
      </c>
      <c r="E31" s="95" t="str">
        <f>Currency&amp;$A31&amp;IF($B31="1W","SW",$B31)&amp;QuoteSuffix</f>
        <v>USDOIS21M_Quote</v>
      </c>
      <c r="F31" s="96" t="str">
        <f>_xll.qlOISRateHelper(,C31,B31,E31,$D31,,Permanent,Trigger,ObjectOverwrite)</f>
        <v>obj_003bd#0033</v>
      </c>
      <c r="H31" s="21" t="str">
        <f>A33</f>
        <v>OIS</v>
      </c>
      <c r="I31" s="166" t="str">
        <f t="shared" si="0"/>
        <v>--</v>
      </c>
      <c r="J31" s="169" t="str">
        <f>IFERROR(_xll.qlRateHelperQuoteName(I31,Trigger),"--")</f>
        <v>--</v>
      </c>
      <c r="K31" s="170" t="str">
        <f>IFERROR(_xll.qlRateHelperQuoteValue($I31,Trigger),"--")</f>
        <v>--</v>
      </c>
      <c r="L31" s="169" t="b">
        <v>0</v>
      </c>
      <c r="M31" s="166">
        <v>50</v>
      </c>
      <c r="N31" s="166">
        <v>1</v>
      </c>
      <c r="O31" s="171" t="str">
        <f>IFERROR(_xll.qlRateHelperEarliestDate(I31,Trigger),"--")</f>
        <v>--</v>
      </c>
      <c r="P31" s="171" t="str">
        <f>IFERROR(_xll.qlRateHelperPillarDate(I31,Trigger),"--")</f>
        <v>--</v>
      </c>
      <c r="R31" s="12" t="str">
        <v>OIS</v>
      </c>
      <c r="S31" s="12" t="str">
        <v>obj_003b1</v>
      </c>
      <c r="T31" s="12" t="str">
        <f>_xll.qlRateHelperQuoteName(S31,Trigger)</f>
        <v>USDOIS15Y_Quote</v>
      </c>
      <c r="U31" s="106">
        <f>_xll.qlRateHelperRate(S31,Trigger)</f>
        <v>2.5310000000000003E-2</v>
      </c>
      <c r="V31" s="176" t="str">
        <f>IF(ISERROR(_xll.qlSwapRateHelperSpread($S31)),IF(ISERROR(_xll.qlFuturesRateHelperConvexityAdjustment($S31)),"--",_xll.qlFuturesRateHelperConvexityAdjustment($S31)),_xll.qlSwapRateHelperSpread($S31))</f>
        <v>--</v>
      </c>
      <c r="W31" s="13">
        <f>_xll.qlRateHelperEarliestDate(S31,Trigger)</f>
        <v>42184</v>
      </c>
      <c r="X31" s="13">
        <f>_xll.qlRateHelperPillarDate(S31,Trigger)</f>
        <v>47662</v>
      </c>
      <c r="Y31" s="144">
        <v>0.67556500401476871</v>
      </c>
    </row>
    <row r="32" spans="1:25" ht="11.25" customHeight="1" x14ac:dyDescent="0.2">
      <c r="A32" s="89" t="s">
        <v>125</v>
      </c>
      <c r="B32" s="90" t="s">
        <v>95</v>
      </c>
      <c r="C32" s="91">
        <f t="shared" si="2"/>
        <v>2</v>
      </c>
      <c r="D32" s="92" t="str">
        <f>Currency&amp;$D$1</f>
        <v>USDFedFunds</v>
      </c>
      <c r="E32" s="95" t="str">
        <f>Currency&amp;$A32&amp;IF($B32="1W","SW",$B32)&amp;QuoteSuffix</f>
        <v>USDOIS22M_Quote</v>
      </c>
      <c r="F32" s="96"/>
      <c r="H32" s="21" t="str">
        <f>A34</f>
        <v>OIS</v>
      </c>
      <c r="I32" s="166" t="str">
        <f t="shared" si="0"/>
        <v>--</v>
      </c>
      <c r="J32" s="169" t="str">
        <f>IFERROR(_xll.qlRateHelperQuoteName(I32,Trigger),"--")</f>
        <v>--</v>
      </c>
      <c r="K32" s="170" t="str">
        <f>IFERROR(_xll.qlRateHelperQuoteValue($I32,Trigger),"--")</f>
        <v>--</v>
      </c>
      <c r="L32" s="169" t="b">
        <v>0</v>
      </c>
      <c r="M32" s="166">
        <v>50</v>
      </c>
      <c r="N32" s="166">
        <v>1</v>
      </c>
      <c r="O32" s="171" t="str">
        <f>IFERROR(_xll.qlRateHelperEarliestDate(I32,Trigger),"--")</f>
        <v>--</v>
      </c>
      <c r="P32" s="171" t="str">
        <f>IFERROR(_xll.qlRateHelperPillarDate(I32,Trigger),"--")</f>
        <v>--</v>
      </c>
      <c r="R32" s="12" t="str">
        <v>OIS</v>
      </c>
      <c r="S32" s="12" t="str">
        <v>obj_0039f</v>
      </c>
      <c r="T32" s="12" t="str">
        <f>_xll.qlRateHelperQuoteName(S32,Trigger)</f>
        <v>USDOIS20Y_Quote</v>
      </c>
      <c r="U32" s="106">
        <f>_xll.qlRateHelperRate(S32,Trigger)</f>
        <v>2.6469999999999997E-2</v>
      </c>
      <c r="V32" s="176" t="str">
        <f>IF(ISERROR(_xll.qlSwapRateHelperSpread($S32)),IF(ISERROR(_xll.qlFuturesRateHelperConvexityAdjustment($S32)),"--",_xll.qlFuturesRateHelperConvexityAdjustment($S32)),_xll.qlSwapRateHelperSpread($S32))</f>
        <v>--</v>
      </c>
      <c r="W32" s="13">
        <f>_xll.qlRateHelperEarliestDate(S32,Trigger)</f>
        <v>42184</v>
      </c>
      <c r="X32" s="13">
        <f>_xll.qlRateHelperPillarDate(S32,Trigger)</f>
        <v>49489</v>
      </c>
      <c r="Y32" s="144">
        <v>0.57800207770194345</v>
      </c>
    </row>
    <row r="33" spans="1:25" ht="11.25" customHeight="1" x14ac:dyDescent="0.2">
      <c r="A33" s="89" t="s">
        <v>125</v>
      </c>
      <c r="B33" s="90" t="s">
        <v>96</v>
      </c>
      <c r="C33" s="91">
        <f t="shared" si="2"/>
        <v>2</v>
      </c>
      <c r="D33" s="92" t="str">
        <f>Currency&amp;$D$1</f>
        <v>USDFedFunds</v>
      </c>
      <c r="E33" s="95" t="str">
        <f>Currency&amp;$A33&amp;IF($B33="1W","SW",$B33)&amp;QuoteSuffix</f>
        <v>USDOIS23M_Quote</v>
      </c>
      <c r="F33" s="96"/>
      <c r="H33" s="21" t="str">
        <f>A35</f>
        <v>OIS</v>
      </c>
      <c r="I33" s="166" t="str">
        <f t="shared" si="0"/>
        <v>obj_003b2#0034</v>
      </c>
      <c r="J33" s="169" t="str">
        <f>IFERROR(_xll.qlRateHelperQuoteName(I33,Trigger),"--")</f>
        <v>USDOIS3Y_Quote</v>
      </c>
      <c r="K33" s="170">
        <f>IFERROR(_xll.qlRateHelperQuoteValue($I33,Trigger),"--")</f>
        <v>1.068E-2</v>
      </c>
      <c r="L33" s="169" t="b">
        <v>1</v>
      </c>
      <c r="M33" s="166">
        <v>50</v>
      </c>
      <c r="N33" s="166">
        <v>1</v>
      </c>
      <c r="O33" s="171">
        <f>IFERROR(_xll.qlRateHelperEarliestDate(I33,Trigger),"--")</f>
        <v>42184</v>
      </c>
      <c r="P33" s="171">
        <f>IFERROR(_xll.qlRateHelperPillarDate(I33,Trigger),"--")</f>
        <v>43280</v>
      </c>
      <c r="R33" s="12" t="str">
        <v>OIS</v>
      </c>
      <c r="S33" s="12" t="str">
        <v>obj_003b8</v>
      </c>
      <c r="T33" s="12" t="str">
        <f>_xll.qlRateHelperQuoteName(S33,Trigger)</f>
        <v>USDOIS25Y_Quote</v>
      </c>
      <c r="U33" s="106">
        <f>_xll.qlRateHelperRate(S33,Trigger)</f>
        <v>2.7000000000000003E-2</v>
      </c>
      <c r="V33" s="176" t="str">
        <f>IF(ISERROR(_xll.qlSwapRateHelperSpread($S33)),IF(ISERROR(_xll.qlFuturesRateHelperConvexityAdjustment($S33)),"--",_xll.qlFuturesRateHelperConvexityAdjustment($S33)),_xll.qlSwapRateHelperSpread($S33))</f>
        <v>--</v>
      </c>
      <c r="W33" s="13">
        <f>_xll.qlRateHelperEarliestDate(S33,Trigger)</f>
        <v>42184</v>
      </c>
      <c r="X33" s="13">
        <f>_xll.qlRateHelperPillarDate(S33,Trigger)</f>
        <v>51316</v>
      </c>
      <c r="Y33" s="144">
        <v>0.49714183780190258</v>
      </c>
    </row>
    <row r="34" spans="1:25" ht="11.25" customHeight="1" x14ac:dyDescent="0.2">
      <c r="A34" s="89" t="s">
        <v>125</v>
      </c>
      <c r="B34" s="90" t="s">
        <v>97</v>
      </c>
      <c r="C34" s="91">
        <f t="shared" si="2"/>
        <v>2</v>
      </c>
      <c r="D34" s="92" t="str">
        <f>Currency&amp;$D$1</f>
        <v>USDFedFunds</v>
      </c>
      <c r="E34" s="95" t="str">
        <f>Currency&amp;$A34&amp;IF($B34="1W","SW",$B34)&amp;QuoteSuffix</f>
        <v>USDOIS2Y_Quote</v>
      </c>
      <c r="F34" s="96" t="str">
        <f>_xll.qlOISRateHelper(,C34,B34,E34,$D34,,Permanent,Trigger,ObjectOverwrite)</f>
        <v>obj_003a7#0039</v>
      </c>
      <c r="H34" s="21" t="str">
        <f>A36</f>
        <v>OIS</v>
      </c>
      <c r="I34" s="166" t="str">
        <f t="shared" si="0"/>
        <v>--</v>
      </c>
      <c r="J34" s="169" t="str">
        <f>IFERROR(_xll.qlRateHelperQuoteName(I34,Trigger),"--")</f>
        <v>--</v>
      </c>
      <c r="K34" s="170" t="str">
        <f>IFERROR(_xll.qlRateHelperQuoteValue($I34,Trigger),"--")</f>
        <v>--</v>
      </c>
      <c r="L34" s="169" t="b">
        <v>0</v>
      </c>
      <c r="M34" s="166">
        <v>50</v>
      </c>
      <c r="N34" s="166">
        <v>1</v>
      </c>
      <c r="O34" s="171" t="str">
        <f>IFERROR(_xll.qlRateHelperEarliestDate(I34,Trigger),"--")</f>
        <v>--</v>
      </c>
      <c r="P34" s="171" t="str">
        <f>IFERROR(_xll.qlRateHelperPillarDate(I34,Trigger),"--")</f>
        <v>--</v>
      </c>
      <c r="R34" s="12" t="str">
        <v>OIS</v>
      </c>
      <c r="S34" s="12" t="str">
        <v>obj_003ab</v>
      </c>
      <c r="T34" s="12" t="str">
        <f>_xll.qlRateHelperQuoteName(S34,Trigger)</f>
        <v>USDOIS30Y_Quote</v>
      </c>
      <c r="U34" s="106">
        <f>_xll.qlRateHelperRate(S34,Trigger)</f>
        <v>2.734E-2</v>
      </c>
      <c r="V34" s="176" t="str">
        <f>IF(ISERROR(_xll.qlSwapRateHelperSpread($S34)),IF(ISERROR(_xll.qlFuturesRateHelperConvexityAdjustment($S34)),"--",_xll.qlFuturesRateHelperConvexityAdjustment($S34)),_xll.qlSwapRateHelperSpread($S34))</f>
        <v>--</v>
      </c>
      <c r="W34" s="13">
        <f>_xll.qlRateHelperEarliestDate(S34,Trigger)</f>
        <v>42184</v>
      </c>
      <c r="X34" s="13">
        <f>_xll.qlRateHelperPillarDate(S34,Trigger)</f>
        <v>53142</v>
      </c>
      <c r="Y34" s="144">
        <v>0.42778950142501182</v>
      </c>
    </row>
    <row r="35" spans="1:25" ht="11.25" customHeight="1" x14ac:dyDescent="0.2">
      <c r="A35" s="89" t="s">
        <v>125</v>
      </c>
      <c r="B35" s="90" t="s">
        <v>98</v>
      </c>
      <c r="C35" s="91">
        <f t="shared" si="2"/>
        <v>2</v>
      </c>
      <c r="D35" s="92" t="str">
        <f>Currency&amp;$D$1</f>
        <v>USDFedFunds</v>
      </c>
      <c r="E35" s="95" t="str">
        <f>Currency&amp;$A35&amp;IF($B35="1W","SW",$B35)&amp;QuoteSuffix</f>
        <v>USDOIS27M_Quote</v>
      </c>
      <c r="F35" s="96"/>
      <c r="H35" s="21" t="str">
        <f>A37</f>
        <v>OIS</v>
      </c>
      <c r="I35" s="166" t="str">
        <f t="shared" si="0"/>
        <v>--</v>
      </c>
      <c r="J35" s="169" t="str">
        <f>IFERROR(_xll.qlRateHelperQuoteName(I35,Trigger),"--")</f>
        <v>--</v>
      </c>
      <c r="K35" s="170" t="str">
        <f>IFERROR(_xll.qlRateHelperQuoteValue($I35,Trigger),"--")</f>
        <v>--</v>
      </c>
      <c r="L35" s="169" t="b">
        <v>0</v>
      </c>
      <c r="M35" s="166">
        <v>50</v>
      </c>
      <c r="N35" s="166">
        <v>1</v>
      </c>
      <c r="O35" s="171" t="str">
        <f>IFERROR(_xll.qlRateHelperEarliestDate(I35,Trigger),"--")</f>
        <v>--</v>
      </c>
      <c r="P35" s="171" t="str">
        <f>IFERROR(_xll.qlRateHelperPillarDate(I35,Trigger),"--")</f>
        <v>--</v>
      </c>
      <c r="R35" s="12" t="str">
        <v>OIS</v>
      </c>
      <c r="S35" s="12" t="str">
        <v>obj_003c1</v>
      </c>
      <c r="T35" s="12" t="str">
        <f>_xll.qlRateHelperQuoteName(S35,Trigger)</f>
        <v>USDOIS35Y_Quote</v>
      </c>
      <c r="U35" s="106">
        <f>_xll.qlRateHelperRate(S35,Trigger)</f>
        <v>2.7389999999999998E-2</v>
      </c>
      <c r="V35" s="176" t="str">
        <f>IF(ISERROR(_xll.qlSwapRateHelperSpread($S35)),IF(ISERROR(_xll.qlFuturesRateHelperConvexityAdjustment($S35)),"--",_xll.qlFuturesRateHelperConvexityAdjustment($S35)),_xll.qlSwapRateHelperSpread($S35))</f>
        <v>--</v>
      </c>
      <c r="W35" s="13">
        <f>_xll.qlRateHelperEarliestDate(S35,Trigger)</f>
        <v>42184</v>
      </c>
      <c r="X35" s="13">
        <f>_xll.qlRateHelperPillarDate(S35,Trigger)</f>
        <v>54968</v>
      </c>
      <c r="Y35" s="144">
        <v>0.37206249712406014</v>
      </c>
    </row>
    <row r="36" spans="1:25" ht="11.25" customHeight="1" x14ac:dyDescent="0.2">
      <c r="A36" s="89" t="s">
        <v>125</v>
      </c>
      <c r="B36" s="90" t="s">
        <v>99</v>
      </c>
      <c r="C36" s="91">
        <f t="shared" si="2"/>
        <v>2</v>
      </c>
      <c r="D36" s="92" t="str">
        <f>Currency&amp;$D$1</f>
        <v>USDFedFunds</v>
      </c>
      <c r="E36" s="95" t="str">
        <f>Currency&amp;$A36&amp;IF($B36="1W","SW",$B36)&amp;QuoteSuffix</f>
        <v>USDOIS30M_Quote</v>
      </c>
      <c r="F36" s="96"/>
      <c r="H36" s="21" t="str">
        <f>A38</f>
        <v>OIS</v>
      </c>
      <c r="I36" s="166" t="str">
        <f t="shared" si="0"/>
        <v>--</v>
      </c>
      <c r="J36" s="169" t="str">
        <f>IFERROR(_xll.qlRateHelperQuoteName(I36,Trigger),"--")</f>
        <v>--</v>
      </c>
      <c r="K36" s="170" t="str">
        <f>IFERROR(_xll.qlRateHelperQuoteValue($I36,Trigger),"--")</f>
        <v>--</v>
      </c>
      <c r="L36" s="169" t="b">
        <v>0</v>
      </c>
      <c r="M36" s="166">
        <v>50</v>
      </c>
      <c r="N36" s="166">
        <v>1</v>
      </c>
      <c r="O36" s="171" t="str">
        <f>IFERROR(_xll.qlRateHelperEarliestDate(I36,Trigger),"--")</f>
        <v>--</v>
      </c>
      <c r="P36" s="171" t="str">
        <f>IFERROR(_xll.qlRateHelperPillarDate(I36,Trigger),"--")</f>
        <v>--</v>
      </c>
      <c r="R36" s="12" t="str">
        <v>OIS</v>
      </c>
      <c r="S36" s="12" t="str">
        <v>obj_003a6</v>
      </c>
      <c r="T36" s="12" t="str">
        <f>_xll.qlRateHelperQuoteName(S36,Trigger)</f>
        <v>USDOIS40Y_Quote</v>
      </c>
      <c r="U36" s="106">
        <f>_xll.qlRateHelperRate(S36,Trigger)</f>
        <v>2.7440000000000003E-2</v>
      </c>
      <c r="V36" s="176" t="str">
        <f>IF(ISERROR(_xll.qlSwapRateHelperSpread($S36)),IF(ISERROR(_xll.qlFuturesRateHelperConvexityAdjustment($S36)),"--",_xll.qlFuturesRateHelperConvexityAdjustment($S36)),_xll.qlSwapRateHelperSpread($S36))</f>
        <v>--</v>
      </c>
      <c r="W36" s="13">
        <f>_xll.qlRateHelperEarliestDate(S36,Trigger)</f>
        <v>42184</v>
      </c>
      <c r="X36" s="13">
        <f>_xll.qlRateHelperPillarDate(S36,Trigger)</f>
        <v>56794</v>
      </c>
      <c r="Y36" s="144">
        <v>0.32329872269993465</v>
      </c>
    </row>
    <row r="37" spans="1:25" ht="11.25" customHeight="1" x14ac:dyDescent="0.2">
      <c r="A37" s="89" t="s">
        <v>125</v>
      </c>
      <c r="B37" s="90" t="s">
        <v>100</v>
      </c>
      <c r="C37" s="91">
        <f t="shared" si="2"/>
        <v>2</v>
      </c>
      <c r="D37" s="92" t="str">
        <f>Currency&amp;$D$1</f>
        <v>USDFedFunds</v>
      </c>
      <c r="E37" s="95" t="str">
        <f>Currency&amp;$A37&amp;IF($B37="1W","SW",$B37)&amp;QuoteSuffix</f>
        <v>USDOIS33M_Quote</v>
      </c>
      <c r="F37" s="96"/>
      <c r="H37" s="21" t="str">
        <f>A39</f>
        <v>OIS</v>
      </c>
      <c r="I37" s="166" t="str">
        <f t="shared" si="0"/>
        <v>obj_003be#0034</v>
      </c>
      <c r="J37" s="169" t="str">
        <f>IFERROR(_xll.qlRateHelperQuoteName(I37,Trigger),"--")</f>
        <v>USDOIS4Y_Quote</v>
      </c>
      <c r="K37" s="170">
        <f>IFERROR(_xll.qlRateHelperQuoteValue($I37,Trigger),"--")</f>
        <v>1.3580000000000002E-2</v>
      </c>
      <c r="L37" s="169" t="b">
        <v>1</v>
      </c>
      <c r="M37" s="166">
        <v>50</v>
      </c>
      <c r="N37" s="166">
        <v>1</v>
      </c>
      <c r="O37" s="171">
        <f>IFERROR(_xll.qlRateHelperEarliestDate(I37,Trigger),"--")</f>
        <v>42184</v>
      </c>
      <c r="P37" s="171">
        <f>IFERROR(_xll.qlRateHelperPillarDate(I37,Trigger),"--")</f>
        <v>43644</v>
      </c>
      <c r="R37" s="12" t="str">
        <v>OIS</v>
      </c>
      <c r="S37" s="12" t="str">
        <v>obj_003b3</v>
      </c>
      <c r="T37" s="12" t="str">
        <f>_xll.qlRateHelperQuoteName(S37,Trigger)</f>
        <v>USDOIS45Y_Quote</v>
      </c>
      <c r="U37" s="106">
        <f>_xll.qlRateHelperRate(S37,Trigger)</f>
        <v>2.7349999999999999E-2</v>
      </c>
      <c r="V37" s="176" t="str">
        <f>IF(ISERROR(_xll.qlSwapRateHelperSpread($S37)),IF(ISERROR(_xll.qlFuturesRateHelperConvexityAdjustment($S37)),"--",_xll.qlFuturesRateHelperConvexityAdjustment($S37)),_xll.qlSwapRateHelperSpread($S37))</f>
        <v>--</v>
      </c>
      <c r="W37" s="13">
        <f>_xll.qlRateHelperEarliestDate(S37,Trigger)</f>
        <v>42184</v>
      </c>
      <c r="X37" s="13">
        <f>_xll.qlRateHelperPillarDate(S37,Trigger)</f>
        <v>58621</v>
      </c>
      <c r="Y37" s="144">
        <v>0.2839954700405537</v>
      </c>
    </row>
    <row r="38" spans="1:25" ht="11.25" customHeight="1" x14ac:dyDescent="0.2">
      <c r="A38" s="89" t="s">
        <v>125</v>
      </c>
      <c r="B38" s="90" t="s">
        <v>101</v>
      </c>
      <c r="C38" s="91">
        <f t="shared" si="2"/>
        <v>2</v>
      </c>
      <c r="D38" s="92" t="str">
        <f>Currency&amp;$D$1</f>
        <v>USDFedFunds</v>
      </c>
      <c r="E38" s="95" t="str">
        <f>Currency&amp;$A38&amp;IF($B38="1W","SW",$B38)&amp;QuoteSuffix</f>
        <v>USDOIS3Y_Quote</v>
      </c>
      <c r="F38" s="96" t="str">
        <f>_xll.qlOISRateHelper(,C38,B38,E38,$D38,,Permanent,Trigger,ObjectOverwrite)</f>
        <v>obj_003b2#0034</v>
      </c>
      <c r="H38" s="21" t="str">
        <f>A40</f>
        <v>OIS</v>
      </c>
      <c r="I38" s="166" t="str">
        <f t="shared" si="0"/>
        <v>--</v>
      </c>
      <c r="J38" s="169" t="str">
        <f>IFERROR(_xll.qlRateHelperQuoteName(I38,Trigger),"--")</f>
        <v>--</v>
      </c>
      <c r="K38" s="170" t="str">
        <f>IFERROR(_xll.qlRateHelperQuoteValue($I38,Trigger),"--")</f>
        <v>--</v>
      </c>
      <c r="L38" s="169" t="b">
        <v>0</v>
      </c>
      <c r="M38" s="166">
        <v>50</v>
      </c>
      <c r="N38" s="166">
        <v>1</v>
      </c>
      <c r="O38" s="171" t="str">
        <f>IFERROR(_xll.qlRateHelperEarliestDate(I38,Trigger),"--")</f>
        <v>--</v>
      </c>
      <c r="P38" s="171" t="str">
        <f>IFERROR(_xll.qlRateHelperPillarDate(I38,Trigger),"--")</f>
        <v>--</v>
      </c>
      <c r="R38" s="12" t="str">
        <v>OIS</v>
      </c>
      <c r="S38" s="12" t="str">
        <v>obj_003c4</v>
      </c>
      <c r="T38" s="12" t="str">
        <f>_xll.qlRateHelperQuoteName(S38,Trigger)</f>
        <v>USDOIS50Y_Quote</v>
      </c>
      <c r="U38" s="106">
        <f>_xll.qlRateHelperRate(S38,Trigger)</f>
        <v>2.7300000000000001E-2</v>
      </c>
      <c r="V38" s="176" t="str">
        <f>IF(ISERROR(_xll.qlSwapRateHelperSpread($S38)),IF(ISERROR(_xll.qlFuturesRateHelperConvexityAdjustment($S38)),"--",_xll.qlFuturesRateHelperConvexityAdjustment($S38)),_xll.qlSwapRateHelperSpread($S38))</f>
        <v>--</v>
      </c>
      <c r="W38" s="13">
        <f>_xll.qlRateHelperEarliestDate(S38,Trigger)</f>
        <v>42184</v>
      </c>
      <c r="X38" s="13">
        <f>_xll.qlRateHelperPillarDate(S38,Trigger)</f>
        <v>60447</v>
      </c>
      <c r="Y38" s="144">
        <v>0.24893061643275177</v>
      </c>
    </row>
    <row r="39" spans="1:25" ht="11.25" customHeight="1" x14ac:dyDescent="0.2">
      <c r="A39" s="89" t="s">
        <v>125</v>
      </c>
      <c r="B39" s="90" t="s">
        <v>102</v>
      </c>
      <c r="C39" s="91">
        <f t="shared" si="2"/>
        <v>2</v>
      </c>
      <c r="D39" s="92" t="str">
        <f>Currency&amp;$D$1</f>
        <v>USDFedFunds</v>
      </c>
      <c r="E39" s="95" t="str">
        <f>Currency&amp;$A39&amp;IF($B39="1W","SW",$B39)&amp;QuoteSuffix</f>
        <v>USDOIS39M_Quote</v>
      </c>
      <c r="F39" s="96"/>
      <c r="H39" s="21" t="str">
        <f>A41</f>
        <v>OIS</v>
      </c>
      <c r="I39" s="166" t="str">
        <f t="shared" si="0"/>
        <v>--</v>
      </c>
      <c r="J39" s="169" t="str">
        <f>IFERROR(_xll.qlRateHelperQuoteName(I39,Trigger),"--")</f>
        <v>--</v>
      </c>
      <c r="K39" s="170" t="str">
        <f>IFERROR(_xll.qlRateHelperQuoteValue($I39,Trigger),"--")</f>
        <v>--</v>
      </c>
      <c r="L39" s="169" t="b">
        <v>0</v>
      </c>
      <c r="M39" s="166">
        <v>50</v>
      </c>
      <c r="N39" s="166">
        <v>1</v>
      </c>
      <c r="O39" s="171" t="str">
        <f>IFERROR(_xll.qlRateHelperEarliestDate(I39,Trigger),"--")</f>
        <v>--</v>
      </c>
      <c r="P39" s="171" t="str">
        <f>IFERROR(_xll.qlRateHelperPillarDate(I39,Trigger),"--")</f>
        <v>--</v>
      </c>
      <c r="R39" s="12" t="e">
        <v>#N/A</v>
      </c>
      <c r="S39" s="12" t="e">
        <v>#N/A</v>
      </c>
      <c r="T39" s="12" t="e">
        <f>_xll.qlRateHelperQuoteName(S39,Trigger)</f>
        <v>#VALUE!</v>
      </c>
      <c r="U39" s="106" t="e">
        <f>_xll.qlRateHelperRate(S39,Trigger)</f>
        <v>#VALUE!</v>
      </c>
      <c r="V39" s="176" t="str">
        <f>IF(ISERROR(_xll.qlSwapRateHelperSpread($S39)),IF(ISERROR(_xll.qlFuturesRateHelperConvexityAdjustment($S39)),"--",_xll.qlFuturesRateHelperConvexityAdjustment($S39)),_xll.qlSwapRateHelperSpread($S39))</f>
        <v>--</v>
      </c>
      <c r="W39" s="13" t="e">
        <f>_xll.qlRateHelperEarliestDate(S39,Trigger)</f>
        <v>#VALUE!</v>
      </c>
      <c r="X39" s="13" t="e">
        <f>_xll.qlRateHelperPillarDate(S39,Trigger)</f>
        <v>#VALUE!</v>
      </c>
      <c r="Y39" s="144" t="e">
        <v>#N/A</v>
      </c>
    </row>
    <row r="40" spans="1:25" ht="11.25" customHeight="1" x14ac:dyDescent="0.2">
      <c r="A40" s="89" t="s">
        <v>125</v>
      </c>
      <c r="B40" s="90" t="s">
        <v>103</v>
      </c>
      <c r="C40" s="91">
        <f t="shared" si="2"/>
        <v>2</v>
      </c>
      <c r="D40" s="92" t="str">
        <f>Currency&amp;$D$1</f>
        <v>USDFedFunds</v>
      </c>
      <c r="E40" s="95" t="str">
        <f>Currency&amp;$A40&amp;IF($B40="1W","SW",$B40)&amp;QuoteSuffix</f>
        <v>USDOIS42M_Quote</v>
      </c>
      <c r="F40" s="96"/>
      <c r="H40" s="21" t="str">
        <f>A42</f>
        <v>OIS</v>
      </c>
      <c r="I40" s="166" t="str">
        <f t="shared" si="0"/>
        <v>--</v>
      </c>
      <c r="J40" s="169" t="str">
        <f>IFERROR(_xll.qlRateHelperQuoteName(I40,Trigger),"--")</f>
        <v>--</v>
      </c>
      <c r="K40" s="170" t="str">
        <f>IFERROR(_xll.qlRateHelperQuoteValue($I40,Trigger),"--")</f>
        <v>--</v>
      </c>
      <c r="L40" s="169" t="b">
        <v>0</v>
      </c>
      <c r="M40" s="166">
        <v>50</v>
      </c>
      <c r="N40" s="166">
        <v>1</v>
      </c>
      <c r="O40" s="171" t="str">
        <f>IFERROR(_xll.qlRateHelperEarliestDate(I40,Trigger),"--")</f>
        <v>--</v>
      </c>
      <c r="P40" s="171" t="str">
        <f>IFERROR(_xll.qlRateHelperPillarDate(I40,Trigger),"--")</f>
        <v>--</v>
      </c>
      <c r="R40" s="12" t="e">
        <v>#N/A</v>
      </c>
      <c r="S40" s="12" t="e">
        <v>#N/A</v>
      </c>
      <c r="T40" s="12" t="e">
        <f>_xll.qlRateHelperQuoteName(S40,Trigger)</f>
        <v>#VALUE!</v>
      </c>
      <c r="U40" s="106" t="e">
        <f>_xll.qlRateHelperRate(S40,Trigger)</f>
        <v>#VALUE!</v>
      </c>
      <c r="V40" s="176" t="str">
        <f>IF(ISERROR(_xll.qlSwapRateHelperSpread($S40)),IF(ISERROR(_xll.qlFuturesRateHelperConvexityAdjustment($S40)),"--",_xll.qlFuturesRateHelperConvexityAdjustment($S40)),_xll.qlSwapRateHelperSpread($S40))</f>
        <v>--</v>
      </c>
      <c r="W40" s="13" t="e">
        <f>_xll.qlRateHelperEarliestDate(S40,Trigger)</f>
        <v>#VALUE!</v>
      </c>
      <c r="X40" s="13" t="e">
        <f>_xll.qlRateHelperPillarDate(S40,Trigger)</f>
        <v>#VALUE!</v>
      </c>
      <c r="Y40" s="144" t="e">
        <v>#N/A</v>
      </c>
    </row>
    <row r="41" spans="1:25" ht="11.25" customHeight="1" x14ac:dyDescent="0.2">
      <c r="A41" s="89" t="s">
        <v>125</v>
      </c>
      <c r="B41" s="90" t="s">
        <v>104</v>
      </c>
      <c r="C41" s="91">
        <f t="shared" si="2"/>
        <v>2</v>
      </c>
      <c r="D41" s="92" t="str">
        <f>Currency&amp;$D$1</f>
        <v>USDFedFunds</v>
      </c>
      <c r="E41" s="95" t="str">
        <f>Currency&amp;$A41&amp;IF($B41="1W","SW",$B41)&amp;QuoteSuffix</f>
        <v>USDOIS45M_Quote</v>
      </c>
      <c r="F41" s="96"/>
      <c r="H41" s="21" t="str">
        <f>A43</f>
        <v>OIS</v>
      </c>
      <c r="I41" s="166" t="str">
        <f t="shared" si="0"/>
        <v>obj_003a5#0039</v>
      </c>
      <c r="J41" s="169" t="str">
        <f>IFERROR(_xll.qlRateHelperQuoteName(I41,Trigger),"--")</f>
        <v>USDOIS5Y_Quote</v>
      </c>
      <c r="K41" s="170">
        <f>IFERROR(_xll.qlRateHelperQuoteValue($I41,Trigger),"--")</f>
        <v>1.6040000000000002E-2</v>
      </c>
      <c r="L41" s="169" t="b">
        <v>1</v>
      </c>
      <c r="M41" s="166">
        <v>50</v>
      </c>
      <c r="N41" s="166">
        <v>1</v>
      </c>
      <c r="O41" s="171">
        <f>IFERROR(_xll.qlRateHelperEarliestDate(I41,Trigger),"--")</f>
        <v>42184</v>
      </c>
      <c r="P41" s="171">
        <f>IFERROR(_xll.qlRateHelperPillarDate(I41,Trigger),"--")</f>
        <v>44011</v>
      </c>
      <c r="R41" s="12" t="e">
        <v>#N/A</v>
      </c>
      <c r="S41" s="12" t="e">
        <v>#N/A</v>
      </c>
      <c r="T41" s="12" t="e">
        <f>_xll.qlRateHelperQuoteName(S41,Trigger)</f>
        <v>#VALUE!</v>
      </c>
      <c r="U41" s="106" t="e">
        <f>_xll.qlRateHelperRate(S41,Trigger)</f>
        <v>#VALUE!</v>
      </c>
      <c r="V41" s="176" t="str">
        <f>IF(ISERROR(_xll.qlSwapRateHelperSpread($S41)),IF(ISERROR(_xll.qlFuturesRateHelperConvexityAdjustment($S41)),"--",_xll.qlFuturesRateHelperConvexityAdjustment($S41)),_xll.qlSwapRateHelperSpread($S41))</f>
        <v>--</v>
      </c>
      <c r="W41" s="13" t="e">
        <f>_xll.qlRateHelperEarliestDate(S41,Trigger)</f>
        <v>#VALUE!</v>
      </c>
      <c r="X41" s="13" t="e">
        <f>_xll.qlRateHelperPillarDate(S41,Trigger)</f>
        <v>#VALUE!</v>
      </c>
      <c r="Y41" s="144" t="e">
        <v>#N/A</v>
      </c>
    </row>
    <row r="42" spans="1:25" ht="11.25" customHeight="1" x14ac:dyDescent="0.2">
      <c r="A42" s="89" t="s">
        <v>125</v>
      </c>
      <c r="B42" s="90" t="s">
        <v>105</v>
      </c>
      <c r="C42" s="91">
        <f t="shared" si="2"/>
        <v>2</v>
      </c>
      <c r="D42" s="92" t="str">
        <f>Currency&amp;$D$1</f>
        <v>USDFedFunds</v>
      </c>
      <c r="E42" s="95" t="str">
        <f>Currency&amp;$A42&amp;IF($B42="1W","SW",$B42)&amp;QuoteSuffix</f>
        <v>USDOIS4Y_Quote</v>
      </c>
      <c r="F42" s="96" t="str">
        <f>_xll.qlOISRateHelper(,C42,B42,E42,$D42,,Permanent,Trigger,ObjectOverwrite)</f>
        <v>obj_003be#0034</v>
      </c>
      <c r="H42" s="21" t="str">
        <f>A44</f>
        <v>OIS</v>
      </c>
      <c r="I42" s="166" t="str">
        <f t="shared" si="0"/>
        <v>obj_003aa#0034</v>
      </c>
      <c r="J42" s="169" t="str">
        <f>IFERROR(_xll.qlRateHelperQuoteName(I42,Trigger),"--")</f>
        <v>USDOIS6Y_Quote</v>
      </c>
      <c r="K42" s="170">
        <f>IFERROR(_xll.qlRateHelperQuoteValue($I42,Trigger),"--")</f>
        <v>1.8030000000000001E-2</v>
      </c>
      <c r="L42" s="169" t="b">
        <v>1</v>
      </c>
      <c r="M42" s="166">
        <v>50</v>
      </c>
      <c r="N42" s="166">
        <v>1</v>
      </c>
      <c r="O42" s="171">
        <f>IFERROR(_xll.qlRateHelperEarliestDate(I42,Trigger),"--")</f>
        <v>42184</v>
      </c>
      <c r="P42" s="171">
        <f>IFERROR(_xll.qlRateHelperPillarDate(I42,Trigger),"--")</f>
        <v>44376</v>
      </c>
      <c r="R42" s="12" t="e">
        <v>#N/A</v>
      </c>
      <c r="S42" s="12" t="e">
        <v>#N/A</v>
      </c>
      <c r="T42" s="12" t="e">
        <f>_xll.qlRateHelperQuoteName(S42,Trigger)</f>
        <v>#VALUE!</v>
      </c>
      <c r="U42" s="106" t="e">
        <f>_xll.qlRateHelperRate(S42,Trigger)</f>
        <v>#VALUE!</v>
      </c>
      <c r="V42" s="176" t="str">
        <f>IF(ISERROR(_xll.qlSwapRateHelperSpread($S42)),IF(ISERROR(_xll.qlFuturesRateHelperConvexityAdjustment($S42)),"--",_xll.qlFuturesRateHelperConvexityAdjustment($S42)),_xll.qlSwapRateHelperSpread($S42))</f>
        <v>--</v>
      </c>
      <c r="W42" s="13" t="e">
        <f>_xll.qlRateHelperEarliestDate(S42,Trigger)</f>
        <v>#VALUE!</v>
      </c>
      <c r="X42" s="13" t="e">
        <f>_xll.qlRateHelperPillarDate(S42,Trigger)</f>
        <v>#VALUE!</v>
      </c>
      <c r="Y42" s="144" t="e">
        <v>#N/A</v>
      </c>
    </row>
    <row r="43" spans="1:25" ht="11.25" customHeight="1" x14ac:dyDescent="0.2">
      <c r="A43" s="89" t="s">
        <v>125</v>
      </c>
      <c r="B43" s="90" t="s">
        <v>106</v>
      </c>
      <c r="C43" s="91">
        <f t="shared" si="2"/>
        <v>2</v>
      </c>
      <c r="D43" s="92" t="str">
        <f>Currency&amp;$D$1</f>
        <v>USDFedFunds</v>
      </c>
      <c r="E43" s="95" t="str">
        <f>Currency&amp;$A43&amp;IF($B43="1W","SW",$B43)&amp;QuoteSuffix</f>
        <v>USDOIS51M_Quote</v>
      </c>
      <c r="F43" s="96"/>
      <c r="H43" s="21" t="str">
        <f>A45</f>
        <v>OIS</v>
      </c>
      <c r="I43" s="166" t="str">
        <f t="shared" si="0"/>
        <v>obj_003ad#0034</v>
      </c>
      <c r="J43" s="169" t="str">
        <f>IFERROR(_xll.qlRateHelperQuoteName(I43,Trigger),"--")</f>
        <v>USDOIS7Y_Quote</v>
      </c>
      <c r="K43" s="170">
        <f>IFERROR(_xll.qlRateHelperQuoteValue($I43,Trigger),"--")</f>
        <v>1.959E-2</v>
      </c>
      <c r="L43" s="169" t="b">
        <v>1</v>
      </c>
      <c r="M43" s="166">
        <v>50</v>
      </c>
      <c r="N43" s="166">
        <v>1</v>
      </c>
      <c r="O43" s="171">
        <f>IFERROR(_xll.qlRateHelperEarliestDate(I43,Trigger),"--")</f>
        <v>42184</v>
      </c>
      <c r="P43" s="171">
        <f>IFERROR(_xll.qlRateHelperPillarDate(I43,Trigger),"--")</f>
        <v>44741</v>
      </c>
      <c r="R43" s="12" t="e">
        <v>#N/A</v>
      </c>
      <c r="S43" s="12" t="e">
        <v>#N/A</v>
      </c>
      <c r="T43" s="12" t="e">
        <f>_xll.qlRateHelperQuoteName(S43,Trigger)</f>
        <v>#VALUE!</v>
      </c>
      <c r="U43" s="106" t="e">
        <f>_xll.qlRateHelperRate(S43,Trigger)</f>
        <v>#VALUE!</v>
      </c>
      <c r="V43" s="176" t="str">
        <f>IF(ISERROR(_xll.qlSwapRateHelperSpread($S43)),IF(ISERROR(_xll.qlFuturesRateHelperConvexityAdjustment($S43)),"--",_xll.qlFuturesRateHelperConvexityAdjustment($S43)),_xll.qlSwapRateHelperSpread($S43))</f>
        <v>--</v>
      </c>
      <c r="W43" s="13" t="e">
        <f>_xll.qlRateHelperEarliestDate(S43,Trigger)</f>
        <v>#VALUE!</v>
      </c>
      <c r="X43" s="13" t="e">
        <f>_xll.qlRateHelperPillarDate(S43,Trigger)</f>
        <v>#VALUE!</v>
      </c>
      <c r="Y43" s="144" t="e">
        <v>#N/A</v>
      </c>
    </row>
    <row r="44" spans="1:25" ht="11.25" customHeight="1" x14ac:dyDescent="0.2">
      <c r="A44" s="89" t="s">
        <v>125</v>
      </c>
      <c r="B44" s="90" t="s">
        <v>107</v>
      </c>
      <c r="C44" s="91">
        <f t="shared" si="2"/>
        <v>2</v>
      </c>
      <c r="D44" s="92" t="str">
        <f>Currency&amp;$D$1</f>
        <v>USDFedFunds</v>
      </c>
      <c r="E44" s="95" t="str">
        <f>Currency&amp;$A44&amp;IF($B44="1W","SW",$B44)&amp;QuoteSuffix</f>
        <v>USDOIS54M_Quote</v>
      </c>
      <c r="F44" s="96"/>
      <c r="H44" s="21" t="str">
        <f>A46</f>
        <v>OIS</v>
      </c>
      <c r="I44" s="166" t="str">
        <f t="shared" si="0"/>
        <v>obj_003bb#0039</v>
      </c>
      <c r="J44" s="169" t="str">
        <f>IFERROR(_xll.qlRateHelperQuoteName(I44,Trigger),"--")</f>
        <v>USDOIS8Y_Quote</v>
      </c>
      <c r="K44" s="170">
        <f>IFERROR(_xll.qlRateHelperQuoteValue($I44,Trigger),"--")</f>
        <v>2.0840000000000001E-2</v>
      </c>
      <c r="L44" s="169" t="b">
        <v>1</v>
      </c>
      <c r="M44" s="166">
        <v>50</v>
      </c>
      <c r="N44" s="166">
        <v>1</v>
      </c>
      <c r="O44" s="171">
        <f>IFERROR(_xll.qlRateHelperEarliestDate(I44,Trigger),"--")</f>
        <v>42184</v>
      </c>
      <c r="P44" s="171">
        <f>IFERROR(_xll.qlRateHelperPillarDate(I44,Trigger),"--")</f>
        <v>45106</v>
      </c>
      <c r="R44" s="12" t="e">
        <v>#N/A</v>
      </c>
      <c r="S44" s="12" t="e">
        <v>#N/A</v>
      </c>
      <c r="T44" s="12" t="e">
        <f>_xll.qlRateHelperQuoteName(S44,Trigger)</f>
        <v>#VALUE!</v>
      </c>
      <c r="U44" s="106" t="e">
        <f>_xll.qlRateHelperRate(S44,Trigger)</f>
        <v>#VALUE!</v>
      </c>
      <c r="V44" s="176" t="str">
        <f>IF(ISERROR(_xll.qlSwapRateHelperSpread($S44)),IF(ISERROR(_xll.qlFuturesRateHelperConvexityAdjustment($S44)),"--",_xll.qlFuturesRateHelperConvexityAdjustment($S44)),_xll.qlSwapRateHelperSpread($S44))</f>
        <v>--</v>
      </c>
      <c r="W44" s="13" t="e">
        <f>_xll.qlRateHelperEarliestDate(S44,Trigger)</f>
        <v>#VALUE!</v>
      </c>
      <c r="X44" s="13" t="e">
        <f>_xll.qlRateHelperPillarDate(S44,Trigger)</f>
        <v>#VALUE!</v>
      </c>
      <c r="Y44" s="144" t="e">
        <v>#N/A</v>
      </c>
    </row>
    <row r="45" spans="1:25" ht="11.25" customHeight="1" x14ac:dyDescent="0.2">
      <c r="A45" s="89" t="s">
        <v>125</v>
      </c>
      <c r="B45" s="90" t="s">
        <v>108</v>
      </c>
      <c r="C45" s="91">
        <f t="shared" si="2"/>
        <v>2</v>
      </c>
      <c r="D45" s="92" t="str">
        <f>Currency&amp;$D$1</f>
        <v>USDFedFunds</v>
      </c>
      <c r="E45" s="95" t="str">
        <f>Currency&amp;$A45&amp;IF($B45="1W","SW",$B45)&amp;QuoteSuffix</f>
        <v>USDOIS57M_Quote</v>
      </c>
      <c r="F45" s="96"/>
      <c r="H45" s="21" t="str">
        <f>A47</f>
        <v>OIS</v>
      </c>
      <c r="I45" s="166" t="str">
        <f t="shared" si="0"/>
        <v>obj_003bf#0034</v>
      </c>
      <c r="J45" s="169" t="str">
        <f>IFERROR(_xll.qlRateHelperQuoteName(I45,Trigger),"--")</f>
        <v>USDOIS9Y_Quote</v>
      </c>
      <c r="K45" s="170">
        <f>IFERROR(_xll.qlRateHelperQuoteValue($I45,Trigger),"--")</f>
        <v>2.1909999999999999E-2</v>
      </c>
      <c r="L45" s="169" t="b">
        <v>1</v>
      </c>
      <c r="M45" s="166">
        <v>50</v>
      </c>
      <c r="N45" s="166">
        <v>1</v>
      </c>
      <c r="O45" s="171">
        <f>IFERROR(_xll.qlRateHelperEarliestDate(I45,Trigger),"--")</f>
        <v>42184</v>
      </c>
      <c r="P45" s="171">
        <f>IFERROR(_xll.qlRateHelperPillarDate(I45,Trigger),"--")</f>
        <v>45471</v>
      </c>
      <c r="R45" s="12" t="e">
        <v>#N/A</v>
      </c>
      <c r="S45" s="12" t="e">
        <v>#N/A</v>
      </c>
      <c r="T45" s="12" t="e">
        <f>_xll.qlRateHelperQuoteName(S45,Trigger)</f>
        <v>#VALUE!</v>
      </c>
      <c r="U45" s="106" t="e">
        <f>_xll.qlRateHelperRate(S45,Trigger)</f>
        <v>#VALUE!</v>
      </c>
      <c r="V45" s="176" t="str">
        <f>IF(ISERROR(_xll.qlSwapRateHelperSpread($S45)),IF(ISERROR(_xll.qlFuturesRateHelperConvexityAdjustment($S45)),"--",_xll.qlFuturesRateHelperConvexityAdjustment($S45)),_xll.qlSwapRateHelperSpread($S45))</f>
        <v>--</v>
      </c>
      <c r="W45" s="13" t="e">
        <f>_xll.qlRateHelperEarliestDate(S45,Trigger)</f>
        <v>#VALUE!</v>
      </c>
      <c r="X45" s="13" t="e">
        <f>_xll.qlRateHelperPillarDate(S45,Trigger)</f>
        <v>#VALUE!</v>
      </c>
      <c r="Y45" s="144" t="e">
        <v>#N/A</v>
      </c>
    </row>
    <row r="46" spans="1:25" ht="11.25" customHeight="1" x14ac:dyDescent="0.2">
      <c r="A46" s="89" t="s">
        <v>125</v>
      </c>
      <c r="B46" s="90" t="s">
        <v>109</v>
      </c>
      <c r="C46" s="91">
        <f t="shared" si="2"/>
        <v>2</v>
      </c>
      <c r="D46" s="92" t="str">
        <f>Currency&amp;$D$1</f>
        <v>USDFedFunds</v>
      </c>
      <c r="E46" s="95" t="str">
        <f>Currency&amp;$A46&amp;IF($B46="1W","SW",$B46)&amp;QuoteSuffix</f>
        <v>USDOIS5Y_Quote</v>
      </c>
      <c r="F46" s="96" t="str">
        <f>_xll.qlOISRateHelper(,C46,B46,E46,$D46,,Permanent,Trigger,ObjectOverwrite)</f>
        <v>obj_003a5#0039</v>
      </c>
      <c r="H46" s="21" t="str">
        <f>A48</f>
        <v>OIS</v>
      </c>
      <c r="I46" s="166" t="str">
        <f t="shared" si="0"/>
        <v>obj_003c3#0034</v>
      </c>
      <c r="J46" s="169" t="str">
        <f>IFERROR(_xll.qlRateHelperQuoteName(I46,Trigger),"--")</f>
        <v>USDOIS10Y_Quote</v>
      </c>
      <c r="K46" s="170">
        <f>IFERROR(_xll.qlRateHelperQuoteValue($I46,Trigger),"--")</f>
        <v>2.2759999999999999E-2</v>
      </c>
      <c r="L46" s="169" t="b">
        <v>1</v>
      </c>
      <c r="M46" s="166">
        <v>50</v>
      </c>
      <c r="N46" s="166">
        <v>1</v>
      </c>
      <c r="O46" s="171">
        <f>IFERROR(_xll.qlRateHelperEarliestDate(I46,Trigger),"--")</f>
        <v>42184</v>
      </c>
      <c r="P46" s="171">
        <f>IFERROR(_xll.qlRateHelperPillarDate(I46,Trigger),"--")</f>
        <v>45838</v>
      </c>
      <c r="R46" s="12" t="e">
        <v>#N/A</v>
      </c>
      <c r="S46" s="12" t="e">
        <v>#N/A</v>
      </c>
      <c r="T46" s="12" t="e">
        <f>_xll.qlRateHelperQuoteName(S46,Trigger)</f>
        <v>#VALUE!</v>
      </c>
      <c r="U46" s="106" t="e">
        <f>_xll.qlRateHelperRate(S46,Trigger)</f>
        <v>#VALUE!</v>
      </c>
      <c r="V46" s="176" t="str">
        <f>IF(ISERROR(_xll.qlSwapRateHelperSpread($S46)),IF(ISERROR(_xll.qlFuturesRateHelperConvexityAdjustment($S46)),"--",_xll.qlFuturesRateHelperConvexityAdjustment($S46)),_xll.qlSwapRateHelperSpread($S46))</f>
        <v>--</v>
      </c>
      <c r="W46" s="13" t="e">
        <f>_xll.qlRateHelperEarliestDate(S46,Trigger)</f>
        <v>#VALUE!</v>
      </c>
      <c r="X46" s="13" t="e">
        <f>_xll.qlRateHelperPillarDate(S46,Trigger)</f>
        <v>#VALUE!</v>
      </c>
      <c r="Y46" s="144" t="e">
        <v>#N/A</v>
      </c>
    </row>
    <row r="47" spans="1:25" ht="11.25" customHeight="1" x14ac:dyDescent="0.2">
      <c r="A47" s="89" t="s">
        <v>125</v>
      </c>
      <c r="B47" s="90" t="s">
        <v>110</v>
      </c>
      <c r="C47" s="91">
        <f t="shared" si="2"/>
        <v>2</v>
      </c>
      <c r="D47" s="92" t="str">
        <f>Currency&amp;$D$1</f>
        <v>USDFedFunds</v>
      </c>
      <c r="E47" s="95" t="str">
        <f>Currency&amp;$A47&amp;IF($B47="1W","SW",$B47)&amp;QuoteSuffix</f>
        <v>USDOIS6Y_Quote</v>
      </c>
      <c r="F47" s="96" t="str">
        <f>_xll.qlOISRateHelper(,C47,B47,E47,$D47,,Permanent,Trigger,ObjectOverwrite)</f>
        <v>obj_003aa#0034</v>
      </c>
      <c r="H47" s="21" t="str">
        <f>A49</f>
        <v>OIS</v>
      </c>
      <c r="I47" s="166" t="str">
        <f t="shared" si="0"/>
        <v>obj_003a8#0035</v>
      </c>
      <c r="J47" s="169" t="str">
        <f>IFERROR(_xll.qlRateHelperQuoteName(I47,Trigger),"--")</f>
        <v>USDOIS12Y_Quote</v>
      </c>
      <c r="K47" s="170">
        <f>IFERROR(_xll.qlRateHelperQuoteValue($I47,Trigger),"--")</f>
        <v>2.4060000000000002E-2</v>
      </c>
      <c r="L47" s="169" t="b">
        <v>1</v>
      </c>
      <c r="M47" s="166">
        <v>50</v>
      </c>
      <c r="N47" s="166">
        <v>1</v>
      </c>
      <c r="O47" s="171">
        <f>IFERROR(_xll.qlRateHelperEarliestDate(I47,Trigger),"--")</f>
        <v>42184</v>
      </c>
      <c r="P47" s="171">
        <f>IFERROR(_xll.qlRateHelperPillarDate(I47,Trigger),"--")</f>
        <v>46567</v>
      </c>
      <c r="R47" s="12" t="e">
        <v>#N/A</v>
      </c>
      <c r="S47" s="12" t="e">
        <v>#N/A</v>
      </c>
      <c r="T47" s="12" t="e">
        <f>_xll.qlRateHelperQuoteName(S47,Trigger)</f>
        <v>#VALUE!</v>
      </c>
      <c r="U47" s="106" t="e">
        <f>_xll.qlRateHelperRate(S47,Trigger)</f>
        <v>#VALUE!</v>
      </c>
      <c r="V47" s="176" t="str">
        <f>IF(ISERROR(_xll.qlSwapRateHelperSpread($S47)),IF(ISERROR(_xll.qlFuturesRateHelperConvexityAdjustment($S47)),"--",_xll.qlFuturesRateHelperConvexityAdjustment($S47)),_xll.qlSwapRateHelperSpread($S47))</f>
        <v>--</v>
      </c>
      <c r="W47" s="13" t="e">
        <f>_xll.qlRateHelperEarliestDate(S47,Trigger)</f>
        <v>#VALUE!</v>
      </c>
      <c r="X47" s="13" t="e">
        <f>_xll.qlRateHelperPillarDate(S47,Trigger)</f>
        <v>#VALUE!</v>
      </c>
      <c r="Y47" s="144" t="e">
        <v>#N/A</v>
      </c>
    </row>
    <row r="48" spans="1:25" ht="11.25" customHeight="1" x14ac:dyDescent="0.2">
      <c r="A48" s="89" t="s">
        <v>125</v>
      </c>
      <c r="B48" s="90" t="s">
        <v>111</v>
      </c>
      <c r="C48" s="91">
        <f t="shared" si="2"/>
        <v>2</v>
      </c>
      <c r="D48" s="92" t="str">
        <f>Currency&amp;$D$1</f>
        <v>USDFedFunds</v>
      </c>
      <c r="E48" s="95" t="str">
        <f>Currency&amp;$A48&amp;IF($B48="1W","SW",$B48)&amp;QuoteSuffix</f>
        <v>USDOIS7Y_Quote</v>
      </c>
      <c r="F48" s="96" t="str">
        <f>_xll.qlOISRateHelper(,C48,B48,E48,$D48,,Permanent,Trigger,ObjectOverwrite)</f>
        <v>obj_003ad#0034</v>
      </c>
      <c r="H48" s="21" t="str">
        <f>A50</f>
        <v>OIS</v>
      </c>
      <c r="I48" s="166" t="str">
        <f t="shared" si="0"/>
        <v>obj_003b1#0035</v>
      </c>
      <c r="J48" s="169" t="str">
        <f>IFERROR(_xll.qlRateHelperQuoteName(I48,Trigger),"--")</f>
        <v>USDOIS15Y_Quote</v>
      </c>
      <c r="K48" s="170">
        <f>IFERROR(_xll.qlRateHelperQuoteValue($I48,Trigger),"--")</f>
        <v>2.5310000000000003E-2</v>
      </c>
      <c r="L48" s="169" t="b">
        <v>1</v>
      </c>
      <c r="M48" s="166">
        <v>50</v>
      </c>
      <c r="N48" s="166">
        <v>1</v>
      </c>
      <c r="O48" s="171">
        <f>IFERROR(_xll.qlRateHelperEarliestDate(I48,Trigger),"--")</f>
        <v>42184</v>
      </c>
      <c r="P48" s="171">
        <f>IFERROR(_xll.qlRateHelperPillarDate(I48,Trigger),"--")</f>
        <v>47662</v>
      </c>
      <c r="R48" s="12" t="e">
        <v>#N/A</v>
      </c>
      <c r="S48" s="12" t="e">
        <v>#N/A</v>
      </c>
      <c r="T48" s="12" t="e">
        <f>_xll.qlRateHelperQuoteName(S48,Trigger)</f>
        <v>#VALUE!</v>
      </c>
      <c r="U48" s="106" t="e">
        <f>_xll.qlRateHelperRate(S48,Trigger)</f>
        <v>#VALUE!</v>
      </c>
      <c r="V48" s="176" t="str">
        <f>IF(ISERROR(_xll.qlSwapRateHelperSpread($S48)),IF(ISERROR(_xll.qlFuturesRateHelperConvexityAdjustment($S48)),"--",_xll.qlFuturesRateHelperConvexityAdjustment($S48)),_xll.qlSwapRateHelperSpread($S48))</f>
        <v>--</v>
      </c>
      <c r="W48" s="13" t="e">
        <f>_xll.qlRateHelperEarliestDate(S48,Trigger)</f>
        <v>#VALUE!</v>
      </c>
      <c r="X48" s="13" t="e">
        <f>_xll.qlRateHelperPillarDate(S48,Trigger)</f>
        <v>#VALUE!</v>
      </c>
      <c r="Y48" s="144" t="e">
        <v>#N/A</v>
      </c>
    </row>
    <row r="49" spans="1:25" ht="11.25" customHeight="1" x14ac:dyDescent="0.2">
      <c r="A49" s="89" t="s">
        <v>125</v>
      </c>
      <c r="B49" s="90" t="s">
        <v>112</v>
      </c>
      <c r="C49" s="91">
        <f t="shared" si="2"/>
        <v>2</v>
      </c>
      <c r="D49" s="92" t="str">
        <f>Currency&amp;$D$1</f>
        <v>USDFedFunds</v>
      </c>
      <c r="E49" s="95" t="str">
        <f>Currency&amp;$A49&amp;IF($B49="1W","SW",$B49)&amp;QuoteSuffix</f>
        <v>USDOIS8Y_Quote</v>
      </c>
      <c r="F49" s="96" t="str">
        <f>_xll.qlOISRateHelper(,C49,B49,E49,$D49,,Permanent,Trigger,ObjectOverwrite)</f>
        <v>obj_003bb#0039</v>
      </c>
      <c r="H49" s="21" t="str">
        <f>A51</f>
        <v>OIS</v>
      </c>
      <c r="I49" s="166" t="str">
        <f t="shared" si="0"/>
        <v>obj_0039f#0039</v>
      </c>
      <c r="J49" s="169" t="str">
        <f>IFERROR(_xll.qlRateHelperQuoteName(I49,Trigger),"--")</f>
        <v>USDOIS20Y_Quote</v>
      </c>
      <c r="K49" s="170">
        <f>IFERROR(_xll.qlRateHelperQuoteValue($I49,Trigger),"--")</f>
        <v>2.6469999999999997E-2</v>
      </c>
      <c r="L49" s="169" t="b">
        <v>1</v>
      </c>
      <c r="M49" s="166">
        <v>50</v>
      </c>
      <c r="N49" s="166">
        <v>1</v>
      </c>
      <c r="O49" s="171">
        <f>IFERROR(_xll.qlRateHelperEarliestDate(I49,Trigger),"--")</f>
        <v>42184</v>
      </c>
      <c r="P49" s="171">
        <f>IFERROR(_xll.qlRateHelperPillarDate(I49,Trigger),"--")</f>
        <v>49489</v>
      </c>
      <c r="R49" s="12" t="e">
        <v>#N/A</v>
      </c>
      <c r="S49" s="12" t="e">
        <v>#N/A</v>
      </c>
      <c r="T49" s="12" t="e">
        <f>_xll.qlRateHelperQuoteName(S49,Trigger)</f>
        <v>#VALUE!</v>
      </c>
      <c r="U49" s="106" t="e">
        <f>_xll.qlRateHelperRate(S49,Trigger)</f>
        <v>#VALUE!</v>
      </c>
      <c r="V49" s="176" t="str">
        <f>IF(ISERROR(_xll.qlSwapRateHelperSpread($S49)),IF(ISERROR(_xll.qlFuturesRateHelperConvexityAdjustment($S49)),"--",_xll.qlFuturesRateHelperConvexityAdjustment($S49)),_xll.qlSwapRateHelperSpread($S49))</f>
        <v>--</v>
      </c>
      <c r="W49" s="13" t="e">
        <f>_xll.qlRateHelperEarliestDate(S49,Trigger)</f>
        <v>#VALUE!</v>
      </c>
      <c r="X49" s="13" t="e">
        <f>_xll.qlRateHelperPillarDate(S49,Trigger)</f>
        <v>#VALUE!</v>
      </c>
      <c r="Y49" s="144" t="e">
        <v>#N/A</v>
      </c>
    </row>
    <row r="50" spans="1:25" ht="11.25" customHeight="1" x14ac:dyDescent="0.2">
      <c r="A50" s="89" t="s">
        <v>125</v>
      </c>
      <c r="B50" s="90" t="s">
        <v>113</v>
      </c>
      <c r="C50" s="91">
        <f t="shared" si="2"/>
        <v>2</v>
      </c>
      <c r="D50" s="92" t="str">
        <f>Currency&amp;$D$1</f>
        <v>USDFedFunds</v>
      </c>
      <c r="E50" s="95" t="str">
        <f>Currency&amp;$A50&amp;IF($B50="1W","SW",$B50)&amp;QuoteSuffix</f>
        <v>USDOIS9Y_Quote</v>
      </c>
      <c r="F50" s="96" t="str">
        <f>_xll.qlOISRateHelper(,C50,B50,E50,$D50,,Permanent,Trigger,ObjectOverwrite)</f>
        <v>obj_003bf#0034</v>
      </c>
      <c r="H50" s="21" t="str">
        <f>A52</f>
        <v>OIS</v>
      </c>
      <c r="I50" s="166" t="str">
        <f t="shared" si="0"/>
        <v>obj_003b8#0040</v>
      </c>
      <c r="J50" s="169" t="str">
        <f>IFERROR(_xll.qlRateHelperQuoteName(I50,Trigger),"--")</f>
        <v>USDOIS25Y_Quote</v>
      </c>
      <c r="K50" s="170">
        <f>IFERROR(_xll.qlRateHelperQuoteValue($I50,Trigger),"--")</f>
        <v>2.7000000000000003E-2</v>
      </c>
      <c r="L50" s="169" t="b">
        <v>1</v>
      </c>
      <c r="M50" s="166">
        <v>50</v>
      </c>
      <c r="N50" s="166">
        <v>1</v>
      </c>
      <c r="O50" s="171">
        <f>IFERROR(_xll.qlRateHelperEarliestDate(I50,Trigger),"--")</f>
        <v>42184</v>
      </c>
      <c r="P50" s="171">
        <f>IFERROR(_xll.qlRateHelperPillarDate(I50,Trigger),"--")</f>
        <v>51316</v>
      </c>
      <c r="R50" s="12" t="e">
        <v>#N/A</v>
      </c>
      <c r="S50" s="12" t="e">
        <v>#N/A</v>
      </c>
      <c r="T50" s="12" t="e">
        <f>_xll.qlRateHelperQuoteName(S50,Trigger)</f>
        <v>#VALUE!</v>
      </c>
      <c r="U50" s="106" t="e">
        <f>_xll.qlRateHelperRate(S50,Trigger)</f>
        <v>#VALUE!</v>
      </c>
      <c r="V50" s="176" t="str">
        <f>IF(ISERROR(_xll.qlSwapRateHelperSpread($S50)),IF(ISERROR(_xll.qlFuturesRateHelperConvexityAdjustment($S50)),"--",_xll.qlFuturesRateHelperConvexityAdjustment($S50)),_xll.qlSwapRateHelperSpread($S50))</f>
        <v>--</v>
      </c>
      <c r="W50" s="13" t="e">
        <f>_xll.qlRateHelperEarliestDate(S50,Trigger)</f>
        <v>#VALUE!</v>
      </c>
      <c r="X50" s="13" t="e">
        <f>_xll.qlRateHelperPillarDate(S50,Trigger)</f>
        <v>#VALUE!</v>
      </c>
      <c r="Y50" s="144" t="e">
        <v>#N/A</v>
      </c>
    </row>
    <row r="51" spans="1:25" ht="11.25" customHeight="1" x14ac:dyDescent="0.2">
      <c r="A51" s="89" t="s">
        <v>125</v>
      </c>
      <c r="B51" s="90" t="s">
        <v>114</v>
      </c>
      <c r="C51" s="91">
        <f t="shared" si="2"/>
        <v>2</v>
      </c>
      <c r="D51" s="92" t="str">
        <f>Currency&amp;$D$1</f>
        <v>USDFedFunds</v>
      </c>
      <c r="E51" s="95" t="str">
        <f>Currency&amp;$A51&amp;IF($B51="1W","SW",$B51)&amp;QuoteSuffix</f>
        <v>USDOIS10Y_Quote</v>
      </c>
      <c r="F51" s="96" t="str">
        <f>_xll.qlOISRateHelper(,C51,B51,E51,$D51,,Permanent,Trigger,ObjectOverwrite)</f>
        <v>obj_003c3#0034</v>
      </c>
      <c r="H51" s="21" t="str">
        <f>A53</f>
        <v>OIS</v>
      </c>
      <c r="I51" s="166" t="str">
        <f t="shared" si="0"/>
        <v>--</v>
      </c>
      <c r="J51" s="169" t="str">
        <f>IFERROR(_xll.qlRateHelperQuoteName(I51,Trigger),"--")</f>
        <v>--</v>
      </c>
      <c r="K51" s="170" t="str">
        <f>IFERROR(_xll.qlRateHelperQuoteValue($I51,Trigger),"--")</f>
        <v>--</v>
      </c>
      <c r="L51" s="169" t="b">
        <v>0</v>
      </c>
      <c r="M51" s="166">
        <v>50</v>
      </c>
      <c r="N51" s="166">
        <v>1</v>
      </c>
      <c r="O51" s="171" t="str">
        <f>IFERROR(_xll.qlRateHelperEarliestDate(I51,Trigger),"--")</f>
        <v>--</v>
      </c>
      <c r="P51" s="171" t="str">
        <f>IFERROR(_xll.qlRateHelperPillarDate(I51,Trigger),"--")</f>
        <v>--</v>
      </c>
      <c r="R51" s="12" t="e">
        <v>#N/A</v>
      </c>
      <c r="S51" s="12" t="e">
        <v>#N/A</v>
      </c>
      <c r="T51" s="12" t="e">
        <f>_xll.qlRateHelperQuoteName(S51,Trigger)</f>
        <v>#VALUE!</v>
      </c>
      <c r="U51" s="106" t="e">
        <f>_xll.qlRateHelperRate(S51,Trigger)</f>
        <v>#VALUE!</v>
      </c>
      <c r="V51" s="176" t="str">
        <f>IF(ISERROR(_xll.qlSwapRateHelperSpread($S51)),IF(ISERROR(_xll.qlFuturesRateHelperConvexityAdjustment($S51)),"--",_xll.qlFuturesRateHelperConvexityAdjustment($S51)),_xll.qlSwapRateHelperSpread($S51))</f>
        <v>--</v>
      </c>
      <c r="W51" s="13" t="e">
        <f>_xll.qlRateHelperEarliestDate(S51,Trigger)</f>
        <v>#VALUE!</v>
      </c>
      <c r="X51" s="13" t="e">
        <f>_xll.qlRateHelperPillarDate(S51,Trigger)</f>
        <v>#VALUE!</v>
      </c>
      <c r="Y51" s="144" t="e">
        <v>#N/A</v>
      </c>
    </row>
    <row r="52" spans="1:25" ht="11.25" customHeight="1" x14ac:dyDescent="0.2">
      <c r="A52" s="89" t="s">
        <v>125</v>
      </c>
      <c r="B52" s="90" t="s">
        <v>115</v>
      </c>
      <c r="C52" s="91">
        <f t="shared" si="2"/>
        <v>2</v>
      </c>
      <c r="D52" s="92" t="str">
        <f>Currency&amp;$D$1</f>
        <v>USDFedFunds</v>
      </c>
      <c r="E52" s="95" t="str">
        <f>Currency&amp;$A52&amp;IF($B52="1W","SW",$B52)&amp;QuoteSuffix</f>
        <v>USDOIS12Y_Quote</v>
      </c>
      <c r="F52" s="96" t="str">
        <f>_xll.qlOISRateHelper(,C52,B52,E52,$D52,,Permanent,Trigger,ObjectOverwrite)</f>
        <v>obj_003a8#0035</v>
      </c>
      <c r="H52" s="21" t="str">
        <f>A54</f>
        <v>OIS</v>
      </c>
      <c r="I52" s="166" t="str">
        <f t="shared" si="0"/>
        <v>obj_003ab#0039</v>
      </c>
      <c r="J52" s="169" t="str">
        <f>IFERROR(_xll.qlRateHelperQuoteName(I52,Trigger),"--")</f>
        <v>USDOIS30Y_Quote</v>
      </c>
      <c r="K52" s="170">
        <f>IFERROR(_xll.qlRateHelperQuoteValue($I52,Trigger),"--")</f>
        <v>2.734E-2</v>
      </c>
      <c r="L52" s="169" t="b">
        <v>1</v>
      </c>
      <c r="M52" s="166">
        <v>50</v>
      </c>
      <c r="N52" s="166">
        <v>1</v>
      </c>
      <c r="O52" s="171">
        <f>IFERROR(_xll.qlRateHelperEarliestDate(I52,Trigger),"--")</f>
        <v>42184</v>
      </c>
      <c r="P52" s="171">
        <f>IFERROR(_xll.qlRateHelperPillarDate(I52,Trigger),"--")</f>
        <v>53142</v>
      </c>
      <c r="R52" s="12" t="e">
        <v>#N/A</v>
      </c>
      <c r="S52" s="12" t="e">
        <v>#N/A</v>
      </c>
      <c r="T52" s="12" t="e">
        <f>_xll.qlRateHelperQuoteName(S52,Trigger)</f>
        <v>#VALUE!</v>
      </c>
      <c r="U52" s="106" t="e">
        <f>_xll.qlRateHelperRate(S52,Trigger)</f>
        <v>#VALUE!</v>
      </c>
      <c r="V52" s="176" t="str">
        <f>IF(ISERROR(_xll.qlSwapRateHelperSpread($S52)),IF(ISERROR(_xll.qlFuturesRateHelperConvexityAdjustment($S52)),"--",_xll.qlFuturesRateHelperConvexityAdjustment($S52)),_xll.qlSwapRateHelperSpread($S52))</f>
        <v>--</v>
      </c>
      <c r="W52" s="13" t="e">
        <f>_xll.qlRateHelperEarliestDate(S52,Trigger)</f>
        <v>#VALUE!</v>
      </c>
      <c r="X52" s="13" t="e">
        <f>_xll.qlRateHelperPillarDate(S52,Trigger)</f>
        <v>#VALUE!</v>
      </c>
      <c r="Y52" s="144" t="e">
        <v>#N/A</v>
      </c>
    </row>
    <row r="53" spans="1:25" ht="11.25" customHeight="1" x14ac:dyDescent="0.2">
      <c r="A53" s="89" t="s">
        <v>125</v>
      </c>
      <c r="B53" s="90" t="s">
        <v>116</v>
      </c>
      <c r="C53" s="91">
        <f t="shared" si="2"/>
        <v>2</v>
      </c>
      <c r="D53" s="92" t="str">
        <f>Currency&amp;$D$1</f>
        <v>USDFedFunds</v>
      </c>
      <c r="E53" s="95" t="str">
        <f>Currency&amp;$A53&amp;IF($B53="1W","SW",$B53)&amp;QuoteSuffix</f>
        <v>USDOIS15Y_Quote</v>
      </c>
      <c r="F53" s="96" t="str">
        <f>_xll.qlOISRateHelper(,C53,B53,E53,$D53,,Permanent,Trigger,ObjectOverwrite)</f>
        <v>obj_003b1#0035</v>
      </c>
      <c r="H53" s="21" t="str">
        <f>A55</f>
        <v>OIS</v>
      </c>
      <c r="I53" s="166" t="str">
        <f t="shared" si="0"/>
        <v>obj_003c1#0038</v>
      </c>
      <c r="J53" s="169" t="str">
        <f>IFERROR(_xll.qlRateHelperQuoteName(I53,Trigger),"--")</f>
        <v>USDOIS35Y_Quote</v>
      </c>
      <c r="K53" s="170">
        <f>IFERROR(_xll.qlRateHelperQuoteValue($I53,Trigger),"--")</f>
        <v>2.7389999999999998E-2</v>
      </c>
      <c r="L53" s="169" t="b">
        <v>1</v>
      </c>
      <c r="M53" s="166">
        <v>50</v>
      </c>
      <c r="N53" s="166">
        <v>1</v>
      </c>
      <c r="O53" s="171">
        <f>IFERROR(_xll.qlRateHelperEarliestDate(I53,Trigger),"--")</f>
        <v>42184</v>
      </c>
      <c r="P53" s="171">
        <f>IFERROR(_xll.qlRateHelperPillarDate(I53,Trigger),"--")</f>
        <v>54968</v>
      </c>
      <c r="R53" s="12" t="e">
        <v>#N/A</v>
      </c>
      <c r="S53" s="12" t="e">
        <v>#N/A</v>
      </c>
      <c r="T53" s="12" t="e">
        <f>_xll.qlRateHelperQuoteName(S53,Trigger)</f>
        <v>#VALUE!</v>
      </c>
      <c r="U53" s="106" t="e">
        <f>_xll.qlRateHelperRate(S53,Trigger)</f>
        <v>#VALUE!</v>
      </c>
      <c r="V53" s="176" t="str">
        <f>IF(ISERROR(_xll.qlSwapRateHelperSpread($S53)),IF(ISERROR(_xll.qlFuturesRateHelperConvexityAdjustment($S53)),"--",_xll.qlFuturesRateHelperConvexityAdjustment($S53)),_xll.qlSwapRateHelperSpread($S53))</f>
        <v>--</v>
      </c>
      <c r="W53" s="13" t="e">
        <f>_xll.qlRateHelperEarliestDate(S53,Trigger)</f>
        <v>#VALUE!</v>
      </c>
      <c r="X53" s="13" t="e">
        <f>_xll.qlRateHelperPillarDate(S53,Trigger)</f>
        <v>#VALUE!</v>
      </c>
      <c r="Y53" s="144" t="e">
        <v>#N/A</v>
      </c>
    </row>
    <row r="54" spans="1:25" ht="11.25" customHeight="1" x14ac:dyDescent="0.2">
      <c r="A54" s="89" t="s">
        <v>125</v>
      </c>
      <c r="B54" s="90" t="s">
        <v>117</v>
      </c>
      <c r="C54" s="91">
        <f t="shared" si="2"/>
        <v>2</v>
      </c>
      <c r="D54" s="92" t="str">
        <f>Currency&amp;$D$1</f>
        <v>USDFedFunds</v>
      </c>
      <c r="E54" s="95" t="str">
        <f>Currency&amp;$A54&amp;IF($B54="1W","SW",$B54)&amp;QuoteSuffix</f>
        <v>USDOIS20Y_Quote</v>
      </c>
      <c r="F54" s="96" t="str">
        <f>_xll.qlOISRateHelper(,C54,B54,E54,$D54,,Permanent,Trigger,ObjectOverwrite)</f>
        <v>obj_0039f#0039</v>
      </c>
      <c r="H54" s="21" t="str">
        <f>A56</f>
        <v>OIS</v>
      </c>
      <c r="I54" s="166" t="str">
        <f t="shared" si="0"/>
        <v>obj_003a6#0035</v>
      </c>
      <c r="J54" s="169" t="str">
        <f>IFERROR(_xll.qlRateHelperQuoteName(I54,Trigger),"--")</f>
        <v>USDOIS40Y_Quote</v>
      </c>
      <c r="K54" s="170">
        <f>IFERROR(_xll.qlRateHelperQuoteValue($I54,Trigger),"--")</f>
        <v>2.7440000000000003E-2</v>
      </c>
      <c r="L54" s="169" t="b">
        <v>1</v>
      </c>
      <c r="M54" s="166">
        <v>50</v>
      </c>
      <c r="N54" s="166">
        <v>1</v>
      </c>
      <c r="O54" s="171">
        <f>IFERROR(_xll.qlRateHelperEarliestDate(I54,Trigger),"--")</f>
        <v>42184</v>
      </c>
      <c r="P54" s="171">
        <f>IFERROR(_xll.qlRateHelperPillarDate(I54,Trigger),"--")</f>
        <v>56794</v>
      </c>
      <c r="R54" s="12" t="e">
        <v>#N/A</v>
      </c>
      <c r="S54" s="12" t="e">
        <v>#N/A</v>
      </c>
      <c r="T54" s="12" t="e">
        <f>_xll.qlRateHelperQuoteName(S54,Trigger)</f>
        <v>#VALUE!</v>
      </c>
      <c r="U54" s="106" t="e">
        <f>_xll.qlRateHelperRate(S54,Trigger)</f>
        <v>#VALUE!</v>
      </c>
      <c r="V54" s="176" t="str">
        <f>IF(ISERROR(_xll.qlSwapRateHelperSpread($S54)),IF(ISERROR(_xll.qlFuturesRateHelperConvexityAdjustment($S54)),"--",_xll.qlFuturesRateHelperConvexityAdjustment($S54)),_xll.qlSwapRateHelperSpread($S54))</f>
        <v>--</v>
      </c>
      <c r="W54" s="13" t="e">
        <f>_xll.qlRateHelperEarliestDate(S54,Trigger)</f>
        <v>#VALUE!</v>
      </c>
      <c r="X54" s="13" t="e">
        <f>_xll.qlRateHelperPillarDate(S54,Trigger)</f>
        <v>#VALUE!</v>
      </c>
      <c r="Y54" s="144" t="e">
        <v>#N/A</v>
      </c>
    </row>
    <row r="55" spans="1:25" ht="11.25" customHeight="1" x14ac:dyDescent="0.2">
      <c r="A55" s="89" t="s">
        <v>125</v>
      </c>
      <c r="B55" s="90" t="s">
        <v>118</v>
      </c>
      <c r="C55" s="91">
        <f t="shared" si="2"/>
        <v>2</v>
      </c>
      <c r="D55" s="92" t="str">
        <f>Currency&amp;$D$1</f>
        <v>USDFedFunds</v>
      </c>
      <c r="E55" s="95" t="str">
        <f>Currency&amp;$A55&amp;IF($B55="1W","SW",$B55)&amp;QuoteSuffix</f>
        <v>USDOIS25Y_Quote</v>
      </c>
      <c r="F55" s="96" t="str">
        <f>_xll.qlOISRateHelper(,C55,B55,E55,$D55,,Permanent,Trigger,ObjectOverwrite)</f>
        <v>obj_003b8#0040</v>
      </c>
      <c r="H55" s="21" t="str">
        <f>A57</f>
        <v>OIS</v>
      </c>
      <c r="I55" s="166" t="str">
        <f t="shared" si="0"/>
        <v>obj_003b3#0039</v>
      </c>
      <c r="J55" s="169" t="str">
        <f>IFERROR(_xll.qlRateHelperQuoteName(I55,Trigger),"--")</f>
        <v>USDOIS45Y_Quote</v>
      </c>
      <c r="K55" s="170">
        <f>IFERROR(_xll.qlRateHelperQuoteValue($I55,Trigger),"--")</f>
        <v>2.7349999999999999E-2</v>
      </c>
      <c r="L55" s="169" t="b">
        <v>1</v>
      </c>
      <c r="M55" s="166">
        <v>50</v>
      </c>
      <c r="N55" s="166">
        <v>1</v>
      </c>
      <c r="O55" s="171">
        <f>IFERROR(_xll.qlRateHelperEarliestDate(I55,Trigger),"--")</f>
        <v>42184</v>
      </c>
      <c r="P55" s="171">
        <f>IFERROR(_xll.qlRateHelperPillarDate(I55,Trigger),"--")</f>
        <v>58621</v>
      </c>
      <c r="R55" s="12" t="e">
        <v>#N/A</v>
      </c>
      <c r="S55" s="12" t="e">
        <v>#N/A</v>
      </c>
      <c r="T55" s="12" t="e">
        <f>_xll.qlRateHelperQuoteName(S55,Trigger)</f>
        <v>#VALUE!</v>
      </c>
      <c r="U55" s="106" t="e">
        <f>_xll.qlRateHelperRate(S55,Trigger)</f>
        <v>#VALUE!</v>
      </c>
      <c r="V55" s="176" t="str">
        <f>IF(ISERROR(_xll.qlSwapRateHelperSpread($S55)),IF(ISERROR(_xll.qlFuturesRateHelperConvexityAdjustment($S55)),"--",_xll.qlFuturesRateHelperConvexityAdjustment($S55)),_xll.qlSwapRateHelperSpread($S55))</f>
        <v>--</v>
      </c>
      <c r="W55" s="13" t="e">
        <f>_xll.qlRateHelperEarliestDate(S55,Trigger)</f>
        <v>#VALUE!</v>
      </c>
      <c r="X55" s="13" t="e">
        <f>_xll.qlRateHelperPillarDate(S55,Trigger)</f>
        <v>#VALUE!</v>
      </c>
      <c r="Y55" s="144" t="e">
        <v>#N/A</v>
      </c>
    </row>
    <row r="56" spans="1:25" ht="11.25" customHeight="1" x14ac:dyDescent="0.2">
      <c r="A56" s="89" t="s">
        <v>125</v>
      </c>
      <c r="B56" s="90" t="s">
        <v>119</v>
      </c>
      <c r="C56" s="91">
        <f t="shared" si="2"/>
        <v>2</v>
      </c>
      <c r="D56" s="92" t="str">
        <f>Currency&amp;$D$1</f>
        <v>USDFedFunds</v>
      </c>
      <c r="E56" s="95" t="str">
        <f>Currency&amp;$A56&amp;IF($B56="1W","SW",$B56)&amp;QuoteSuffix</f>
        <v>USDOIS27Y_Quote</v>
      </c>
      <c r="F56" s="96"/>
      <c r="H56" s="22" t="str">
        <f>A58</f>
        <v>OIS</v>
      </c>
      <c r="I56" s="167" t="str">
        <f t="shared" si="0"/>
        <v>obj_003c4#0038</v>
      </c>
      <c r="J56" s="172" t="str">
        <f>IFERROR(_xll.qlRateHelperQuoteName(I56,Trigger),"--")</f>
        <v>USDOIS50Y_Quote</v>
      </c>
      <c r="K56" s="173">
        <f>IFERROR(_xll.qlRateHelperQuoteValue($I56,Trigger),"--")</f>
        <v>2.7300000000000001E-2</v>
      </c>
      <c r="L56" s="172" t="b">
        <v>1</v>
      </c>
      <c r="M56" s="167">
        <v>50</v>
      </c>
      <c r="N56" s="167">
        <v>1</v>
      </c>
      <c r="O56" s="174">
        <f>IFERROR(_xll.qlRateHelperEarliestDate(I56,Trigger),"--")</f>
        <v>42184</v>
      </c>
      <c r="P56" s="174">
        <f>IFERROR(_xll.qlRateHelperPillarDate(I56,Trigger),"--")</f>
        <v>60447</v>
      </c>
      <c r="R56" s="14" t="e">
        <v>#N/A</v>
      </c>
      <c r="S56" s="14" t="e">
        <v>#N/A</v>
      </c>
      <c r="T56" s="14" t="e">
        <f>_xll.qlRateHelperQuoteName(S56,Trigger)</f>
        <v>#VALUE!</v>
      </c>
      <c r="U56" s="146" t="e">
        <f>_xll.qlRateHelperRate(S56,Trigger)</f>
        <v>#VALUE!</v>
      </c>
      <c r="V56" s="177" t="str">
        <f>IF(ISERROR(_xll.qlSwapRateHelperSpread($S56)),IF(ISERROR(_xll.qlFuturesRateHelperConvexityAdjustment($S56)),"--",_xll.qlFuturesRateHelperConvexityAdjustment($S56)),_xll.qlSwapRateHelperSpread($S56))</f>
        <v>--</v>
      </c>
      <c r="W56" s="25" t="e">
        <f>_xll.qlRateHelperEarliestDate(S56,Trigger)</f>
        <v>#VALUE!</v>
      </c>
      <c r="X56" s="25" t="e">
        <f>_xll.qlRateHelperPillarDate(S56,Trigger)</f>
        <v>#VALUE!</v>
      </c>
      <c r="Y56" s="145" t="e">
        <v>#N/A</v>
      </c>
    </row>
    <row r="57" spans="1:25" ht="11.25" customHeight="1" x14ac:dyDescent="0.2">
      <c r="A57" s="89" t="s">
        <v>125</v>
      </c>
      <c r="B57" s="90" t="s">
        <v>120</v>
      </c>
      <c r="C57" s="91">
        <f t="shared" si="2"/>
        <v>2</v>
      </c>
      <c r="D57" s="92" t="str">
        <f>Currency&amp;$D$1</f>
        <v>USDFedFunds</v>
      </c>
      <c r="E57" s="95" t="str">
        <f>Currency&amp;$A57&amp;IF($B57="1W","SW",$B57)&amp;QuoteSuffix</f>
        <v>USDOIS30Y_Quote</v>
      </c>
      <c r="F57" s="96" t="str">
        <f>_xll.qlOISRateHelper(,C57,B57,E57,$D57,,Permanent,Trigger,ObjectOverwrite)</f>
        <v>obj_003ab#0039</v>
      </c>
    </row>
    <row r="58" spans="1:25" ht="11.25" customHeight="1" x14ac:dyDescent="0.2">
      <c r="A58" s="89" t="s">
        <v>125</v>
      </c>
      <c r="B58" s="90" t="s">
        <v>121</v>
      </c>
      <c r="C58" s="91">
        <f t="shared" si="2"/>
        <v>2</v>
      </c>
      <c r="D58" s="92" t="str">
        <f>Currency&amp;$D$1</f>
        <v>USDFedFunds</v>
      </c>
      <c r="E58" s="95" t="str">
        <f>Currency&amp;$A58&amp;IF($B58="1W","SW",$B58)&amp;QuoteSuffix</f>
        <v>USDOIS35Y_Quote</v>
      </c>
      <c r="F58" s="96" t="str">
        <f>_xll.qlOISRateHelper(,C58,B58,E58,$D58,,Permanent,Trigger,ObjectOverwrite)</f>
        <v>obj_003c1#0038</v>
      </c>
    </row>
    <row r="59" spans="1:25" ht="11.25" customHeight="1" x14ac:dyDescent="0.2">
      <c r="A59" s="89" t="s">
        <v>125</v>
      </c>
      <c r="B59" s="90" t="s">
        <v>122</v>
      </c>
      <c r="C59" s="91">
        <f t="shared" si="2"/>
        <v>2</v>
      </c>
      <c r="D59" s="92" t="str">
        <f>Currency&amp;$D$1</f>
        <v>USDFedFunds</v>
      </c>
      <c r="E59" s="95" t="str">
        <f>Currency&amp;$A59&amp;IF($B59="1W","SW",$B59)&amp;QuoteSuffix</f>
        <v>USDOIS40Y_Quote</v>
      </c>
      <c r="F59" s="96" t="str">
        <f>_xll.qlOISRateHelper(,C59,B59,E59,$D59,,Permanent,Trigger,ObjectOverwrite)</f>
        <v>obj_003a6#0035</v>
      </c>
    </row>
    <row r="60" spans="1:25" ht="11.25" customHeight="1" x14ac:dyDescent="0.2">
      <c r="A60" s="89" t="s">
        <v>125</v>
      </c>
      <c r="B60" s="90" t="s">
        <v>123</v>
      </c>
      <c r="C60" s="91">
        <f t="shared" si="2"/>
        <v>2</v>
      </c>
      <c r="D60" s="92" t="str">
        <f>Currency&amp;$D$1</f>
        <v>USDFedFunds</v>
      </c>
      <c r="E60" s="95" t="str">
        <f>Currency&amp;$A60&amp;IF($B60="1W","SW",$B60)&amp;QuoteSuffix</f>
        <v>USDOIS45Y_Quote</v>
      </c>
      <c r="F60" s="96" t="str">
        <f>_xll.qlOISRateHelper(,C60,B60,E60,$D60,,Permanent,Trigger,ObjectOverwrite)</f>
        <v>obj_003b3#0039</v>
      </c>
    </row>
    <row r="61" spans="1:25" ht="11.25" customHeight="1" x14ac:dyDescent="0.2">
      <c r="A61" s="3" t="s">
        <v>125</v>
      </c>
      <c r="B61" s="18" t="s">
        <v>124</v>
      </c>
      <c r="C61" s="16">
        <f t="shared" si="2"/>
        <v>2</v>
      </c>
      <c r="D61" s="17" t="str">
        <f>Currency&amp;$D$1</f>
        <v>USDFedFunds</v>
      </c>
      <c r="E61" s="5" t="str">
        <f>Currency&amp;$A61&amp;IF($B61="1W","SW",$B61)&amp;QuoteSuffix</f>
        <v>USDOIS50Y_Quote</v>
      </c>
      <c r="F61" s="6" t="str">
        <f>_xll.qlOISRateHelper(,C61,B61,E61,$D61,,Permanent,Trigger,ObjectOverwrite)</f>
        <v>obj_003c4#0038</v>
      </c>
    </row>
    <row r="62" spans="1:25" ht="11.25" customHeight="1" x14ac:dyDescent="0.2"/>
    <row r="63" spans="1:25" ht="11.25" customHeight="1" x14ac:dyDescent="0.2"/>
    <row r="64" spans="1:2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6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64" hidden="1" customWidth="1" outlineLevel="1"/>
    <col min="2" max="2" width="9" style="78" hidden="1" customWidth="1" outlineLevel="1"/>
    <col min="3" max="3" width="6.7109375" style="77" hidden="1" customWidth="1" outlineLevel="1"/>
    <col min="4" max="4" width="7" style="77" hidden="1" customWidth="1" outlineLevel="1"/>
    <col min="5" max="5" width="19.28515625" style="77" hidden="1" customWidth="1" outlineLevel="1"/>
    <col min="6" max="6" width="11" style="77" hidden="1" customWidth="1" outlineLevel="1"/>
    <col min="7" max="7" width="15.140625" style="77" hidden="1" customWidth="1" outlineLevel="1"/>
    <col min="8" max="8" width="21.42578125" style="79" hidden="1" customWidth="1" outlineLevel="1"/>
    <col min="9" max="9" width="24.42578125" style="64" hidden="1" customWidth="1" outlineLevel="1"/>
    <col min="10" max="10" width="15.140625" style="64" hidden="1" customWidth="1" outlineLevel="1"/>
    <col min="11" max="11" width="2.7109375" style="64" customWidth="1" collapsed="1"/>
    <col min="12" max="12" width="5" style="64" hidden="1" customWidth="1" outlineLevel="1"/>
    <col min="13" max="13" width="15.140625" style="175" hidden="1" customWidth="1" outlineLevel="1"/>
    <col min="14" max="14" width="21.42578125" style="175" hidden="1" customWidth="1" outlineLevel="1"/>
    <col min="15" max="15" width="12" style="175" hidden="1" customWidth="1" outlineLevel="1"/>
    <col min="16" max="16" width="7.85546875" style="175" hidden="1" customWidth="1" outlineLevel="1"/>
    <col min="17" max="17" width="9" style="175" hidden="1" customWidth="1" outlineLevel="1"/>
    <col min="18" max="18" width="5.85546875" style="175" hidden="1" customWidth="1" outlineLevel="1"/>
    <col min="19" max="20" width="10.7109375" style="175" hidden="1" customWidth="1" outlineLevel="1"/>
    <col min="21" max="21" width="2.7109375" style="66" hidden="1" customWidth="1" outlineLevel="1"/>
    <col min="22" max="22" width="5" style="64" bestFit="1" customWidth="1" collapsed="1"/>
    <col min="23" max="23" width="10.140625" style="64" hidden="1" customWidth="1" outlineLevel="1"/>
    <col min="24" max="24" width="21.42578125" style="64" bestFit="1" customWidth="1" collapsed="1"/>
    <col min="25" max="25" width="9" style="64" bestFit="1" customWidth="1"/>
    <col min="26" max="26" width="7.7109375" style="64" customWidth="1"/>
    <col min="27" max="28" width="17.28515625" style="64" bestFit="1" customWidth="1"/>
    <col min="29" max="29" width="12" style="64" bestFit="1" customWidth="1"/>
    <col min="30" max="30" width="2.7109375" style="64" customWidth="1"/>
    <col min="31" max="31" width="24.42578125" style="64" bestFit="1" customWidth="1"/>
    <col min="32" max="32" width="9" style="64" bestFit="1" customWidth="1"/>
    <col min="33" max="16384" width="9.140625" style="64"/>
  </cols>
  <sheetData>
    <row r="1" spans="1:32" ht="18" customHeight="1" x14ac:dyDescent="0.2">
      <c r="G1" s="77" t="s">
        <v>0</v>
      </c>
      <c r="H1" s="77" t="str">
        <f>"_SYNTH"&amp;$G$1</f>
        <v>_SYNTH3M</v>
      </c>
      <c r="L1" s="101" t="s">
        <v>36</v>
      </c>
      <c r="M1" s="178"/>
      <c r="N1" s="178"/>
      <c r="O1" s="178"/>
      <c r="P1" s="178"/>
      <c r="Q1" s="178"/>
      <c r="R1" s="178"/>
      <c r="S1" s="178"/>
      <c r="T1" s="168"/>
      <c r="U1" s="165"/>
      <c r="V1" s="136" t="str">
        <f>Currency&amp;$G$1</f>
        <v>USD3M</v>
      </c>
      <c r="W1" s="99"/>
      <c r="X1" s="99"/>
      <c r="Y1" s="104"/>
      <c r="Z1" s="104"/>
      <c r="AA1" s="99"/>
      <c r="AB1" s="99"/>
      <c r="AC1" s="134" t="s">
        <v>51</v>
      </c>
    </row>
    <row r="2" spans="1:32" ht="21.75" customHeight="1" x14ac:dyDescent="0.2">
      <c r="A2" s="97" t="s">
        <v>18</v>
      </c>
      <c r="B2" s="97" t="s">
        <v>44</v>
      </c>
      <c r="C2" s="97" t="s">
        <v>150</v>
      </c>
      <c r="D2" s="97"/>
      <c r="E2" s="97"/>
      <c r="F2" s="97"/>
      <c r="G2" s="97" t="s">
        <v>9</v>
      </c>
      <c r="H2" s="97" t="s">
        <v>5</v>
      </c>
      <c r="I2" s="97"/>
      <c r="J2" s="97" t="s">
        <v>36</v>
      </c>
      <c r="L2" s="135" t="s">
        <v>18</v>
      </c>
      <c r="M2" s="135" t="s">
        <v>36</v>
      </c>
      <c r="N2" s="135" t="s">
        <v>137</v>
      </c>
      <c r="O2" s="135" t="s">
        <v>140</v>
      </c>
      <c r="P2" s="135" t="s">
        <v>138</v>
      </c>
      <c r="Q2" s="135" t="s">
        <v>139</v>
      </c>
      <c r="R2" s="135" t="s">
        <v>141</v>
      </c>
      <c r="S2" s="135" t="s">
        <v>33</v>
      </c>
      <c r="T2" s="135" t="s">
        <v>134</v>
      </c>
      <c r="U2" s="165"/>
      <c r="V2" s="135" t="s">
        <v>18</v>
      </c>
      <c r="W2" s="135" t="s">
        <v>36</v>
      </c>
      <c r="X2" s="135" t="s">
        <v>137</v>
      </c>
      <c r="Y2" s="142" t="s">
        <v>35</v>
      </c>
      <c r="Z2" s="142" t="s">
        <v>142</v>
      </c>
      <c r="AA2" s="135" t="s">
        <v>33</v>
      </c>
      <c r="AB2" s="135" t="s">
        <v>134</v>
      </c>
      <c r="AC2" s="143">
        <f t="array" ref="AC2:AC88">_xll.qlPiecewiseYieldCurveData(YieldCurve_3M,Trigger)</f>
        <v>1</v>
      </c>
      <c r="AE2" s="228" t="s">
        <v>143</v>
      </c>
      <c r="AF2" s="229"/>
    </row>
    <row r="3" spans="1:32" ht="11.25" customHeight="1" x14ac:dyDescent="0.2">
      <c r="A3" s="182" t="s">
        <v>39</v>
      </c>
      <c r="B3" s="183" t="s">
        <v>129</v>
      </c>
      <c r="C3" s="184" t="s">
        <v>74</v>
      </c>
      <c r="D3" s="196"/>
      <c r="E3" s="196"/>
      <c r="F3" s="196"/>
      <c r="G3" s="185" t="str">
        <f>_xll.qlLibor(,Currency,C3,,Permanent,Trigger,ObjectOverwrite)</f>
        <v>obj_003fd#0034</v>
      </c>
      <c r="H3" s="193" t="str">
        <f>Currency&amp;$B3&amp;"D"&amp;$H$1&amp;QuoteSuffix</f>
        <v>USDSND_SYNTH3M_Quote</v>
      </c>
      <c r="I3" s="196"/>
      <c r="J3" s="186"/>
      <c r="K3" s="67"/>
      <c r="L3" s="102" t="str">
        <f>A3</f>
        <v>Dp</v>
      </c>
      <c r="M3" s="205" t="str">
        <f>IF(ISBLANK(J3),"--",J3)</f>
        <v>--</v>
      </c>
      <c r="N3" s="219" t="str">
        <f>IFERROR(_xll.qlRateHelperQuoteName(M3,Trigger),"--")</f>
        <v>--</v>
      </c>
      <c r="O3" s="207" t="str">
        <f>IFERROR(_xll.qlRateHelperQuoteValue($M3,Trigger),"--")</f>
        <v>--</v>
      </c>
      <c r="P3" s="206" t="b">
        <v>0</v>
      </c>
      <c r="Q3" s="205">
        <v>10</v>
      </c>
      <c r="R3" s="205">
        <v>1</v>
      </c>
      <c r="S3" s="208" t="str">
        <f>IFERROR(_xll.qlRateHelperEarliestDate(M3,Trigger),"--")</f>
        <v>--</v>
      </c>
      <c r="T3" s="208" t="str">
        <f>IFERROR(_xll.qlRateHelperPillarDate(M3,Trigger),"--")</f>
        <v>--</v>
      </c>
      <c r="V3" s="12" t="str">
        <f>IFERROR(INDEX($L$3:$L$88,MATCH(X3,$N$3:$N$88,1),1),NA())</f>
        <v>Sw</v>
      </c>
      <c r="W3" s="12" t="str">
        <f t="array" ref="W3:W88">_xll.qlRateHelperSelection(_xll.ohFilter(RateHelpers,IncludeFlag),_xll.ohFilter(Priority,IncludeFlag),$AF$3,$AF$4,$AF$5,$AF$6,_xll.ohFilter(MinDistance,IncludeFlag),Trigger)</f>
        <v>obj_00405</v>
      </c>
      <c r="X3" s="12" t="str">
        <f>_xll.qlRateHelperQuoteName(W3,Trigger)</f>
        <v>USD1MD_SYNTH3M_Quote</v>
      </c>
      <c r="Y3" s="106">
        <f>_xll.qlRateHelperRate(W3,Trigger)</f>
        <v>2.6540000000000001E-3</v>
      </c>
      <c r="Z3" s="176" t="str">
        <f>IF(ISERROR(_xll.qlSwapRateHelperSpread($W3)),IF(ISERROR(_xll.qlFuturesRateHelperConvexityAdjustment($W3)),"--",_xll.qlFuturesRateHelperConvexityAdjustment($W3)),_xll.qlSwapRateHelperSpread($W3))</f>
        <v>--</v>
      </c>
      <c r="AA3" s="13">
        <f>_xll.qlRateHelperEarliestDate(W3,Trigger)</f>
        <v>42184</v>
      </c>
      <c r="AB3" s="13">
        <f>_xll.qlRateHelperPillarDate(W3,Trigger)</f>
        <v>42214</v>
      </c>
      <c r="AC3" s="144">
        <v>0.9997788822372119</v>
      </c>
      <c r="AE3" s="179" t="s">
        <v>144</v>
      </c>
      <c r="AF3" s="180">
        <v>8</v>
      </c>
    </row>
    <row r="4" spans="1:32" ht="11.25" customHeight="1" x14ac:dyDescent="0.2">
      <c r="A4" s="89" t="s">
        <v>39</v>
      </c>
      <c r="B4" s="90" t="s">
        <v>149</v>
      </c>
      <c r="C4" s="93" t="s">
        <v>75</v>
      </c>
      <c r="D4" s="197"/>
      <c r="E4" s="197"/>
      <c r="F4" s="197"/>
      <c r="G4" s="91" t="str">
        <f>_xll.qlLibor(,Currency,C4,,Permanent,Trigger,ObjectOverwrite)</f>
        <v>obj_003fe#0032</v>
      </c>
      <c r="H4" s="194" t="str">
        <f>Currency&amp;$B4&amp;"D"&amp;$H$1&amp;QuoteSuffix</f>
        <v>USDSWD_SYNTH3M_Quote</v>
      </c>
      <c r="I4" s="197"/>
      <c r="J4" s="96"/>
      <c r="K4" s="66"/>
      <c r="L4" s="21" t="str">
        <f t="shared" ref="L4:L12" si="0">A4</f>
        <v>Dp</v>
      </c>
      <c r="M4" s="166" t="str">
        <f t="shared" ref="M4:M9" si="1">IF(ISBLANK(J4),"--",J4)</f>
        <v>--</v>
      </c>
      <c r="N4" s="220" t="str">
        <f>IFERROR(_xll.qlRateHelperQuoteName(M4,Trigger),"--")</f>
        <v>--</v>
      </c>
      <c r="O4" s="170" t="str">
        <f>IFERROR(_xll.qlRateHelperQuoteValue($M4,Trigger),"--")</f>
        <v>--</v>
      </c>
      <c r="P4" s="169" t="b">
        <v>0</v>
      </c>
      <c r="Q4" s="166">
        <v>10</v>
      </c>
      <c r="R4" s="166">
        <v>1</v>
      </c>
      <c r="S4" s="171" t="str">
        <f>IFERROR(_xll.qlRateHelperEarliestDate(M4,Trigger),"--")</f>
        <v>--</v>
      </c>
      <c r="T4" s="171" t="str">
        <f>IFERROR(_xll.qlRateHelperPillarDate(M4,Trigger),"--")</f>
        <v>--</v>
      </c>
      <c r="V4" s="12" t="str">
        <f>IFERROR(INDEX($L$3:$L$88,MATCH(X4,$N$3:$N$88,1),1),NA())</f>
        <v>Sw</v>
      </c>
      <c r="W4" s="12" t="str">
        <v>obj_00406</v>
      </c>
      <c r="X4" s="12" t="str">
        <f>_xll.qlRateHelperQuoteName(W4,Trigger)</f>
        <v>USD2MD_SYNTH3M_Quote</v>
      </c>
      <c r="Y4" s="106">
        <f>_xll.qlRateHelperRate(W4,Trigger)</f>
        <v>2.6870000000000002E-3</v>
      </c>
      <c r="Z4" s="176" t="str">
        <f>IF(ISERROR(_xll.qlSwapRateHelperSpread($W4)),IF(ISERROR(_xll.qlFuturesRateHelperConvexityAdjustment($W4)),"--",_xll.qlFuturesRateHelperConvexityAdjustment($W4)),_xll.qlSwapRateHelperSpread($W4))</f>
        <v>--</v>
      </c>
      <c r="AA4" s="13">
        <f>_xll.qlRateHelperEarliestDate(W4,Trigger)</f>
        <v>42184</v>
      </c>
      <c r="AB4" s="13">
        <f>_xll.qlRateHelperPillarDate(W4,Trigger)</f>
        <v>42244</v>
      </c>
      <c r="AC4" s="144">
        <v>0.99955236713140261</v>
      </c>
      <c r="AE4" s="179" t="s">
        <v>145</v>
      </c>
      <c r="AF4" s="180">
        <v>1</v>
      </c>
    </row>
    <row r="5" spans="1:32" ht="11.25" customHeight="1" x14ac:dyDescent="0.2">
      <c r="A5" s="89" t="s">
        <v>39</v>
      </c>
      <c r="B5" s="90" t="s">
        <v>76</v>
      </c>
      <c r="C5" s="93" t="str">
        <f>B5</f>
        <v>2W</v>
      </c>
      <c r="D5" s="197"/>
      <c r="E5" s="197"/>
      <c r="F5" s="197"/>
      <c r="G5" s="91" t="str">
        <f>_xll.qlLibor(,Currency,C5,,Permanent,Trigger,ObjectOverwrite)</f>
        <v>obj_003ff#0032</v>
      </c>
      <c r="H5" s="194" t="str">
        <f>Currency&amp;$B5&amp;"D"&amp;$H$1&amp;QuoteSuffix</f>
        <v>USD2WD_SYNTH3M_Quote</v>
      </c>
      <c r="I5" s="197"/>
      <c r="J5" s="96"/>
      <c r="K5" s="66"/>
      <c r="L5" s="21" t="str">
        <f t="shared" si="0"/>
        <v>Dp</v>
      </c>
      <c r="M5" s="166" t="str">
        <f t="shared" si="1"/>
        <v>--</v>
      </c>
      <c r="N5" s="220" t="str">
        <f>IFERROR(_xll.qlRateHelperQuoteName(M5,Trigger),"--")</f>
        <v>--</v>
      </c>
      <c r="O5" s="170" t="str">
        <f>IFERROR(_xll.qlRateHelperQuoteValue($M5,Trigger),"--")</f>
        <v>--</v>
      </c>
      <c r="P5" s="169" t="b">
        <v>0</v>
      </c>
      <c r="Q5" s="166">
        <v>10</v>
      </c>
      <c r="R5" s="166">
        <v>1</v>
      </c>
      <c r="S5" s="171" t="str">
        <f>IFERROR(_xll.qlRateHelperEarliestDate(M5,Trigger),"--")</f>
        <v>--</v>
      </c>
      <c r="T5" s="171" t="str">
        <f>IFERROR(_xll.qlRateHelperPillarDate(M5,Trigger),"--")</f>
        <v>--</v>
      </c>
      <c r="V5" s="12" t="str">
        <f>IFERROR(INDEX($L$3:$L$88,MATCH(X5,$N$3:$N$88,1),1),NA())</f>
        <v>Sw</v>
      </c>
      <c r="W5" s="12" t="str">
        <v>obj_00407</v>
      </c>
      <c r="X5" s="12" t="str">
        <f>_xll.qlRateHelperQuoteName(W5,Trigger)</f>
        <v>USD3MD_SYNTH3M_Quote</v>
      </c>
      <c r="Y5" s="106">
        <f>_xll.qlRateHelperRate(W5,Trigger)</f>
        <v>2.82E-3</v>
      </c>
      <c r="Z5" s="176" t="str">
        <f>IF(ISERROR(_xll.qlSwapRateHelperSpread($W5)),IF(ISERROR(_xll.qlFuturesRateHelperConvexityAdjustment($W5)),"--",_xll.qlFuturesRateHelperConvexityAdjustment($W5)),_xll.qlSwapRateHelperSpread($W5))</f>
        <v>--</v>
      </c>
      <c r="AA5" s="13">
        <f>_xll.qlRateHelperEarliestDate(W5,Trigger)</f>
        <v>42184</v>
      </c>
      <c r="AB5" s="13">
        <f>_xll.qlRateHelperPillarDate(W5,Trigger)</f>
        <v>42276</v>
      </c>
      <c r="AC5" s="144">
        <v>0.99927985231976146</v>
      </c>
      <c r="AD5" s="147"/>
      <c r="AE5" s="179" t="s">
        <v>146</v>
      </c>
      <c r="AF5" s="180">
        <v>2</v>
      </c>
    </row>
    <row r="6" spans="1:32" ht="11.25" customHeight="1" x14ac:dyDescent="0.2">
      <c r="A6" s="89" t="s">
        <v>39</v>
      </c>
      <c r="B6" s="90" t="s">
        <v>77</v>
      </c>
      <c r="C6" s="93" t="str">
        <f t="shared" ref="C6:C9" si="2">B6</f>
        <v>3W</v>
      </c>
      <c r="D6" s="197"/>
      <c r="E6" s="197"/>
      <c r="F6" s="197"/>
      <c r="G6" s="91" t="str">
        <f>_xll.qlLibor(,Currency,C6,,Permanent,Trigger,ObjectOverwrite)</f>
        <v>obj_00401#0033</v>
      </c>
      <c r="H6" s="194" t="str">
        <f>Currency&amp;$B6&amp;"D"&amp;$H$1&amp;QuoteSuffix</f>
        <v>USD3WD_SYNTH3M_Quote</v>
      </c>
      <c r="I6" s="197"/>
      <c r="J6" s="96"/>
      <c r="K6" s="66"/>
      <c r="L6" s="21" t="str">
        <f t="shared" si="0"/>
        <v>Dp</v>
      </c>
      <c r="M6" s="166" t="str">
        <f t="shared" si="1"/>
        <v>--</v>
      </c>
      <c r="N6" s="220" t="str">
        <f>IFERROR(_xll.qlRateHelperQuoteName(M6,Trigger),"--")</f>
        <v>--</v>
      </c>
      <c r="O6" s="170" t="str">
        <f>IFERROR(_xll.qlRateHelperQuoteValue($M6,Trigger),"--")</f>
        <v>--</v>
      </c>
      <c r="P6" s="169" t="b">
        <v>0</v>
      </c>
      <c r="Q6" s="166">
        <v>10</v>
      </c>
      <c r="R6" s="166">
        <v>1</v>
      </c>
      <c r="S6" s="171" t="str">
        <f>IFERROR(_xll.qlRateHelperEarliestDate(M6,Trigger),"--")</f>
        <v>--</v>
      </c>
      <c r="T6" s="171" t="str">
        <f>IFERROR(_xll.qlRateHelperPillarDate(M6,Trigger),"--")</f>
        <v>--</v>
      </c>
      <c r="V6" s="12" t="str">
        <f>IFERROR(INDEX($L$3:$L$88,MATCH(X6,$N$3:$N$88,1),1),NA())</f>
        <v>Sw</v>
      </c>
      <c r="W6" s="12" t="str">
        <v>obj_00414</v>
      </c>
      <c r="X6" s="12" t="str">
        <f>_xll.qlRateHelperQuoteName(W6,Trigger)</f>
        <v>USDFUT3MN5_Quote</v>
      </c>
      <c r="Y6" s="106">
        <f>_xll.qlRateHelperRate(W6,Trigger)</f>
        <v>2.9361974995341629E-3</v>
      </c>
      <c r="Z6" s="176">
        <f>IF(ISERROR(_xll.qlSwapRateHelperSpread($W6)),IF(ISERROR(_xll.qlFuturesRateHelperConvexityAdjustment($W6)),"--",_xll.qlFuturesRateHelperConvexityAdjustment($W6)),_xll.qlSwapRateHelperSpread($W6))</f>
        <v>1.3025004658741896E-6</v>
      </c>
      <c r="AA6" s="13">
        <f>_xll.qlRateHelperEarliestDate(W6,Trigger)</f>
        <v>42200</v>
      </c>
      <c r="AB6" s="13">
        <f>_xll.qlRateHelperPillarDate(W6,Trigger)</f>
        <v>42292</v>
      </c>
      <c r="AC6" s="144">
        <v>0.99913227725011755</v>
      </c>
      <c r="AE6" s="179" t="s">
        <v>147</v>
      </c>
      <c r="AF6" s="181" t="s">
        <v>148</v>
      </c>
    </row>
    <row r="7" spans="1:32" ht="11.25" customHeight="1" x14ac:dyDescent="0.2">
      <c r="A7" s="89" t="s">
        <v>39</v>
      </c>
      <c r="B7" s="90" t="s">
        <v>6</v>
      </c>
      <c r="C7" s="93" t="str">
        <f t="shared" si="2"/>
        <v>1M</v>
      </c>
      <c r="D7" s="197"/>
      <c r="E7" s="197"/>
      <c r="F7" s="197"/>
      <c r="G7" s="91" t="str">
        <f>_xll.qlLibor(,Currency,C7,,Permanent,Trigger,ObjectOverwrite)</f>
        <v>obj_00403#0033</v>
      </c>
      <c r="H7" s="194" t="str">
        <f>Currency&amp;$B7&amp;"D"&amp;$H$1&amp;QuoteSuffix</f>
        <v>USD1MD_SYNTH3M_Quote</v>
      </c>
      <c r="I7" s="197"/>
      <c r="J7" s="96" t="str">
        <f>_xll.qlDepositRateHelper(,H7,G7,Permanent,Trigger,ObjectOverwrite)</f>
        <v>obj_00405#0037</v>
      </c>
      <c r="K7" s="66"/>
      <c r="L7" s="21" t="str">
        <f t="shared" si="0"/>
        <v>Dp</v>
      </c>
      <c r="M7" s="166" t="str">
        <f t="shared" si="1"/>
        <v>obj_00405#0037</v>
      </c>
      <c r="N7" s="220" t="str">
        <f>IFERROR(_xll.qlRateHelperQuoteName(M7,Trigger),"--")</f>
        <v>USD1MD_SYNTH3M_Quote</v>
      </c>
      <c r="O7" s="170">
        <f>IFERROR(_xll.qlRateHelperQuoteValue($M7,Trigger),"--")</f>
        <v>2.6540000000000001E-3</v>
      </c>
      <c r="P7" s="169" t="b">
        <v>1</v>
      </c>
      <c r="Q7" s="166">
        <v>10</v>
      </c>
      <c r="R7" s="166">
        <v>1</v>
      </c>
      <c r="S7" s="171">
        <f>IFERROR(_xll.qlRateHelperEarliestDate(M7,Trigger),"--")</f>
        <v>42184</v>
      </c>
      <c r="T7" s="171">
        <f>IFERROR(_xll.qlRateHelperPillarDate(M7,Trigger),"--")</f>
        <v>42214</v>
      </c>
      <c r="V7" s="12" t="str">
        <f>IFERROR(INDEX($L$3:$L$88,MATCH(X7,$N$3:$N$88,1),1),NA())</f>
        <v>Sw</v>
      </c>
      <c r="W7" s="12" t="str">
        <v>obj_00419</v>
      </c>
      <c r="X7" s="12" t="str">
        <f>_xll.qlRateHelperQuoteName(W7,Trigger)</f>
        <v>USDFUT3MU5_Quote</v>
      </c>
      <c r="Y7" s="106">
        <f>_xll.qlRateHelperRate(W7,Trigger)</f>
        <v>3.8180072705969316E-3</v>
      </c>
      <c r="Z7" s="176">
        <f>IF(ISERROR(_xll.qlSwapRateHelperSpread($W7)),IF(ISERROR(_xll.qlFuturesRateHelperConvexityAdjustment($W7)),"--",_xll.qlFuturesRateHelperConvexityAdjustment($W7)),_xll.qlSwapRateHelperSpread($W7))</f>
        <v>6.9927294030357135E-6</v>
      </c>
      <c r="AA7" s="13">
        <f>_xll.qlRateHelperEarliestDate(W7,Trigger)</f>
        <v>42263</v>
      </c>
      <c r="AB7" s="13">
        <f>_xll.qlRateHelperPillarDate(W7,Trigger)</f>
        <v>42354</v>
      </c>
      <c r="AC7" s="144">
        <v>0.99843076346908233</v>
      </c>
    </row>
    <row r="8" spans="1:32" ht="11.25" customHeight="1" x14ac:dyDescent="0.2">
      <c r="A8" s="89" t="s">
        <v>39</v>
      </c>
      <c r="B8" s="90" t="s">
        <v>78</v>
      </c>
      <c r="C8" s="93" t="str">
        <f t="shared" si="2"/>
        <v>2M</v>
      </c>
      <c r="D8" s="197"/>
      <c r="E8" s="197"/>
      <c r="F8" s="197"/>
      <c r="G8" s="91" t="str">
        <f>_xll.qlLibor(,Currency,C8,,Permanent,Trigger,ObjectOverwrite)</f>
        <v>obj_00402#0033</v>
      </c>
      <c r="H8" s="194" t="str">
        <f>Currency&amp;$B8&amp;"D"&amp;$H$1&amp;QuoteSuffix</f>
        <v>USD2MD_SYNTH3M_Quote</v>
      </c>
      <c r="I8" s="197"/>
      <c r="J8" s="96" t="str">
        <f>_xll.qlDepositRateHelper(,H8,G8,Permanent,Trigger,ObjectOverwrite)</f>
        <v>obj_00406#0037</v>
      </c>
      <c r="K8" s="66"/>
      <c r="L8" s="21" t="str">
        <f t="shared" si="0"/>
        <v>Dp</v>
      </c>
      <c r="M8" s="166" t="str">
        <f t="shared" si="1"/>
        <v>obj_00406#0037</v>
      </c>
      <c r="N8" s="220" t="str">
        <f>IFERROR(_xll.qlRateHelperQuoteName(M8,Trigger),"--")</f>
        <v>USD2MD_SYNTH3M_Quote</v>
      </c>
      <c r="O8" s="170">
        <f>IFERROR(_xll.qlRateHelperQuoteValue($M8,Trigger),"--")</f>
        <v>2.6870000000000002E-3</v>
      </c>
      <c r="P8" s="169" t="b">
        <v>1</v>
      </c>
      <c r="Q8" s="166">
        <v>10</v>
      </c>
      <c r="R8" s="166">
        <v>1</v>
      </c>
      <c r="S8" s="171">
        <f>IFERROR(_xll.qlRateHelperEarliestDate(M8,Trigger),"--")</f>
        <v>42184</v>
      </c>
      <c r="T8" s="171">
        <f>IFERROR(_xll.qlRateHelperPillarDate(M8,Trigger),"--")</f>
        <v>42244</v>
      </c>
      <c r="V8" s="12" t="str">
        <f>IFERROR(INDEX($L$3:$L$88,MATCH(X8,$N$3:$N$88,1),1),NA())</f>
        <v>Sw</v>
      </c>
      <c r="W8" s="12" t="str">
        <v>obj_0042a</v>
      </c>
      <c r="X8" s="12" t="str">
        <f>_xll.qlRateHelperQuoteName(W8,Trigger)</f>
        <v>USDFUT3MZ5_Quote</v>
      </c>
      <c r="Y8" s="106">
        <f>_xll.qlRateHelperRate(W8,Trigger)</f>
        <v>5.6554328150297027E-3</v>
      </c>
      <c r="Z8" s="176">
        <f>IF(ISERROR(_xll.qlSwapRateHelperSpread($W8)),IF(ISERROR(_xll.qlFuturesRateHelperConvexityAdjustment($W8)),"--",_xll.qlFuturesRateHelperConvexityAdjustment($W8)),_xll.qlSwapRateHelperSpread($W8))</f>
        <v>1.9567184970283144E-5</v>
      </c>
      <c r="AA8" s="13">
        <f>_xll.qlRateHelperEarliestDate(W8,Trigger)</f>
        <v>42354</v>
      </c>
      <c r="AB8" s="13">
        <f>_xll.qlRateHelperPillarDate(W8,Trigger)</f>
        <v>42445</v>
      </c>
      <c r="AC8" s="144">
        <v>0.99700547660332439</v>
      </c>
    </row>
    <row r="9" spans="1:32" ht="11.25" customHeight="1" x14ac:dyDescent="0.2">
      <c r="A9" s="3" t="s">
        <v>39</v>
      </c>
      <c r="B9" s="18" t="s">
        <v>0</v>
      </c>
      <c r="C9" s="19" t="str">
        <f t="shared" si="2"/>
        <v>3M</v>
      </c>
      <c r="D9" s="198"/>
      <c r="E9" s="198"/>
      <c r="F9" s="198"/>
      <c r="G9" s="16" t="str">
        <f>_xll.qlLibor(,Currency,C9,,Permanent,Trigger,ObjectOverwrite)</f>
        <v>obj_00400#0033</v>
      </c>
      <c r="H9" s="195" t="str">
        <f>Currency&amp;$B9&amp;"D"&amp;$H$1&amp;QuoteSuffix</f>
        <v>USD3MD_SYNTH3M_Quote</v>
      </c>
      <c r="I9" s="198"/>
      <c r="J9" s="6" t="str">
        <f>_xll.qlDepositRateHelper(,H9,G9,Permanent,Trigger,ObjectOverwrite)</f>
        <v>obj_00407#0038</v>
      </c>
      <c r="K9" s="66"/>
      <c r="L9" s="22" t="str">
        <f t="shared" si="0"/>
        <v>Dp</v>
      </c>
      <c r="M9" s="167" t="str">
        <f t="shared" si="1"/>
        <v>obj_00407#0038</v>
      </c>
      <c r="N9" s="221" t="str">
        <f>IFERROR(_xll.qlRateHelperQuoteName(M9,Trigger),"--")</f>
        <v>USD3MD_SYNTH3M_Quote</v>
      </c>
      <c r="O9" s="173">
        <f>IFERROR(_xll.qlRateHelperQuoteValue($M9,Trigger),"--")</f>
        <v>2.82E-3</v>
      </c>
      <c r="P9" s="172" t="b">
        <v>1</v>
      </c>
      <c r="Q9" s="167">
        <v>10</v>
      </c>
      <c r="R9" s="167">
        <v>1</v>
      </c>
      <c r="S9" s="174">
        <f>IFERROR(_xll.qlRateHelperEarliestDate(M9,Trigger),"--")</f>
        <v>42184</v>
      </c>
      <c r="T9" s="174">
        <f>IFERROR(_xll.qlRateHelperPillarDate(M9,Trigger),"--")</f>
        <v>42276</v>
      </c>
      <c r="V9" s="12" t="str">
        <f>IFERROR(INDEX($L$3:$L$88,MATCH(X9,$N$3:$N$88,1),1),NA())</f>
        <v>Sw</v>
      </c>
      <c r="W9" s="12" t="str">
        <v>obj_00432</v>
      </c>
      <c r="X9" s="12" t="str">
        <f>_xll.qlRateHelperQuoteName(W9,Trigger)</f>
        <v>USDFUT3MH6_Quote</v>
      </c>
      <c r="Y9" s="106">
        <f>_xll.qlRateHelperRate(W9,Trigger)</f>
        <v>7.5376664666943326E-3</v>
      </c>
      <c r="Z9" s="176">
        <f>IF(ISERROR(_xll.qlSwapRateHelperSpread($W9)),IF(ISERROR(_xll.qlFuturesRateHelperConvexityAdjustment($W9)),"--",_xll.qlFuturesRateHelperConvexityAdjustment($W9)),_xll.qlSwapRateHelperSpread($W9))</f>
        <v>3.7333533305554431E-5</v>
      </c>
      <c r="AA9" s="13">
        <f>_xll.qlRateHelperEarliestDate(W9,Trigger)</f>
        <v>42445</v>
      </c>
      <c r="AB9" s="13">
        <f>_xll.qlRateHelperPillarDate(W9,Trigger)</f>
        <v>42537</v>
      </c>
      <c r="AC9" s="144">
        <v>0.99508864476820691</v>
      </c>
    </row>
    <row r="10" spans="1:32" ht="11.25" customHeight="1" x14ac:dyDescent="0.2">
      <c r="B10" s="64"/>
      <c r="C10" s="64"/>
      <c r="D10" s="64"/>
      <c r="E10" s="64"/>
      <c r="F10" s="64"/>
      <c r="G10" s="64"/>
      <c r="H10" s="64"/>
      <c r="K10" s="66"/>
      <c r="L10" s="102" t="str">
        <f>A12</f>
        <v>FRA</v>
      </c>
      <c r="M10" s="205" t="str">
        <f>IF(ISBLANK(J12),"--",J12)</f>
        <v>qlFraRateHelper(,I12,C12&amp;"M",H12,PillarDate,,Permanent,Trigger,ObjectOverwrite)</v>
      </c>
      <c r="N10" s="219" t="str">
        <f>IFERROR(_xll.qlRateHelperQuoteName(M10,Trigger),"--")</f>
        <v>--</v>
      </c>
      <c r="O10" s="207" t="str">
        <f>IFERROR(_xll.qlRateHelperQuoteValue($M10,Trigger),"--")</f>
        <v>--</v>
      </c>
      <c r="P10" s="206" t="b">
        <v>0</v>
      </c>
      <c r="Q10" s="205">
        <v>20</v>
      </c>
      <c r="R10" s="205">
        <v>1</v>
      </c>
      <c r="S10" s="208" t="str">
        <f>IFERROR(_xll.qlRateHelperEarliestDate(M10,Trigger),"--")</f>
        <v>--</v>
      </c>
      <c r="T10" s="208" t="str">
        <f>IFERROR(_xll.qlRateHelperPillarDate(M10,Trigger),"--")</f>
        <v>--</v>
      </c>
      <c r="V10" s="12" t="str">
        <f>IFERROR(INDEX($L$3:$L$88,MATCH(X10,$N$3:$N$88,1),1),NA())</f>
        <v>Sw</v>
      </c>
      <c r="W10" s="12" t="str">
        <v>obj_00423</v>
      </c>
      <c r="X10" s="12" t="str">
        <f>_xll.qlRateHelperQuoteName(W10,Trigger)</f>
        <v>USDFUT3MM6_Quote</v>
      </c>
      <c r="Y10" s="106">
        <f>_xll.qlRateHelperRate(W10,Trigger)</f>
        <v>9.6150869816306918E-3</v>
      </c>
      <c r="Z10" s="176">
        <f>IF(ISERROR(_xll.qlSwapRateHelperSpread($W10)),IF(ISERROR(_xll.qlFuturesRateHelperConvexityAdjustment($W10)),"--",_xll.qlFuturesRateHelperConvexityAdjustment($W10)),_xll.qlSwapRateHelperSpread($W10))</f>
        <v>5.991301836929764E-5</v>
      </c>
      <c r="AA10" s="13">
        <f>_xll.qlRateHelperEarliestDate(W10,Trigger)</f>
        <v>42536</v>
      </c>
      <c r="AB10" s="13">
        <f>_xll.qlRateHelperPillarDate(W10,Trigger)</f>
        <v>42628</v>
      </c>
      <c r="AC10" s="144">
        <v>0.99267306605395356</v>
      </c>
    </row>
    <row r="11" spans="1:32" ht="11.25" customHeight="1" x14ac:dyDescent="0.2">
      <c r="A11" s="97" t="s">
        <v>18</v>
      </c>
      <c r="B11" s="97" t="s">
        <v>151</v>
      </c>
      <c r="C11" s="97" t="s">
        <v>152</v>
      </c>
      <c r="D11" s="97"/>
      <c r="E11" s="97"/>
      <c r="F11" s="97"/>
      <c r="G11" s="97" t="s">
        <v>9</v>
      </c>
      <c r="H11" s="97" t="s">
        <v>5</v>
      </c>
      <c r="I11" s="97"/>
      <c r="J11" s="97" t="s">
        <v>36</v>
      </c>
      <c r="K11" s="66"/>
      <c r="L11" s="21" t="str">
        <f t="shared" ref="L11:L24" si="3">A13</f>
        <v>FRA</v>
      </c>
      <c r="M11" s="166" t="str">
        <f t="shared" ref="M11:M21" si="4">IF(ISBLANK(J13),"--",J13)</f>
        <v>--</v>
      </c>
      <c r="N11" s="220" t="str">
        <f>IFERROR(_xll.qlRateHelperQuoteName(M11,Trigger),"--")</f>
        <v>--</v>
      </c>
      <c r="O11" s="170" t="str">
        <f>IFERROR(_xll.qlRateHelperQuoteValue($M11,Trigger),"--")</f>
        <v>--</v>
      </c>
      <c r="P11" s="169" t="b">
        <v>0</v>
      </c>
      <c r="Q11" s="166">
        <v>20</v>
      </c>
      <c r="R11" s="166">
        <v>1</v>
      </c>
      <c r="S11" s="171" t="str">
        <f>IFERROR(_xll.qlRateHelperEarliestDate(M11,Trigger),"--")</f>
        <v>--</v>
      </c>
      <c r="T11" s="171" t="str">
        <f>IFERROR(_xll.qlRateHelperPillarDate(M11,Trigger),"--")</f>
        <v>--</v>
      </c>
      <c r="V11" s="12" t="str">
        <f>IFERROR(INDEX($L$3:$L$88,MATCH(X11,$N$3:$N$88,1),1),NA())</f>
        <v>Sw</v>
      </c>
      <c r="W11" s="12" t="str">
        <v>obj_00421</v>
      </c>
      <c r="X11" s="12" t="str">
        <f>_xll.qlRateHelperQuoteName(W11,Trigger)</f>
        <v>USDFUT3MU6_Quote</v>
      </c>
      <c r="Y11" s="106">
        <f>_xll.qlRateHelperRate(W11,Trigger)</f>
        <v>1.1935664183932061E-2</v>
      </c>
      <c r="Z11" s="176">
        <f>IF(ISERROR(_xll.qlSwapRateHelperSpread($W11)),IF(ISERROR(_xll.qlFuturesRateHelperConvexityAdjustment($W11)),"--",_xll.qlFuturesRateHelperConvexityAdjustment($W11)),_xll.qlSwapRateHelperSpread($W11))</f>
        <v>8.9335816067890737E-5</v>
      </c>
      <c r="AA11" s="13">
        <f>_xll.qlRateHelperEarliestDate(W11,Trigger)</f>
        <v>42634</v>
      </c>
      <c r="AB11" s="13">
        <f>_xll.qlRateHelperPillarDate(W11,Trigger)</f>
        <v>42725</v>
      </c>
      <c r="AC11" s="144">
        <v>0.9895099170379863</v>
      </c>
    </row>
    <row r="12" spans="1:32" ht="11.25" customHeight="1" x14ac:dyDescent="0.2">
      <c r="A12" s="81" t="s">
        <v>153</v>
      </c>
      <c r="B12" s="187">
        <v>1</v>
      </c>
      <c r="C12" s="85" t="str">
        <f>"x"&amp;B12+SUBSTITUTE($G$1,"M","")&amp;"F"</f>
        <v>x4F</v>
      </c>
      <c r="D12" s="197"/>
      <c r="E12" s="197"/>
      <c r="F12" s="197"/>
      <c r="G12" s="83" t="str">
        <f>PROPER(Currency)&amp;FamilyName&amp;$G$1</f>
        <v>UsdLibor3M</v>
      </c>
      <c r="H12" s="190" t="str">
        <f>Currency&amp;B12&amp;C12&amp;QuoteSuffix</f>
        <v>USD1x4F_Quote</v>
      </c>
      <c r="I12" s="197"/>
      <c r="J12" s="88" t="s">
        <v>179</v>
      </c>
      <c r="K12" s="66" t="s">
        <v>66</v>
      </c>
      <c r="L12" s="21" t="str">
        <f t="shared" si="3"/>
        <v>FRA</v>
      </c>
      <c r="M12" s="166" t="str">
        <f t="shared" si="4"/>
        <v>--</v>
      </c>
      <c r="N12" s="220" t="str">
        <f>IFERROR(_xll.qlRateHelperQuoteName(M12,Trigger),"--")</f>
        <v>--</v>
      </c>
      <c r="O12" s="170" t="str">
        <f>IFERROR(_xll.qlRateHelperQuoteValue($M12,Trigger),"--")</f>
        <v>--</v>
      </c>
      <c r="P12" s="169" t="b">
        <v>0</v>
      </c>
      <c r="Q12" s="166">
        <v>20</v>
      </c>
      <c r="R12" s="166">
        <v>1</v>
      </c>
      <c r="S12" s="171" t="str">
        <f>IFERROR(_xll.qlRateHelperEarliestDate(M12,Trigger),"--")</f>
        <v>--</v>
      </c>
      <c r="T12" s="171" t="str">
        <f>IFERROR(_xll.qlRateHelperPillarDate(M12,Trigger),"--")</f>
        <v>--</v>
      </c>
      <c r="V12" s="12" t="str">
        <f>IFERROR(INDEX($L$3:$L$88,MATCH(X12,$N$3:$N$88,1),1),NA())</f>
        <v>Sw</v>
      </c>
      <c r="W12" s="12" t="str">
        <v>obj_0042f</v>
      </c>
      <c r="X12" s="12" t="str">
        <f>_xll.qlRateHelperQuoteName(W12,Trigger)</f>
        <v>USDFUT3MZ6_Quote</v>
      </c>
      <c r="Y12" s="106">
        <f>_xll.qlRateHelperRate(W12,Trigger)</f>
        <v>1.4203577856929892E-2</v>
      </c>
      <c r="Z12" s="176">
        <f>IF(ISERROR(_xll.qlSwapRateHelperSpread($W12)),IF(ISERROR(_xll.qlFuturesRateHelperConvexityAdjustment($W12)),"--",_xll.qlFuturesRateHelperConvexityAdjustment($W12)),_xll.qlSwapRateHelperSpread($W12))</f>
        <v>1.2142214307014105E-4</v>
      </c>
      <c r="AA12" s="13">
        <f>_xll.qlRateHelperEarliestDate(W12,Trigger)</f>
        <v>42725</v>
      </c>
      <c r="AB12" s="13">
        <f>_xll.qlRateHelperPillarDate(W12,Trigger)</f>
        <v>42815</v>
      </c>
      <c r="AC12" s="144">
        <v>0.98600870418859787</v>
      </c>
    </row>
    <row r="13" spans="1:32" ht="11.25" customHeight="1" x14ac:dyDescent="0.2">
      <c r="A13" s="89" t="s">
        <v>153</v>
      </c>
      <c r="B13" s="188">
        <v>2</v>
      </c>
      <c r="C13" s="93" t="str">
        <f>"x"&amp;B13+SUBSTITUTE($G$1,"M","")&amp;"F"</f>
        <v>x5F</v>
      </c>
      <c r="D13" s="197"/>
      <c r="E13" s="197"/>
      <c r="F13" s="197"/>
      <c r="G13" s="91" t="str">
        <f>PROPER(Currency)&amp;FamilyName&amp;$G$1</f>
        <v>UsdLibor3M</v>
      </c>
      <c r="H13" s="191" t="str">
        <f>Currency&amp;B13&amp;C13&amp;QuoteSuffix</f>
        <v>USD2x5F_Quote</v>
      </c>
      <c r="I13" s="197"/>
      <c r="J13" s="96"/>
      <c r="K13" s="66"/>
      <c r="L13" s="21" t="str">
        <f t="shared" si="3"/>
        <v>FRA</v>
      </c>
      <c r="M13" s="166" t="str">
        <f t="shared" si="4"/>
        <v>--</v>
      </c>
      <c r="N13" s="220" t="str">
        <f>IFERROR(_xll.qlRateHelperQuoteName(M13,Trigger),"--")</f>
        <v>--</v>
      </c>
      <c r="O13" s="170" t="str">
        <f>IFERROR(_xll.qlRateHelperQuoteValue($M13,Trigger),"--")</f>
        <v>--</v>
      </c>
      <c r="P13" s="169" t="b">
        <v>0</v>
      </c>
      <c r="Q13" s="166">
        <v>20</v>
      </c>
      <c r="R13" s="166">
        <v>1</v>
      </c>
      <c r="S13" s="171" t="str">
        <f>IFERROR(_xll.qlRateHelperEarliestDate(M13,Trigger),"--")</f>
        <v>--</v>
      </c>
      <c r="T13" s="171" t="str">
        <f>IFERROR(_xll.qlRateHelperPillarDate(M13,Trigger),"--")</f>
        <v>--</v>
      </c>
      <c r="V13" s="12" t="str">
        <f>IFERROR(INDEX($L$3:$L$88,MATCH(X13,$N$3:$N$88,1),1),NA())</f>
        <v>Sw</v>
      </c>
      <c r="W13" s="12" t="str">
        <v>obj_00418</v>
      </c>
      <c r="X13" s="12" t="str">
        <f>_xll.qlRateHelperQuoteName(W13,Trigger)</f>
        <v>USDFUT3MH7_Quote</v>
      </c>
      <c r="Y13" s="106">
        <f>_xll.qlRateHelperRate(W13,Trigger)</f>
        <v>1.6118853373641422E-2</v>
      </c>
      <c r="Z13" s="176">
        <f>IF(ISERROR(_xll.qlSwapRateHelperSpread($W13)),IF(ISERROR(_xll.qlFuturesRateHelperConvexityAdjustment($W13)),"--",_xll.qlFuturesRateHelperConvexityAdjustment($W13)),_xll.qlSwapRateHelperSpread($W13))</f>
        <v>1.561466263585048E-4</v>
      </c>
      <c r="AA13" s="13">
        <f>_xll.qlRateHelperEarliestDate(W13,Trigger)</f>
        <v>42809</v>
      </c>
      <c r="AB13" s="13">
        <f>_xll.qlRateHelperPillarDate(W13,Trigger)</f>
        <v>42901</v>
      </c>
      <c r="AC13" s="144">
        <v>0.98221196542531075</v>
      </c>
    </row>
    <row r="14" spans="1:32" ht="11.25" customHeight="1" x14ac:dyDescent="0.2">
      <c r="A14" s="89" t="s">
        <v>153</v>
      </c>
      <c r="B14" s="188">
        <v>3</v>
      </c>
      <c r="C14" s="93" t="str">
        <f>"x"&amp;B14+SUBSTITUTE($G$1,"M","")&amp;"F"</f>
        <v>x6F</v>
      </c>
      <c r="D14" s="197"/>
      <c r="E14" s="197"/>
      <c r="F14" s="197"/>
      <c r="G14" s="91" t="str">
        <f>PROPER(Currency)&amp;FamilyName&amp;$G$1</f>
        <v>UsdLibor3M</v>
      </c>
      <c r="H14" s="191" t="str">
        <f>Currency&amp;B14&amp;C14&amp;QuoteSuffix</f>
        <v>USD3x6F_Quote</v>
      </c>
      <c r="I14" s="197"/>
      <c r="J14" s="96"/>
      <c r="K14" s="66"/>
      <c r="L14" s="21" t="str">
        <f t="shared" si="3"/>
        <v>FRA</v>
      </c>
      <c r="M14" s="166" t="str">
        <f t="shared" si="4"/>
        <v>--</v>
      </c>
      <c r="N14" s="220" t="str">
        <f>IFERROR(_xll.qlRateHelperQuoteName(M14,Trigger),"--")</f>
        <v>--</v>
      </c>
      <c r="O14" s="170" t="str">
        <f>IFERROR(_xll.qlRateHelperQuoteValue($M14,Trigger),"--")</f>
        <v>--</v>
      </c>
      <c r="P14" s="169" t="b">
        <v>0</v>
      </c>
      <c r="Q14" s="166">
        <v>20</v>
      </c>
      <c r="R14" s="166">
        <v>1</v>
      </c>
      <c r="S14" s="171" t="str">
        <f>IFERROR(_xll.qlRateHelperEarliestDate(M14,Trigger),"--")</f>
        <v>--</v>
      </c>
      <c r="T14" s="171" t="str">
        <f>IFERROR(_xll.qlRateHelperPillarDate(M14,Trigger),"--")</f>
        <v>--</v>
      </c>
      <c r="V14" s="12" t="str">
        <f>IFERROR(INDEX($L$3:$L$88,MATCH(X14,$N$3:$N$88,1),1),NA())</f>
        <v>Sw</v>
      </c>
      <c r="W14" s="12" t="str">
        <v>obj_00426</v>
      </c>
      <c r="X14" s="12" t="str">
        <f>_xll.qlRateHelperQuoteName(W14,Trigger)</f>
        <v>USDFUT3MM7_Quote</v>
      </c>
      <c r="Y14" s="106">
        <f>_xll.qlRateHelperRate(W14,Trigger)</f>
        <v>1.7974283478003342E-2</v>
      </c>
      <c r="Z14" s="176">
        <f>IF(ISERROR(_xll.qlSwapRateHelperSpread($W14)),IF(ISERROR(_xll.qlFuturesRateHelperConvexityAdjustment($W14)),"--",_xll.qlFuturesRateHelperConvexityAdjustment($W14)),_xll.qlSwapRateHelperSpread($W14))</f>
        <v>2.0071652199659906E-4</v>
      </c>
      <c r="AA14" s="13">
        <f>_xll.qlRateHelperEarliestDate(W14,Trigger)</f>
        <v>42907</v>
      </c>
      <c r="AB14" s="13">
        <f>_xll.qlRateHelperPillarDate(W14,Trigger)</f>
        <v>42999</v>
      </c>
      <c r="AC14" s="144">
        <v>0.97744230343572425</v>
      </c>
    </row>
    <row r="15" spans="1:32" ht="11.25" customHeight="1" x14ac:dyDescent="0.2">
      <c r="A15" s="89" t="s">
        <v>153</v>
      </c>
      <c r="B15" s="188">
        <v>4</v>
      </c>
      <c r="C15" s="93" t="str">
        <f>"x"&amp;B15+SUBSTITUTE($G$1,"M","")&amp;"F"</f>
        <v>x7F</v>
      </c>
      <c r="D15" s="197"/>
      <c r="E15" s="197"/>
      <c r="F15" s="197"/>
      <c r="G15" s="91" t="str">
        <f>PROPER(Currency)&amp;FamilyName&amp;$G$1</f>
        <v>UsdLibor3M</v>
      </c>
      <c r="H15" s="191" t="str">
        <f>Currency&amp;B15&amp;C15&amp;QuoteSuffix</f>
        <v>USD4x7F_Quote</v>
      </c>
      <c r="I15" s="197"/>
      <c r="J15" s="96"/>
      <c r="K15" s="66"/>
      <c r="L15" s="21" t="str">
        <f t="shared" si="3"/>
        <v>FRA</v>
      </c>
      <c r="M15" s="166" t="str">
        <f t="shared" si="4"/>
        <v>--</v>
      </c>
      <c r="N15" s="220" t="str">
        <f>IFERROR(_xll.qlRateHelperQuoteName(M15,Trigger),"--")</f>
        <v>--</v>
      </c>
      <c r="O15" s="170" t="str">
        <f>IFERROR(_xll.qlRateHelperQuoteValue($M15,Trigger),"--")</f>
        <v>--</v>
      </c>
      <c r="P15" s="169" t="b">
        <v>0</v>
      </c>
      <c r="Q15" s="166">
        <v>20</v>
      </c>
      <c r="R15" s="166">
        <v>1</v>
      </c>
      <c r="S15" s="171" t="str">
        <f>IFERROR(_xll.qlRateHelperEarliestDate(M15,Trigger),"--")</f>
        <v>--</v>
      </c>
      <c r="T15" s="171" t="str">
        <f>IFERROR(_xll.qlRateHelperPillarDate(M15,Trigger),"--")</f>
        <v>--</v>
      </c>
      <c r="V15" s="12" t="str">
        <f>IFERROR(INDEX($L$3:$L$88,MATCH(X15,$N$3:$N$88,1),1),NA())</f>
        <v>Sw</v>
      </c>
      <c r="W15" s="12" t="str">
        <v>obj_003ed</v>
      </c>
      <c r="X15" s="12" t="str">
        <f>_xll.qlRateHelperQuoteName(W15,Trigger)</f>
        <v>USDAM3L3Y_Quote</v>
      </c>
      <c r="Y15" s="106">
        <f>_xll.qlRateHelperRate(W15,Trigger)</f>
        <v>1.2749999999999999E-2</v>
      </c>
      <c r="Z15" s="176">
        <f>IF(ISERROR(_xll.qlSwapRateHelperSpread($W15)),IF(ISERROR(_xll.qlFuturesRateHelperConvexityAdjustment($W15)),"--",_xll.qlFuturesRateHelperConvexityAdjustment($W15)),_xll.qlSwapRateHelperSpread($W15))</f>
        <v>0</v>
      </c>
      <c r="AA15" s="13">
        <f>_xll.qlRateHelperEarliestDate(W15,Trigger)</f>
        <v>42184</v>
      </c>
      <c r="AB15" s="13">
        <f>_xll.qlRateHelperPillarDate(W15,Trigger)</f>
        <v>43280</v>
      </c>
      <c r="AC15" s="144">
        <v>0.96198700918069979</v>
      </c>
    </row>
    <row r="16" spans="1:32" ht="11.25" customHeight="1" x14ac:dyDescent="0.2">
      <c r="A16" s="89" t="s">
        <v>153</v>
      </c>
      <c r="B16" s="188">
        <v>5</v>
      </c>
      <c r="C16" s="93" t="str">
        <f>"x"&amp;B16+SUBSTITUTE($G$1,"M","")&amp;"F"</f>
        <v>x8F</v>
      </c>
      <c r="D16" s="197"/>
      <c r="E16" s="197"/>
      <c r="F16" s="197"/>
      <c r="G16" s="91" t="str">
        <f>PROPER(Currency)&amp;FamilyName&amp;$G$1</f>
        <v>UsdLibor3M</v>
      </c>
      <c r="H16" s="191" t="str">
        <f>Currency&amp;B16&amp;C16&amp;QuoteSuffix</f>
        <v>USD5x8F_Quote</v>
      </c>
      <c r="I16" s="197"/>
      <c r="J16" s="96"/>
      <c r="K16" s="66"/>
      <c r="L16" s="21" t="str">
        <f t="shared" si="3"/>
        <v>FRA</v>
      </c>
      <c r="M16" s="166" t="str">
        <f t="shared" si="4"/>
        <v>--</v>
      </c>
      <c r="N16" s="220" t="str">
        <f>IFERROR(_xll.qlRateHelperQuoteName(M16,Trigger),"--")</f>
        <v>--</v>
      </c>
      <c r="O16" s="170" t="str">
        <f>IFERROR(_xll.qlRateHelperQuoteValue($M16,Trigger),"--")</f>
        <v>--</v>
      </c>
      <c r="P16" s="169" t="b">
        <v>0</v>
      </c>
      <c r="Q16" s="166">
        <v>20</v>
      </c>
      <c r="R16" s="166">
        <v>1</v>
      </c>
      <c r="S16" s="171" t="str">
        <f>IFERROR(_xll.qlRateHelperEarliestDate(M16,Trigger),"--")</f>
        <v>--</v>
      </c>
      <c r="T16" s="171" t="str">
        <f>IFERROR(_xll.qlRateHelperPillarDate(M16,Trigger),"--")</f>
        <v>--</v>
      </c>
      <c r="V16" s="12" t="str">
        <f>IFERROR(INDEX($L$3:$L$88,MATCH(X16,$N$3:$N$88,1),1),NA())</f>
        <v>Sw</v>
      </c>
      <c r="W16" s="12" t="str">
        <v>obj_003f9</v>
      </c>
      <c r="X16" s="12" t="str">
        <f>_xll.qlRateHelperQuoteName(W16,Trigger)</f>
        <v>USDAM3L4Y_Quote</v>
      </c>
      <c r="Y16" s="106">
        <f>_xll.qlRateHelperRate(W16,Trigger)</f>
        <v>1.5740000000000001E-2</v>
      </c>
      <c r="Z16" s="176">
        <f>IF(ISERROR(_xll.qlSwapRateHelperSpread($W16)),IF(ISERROR(_xll.qlFuturesRateHelperConvexityAdjustment($W16)),"--",_xll.qlFuturesRateHelperConvexityAdjustment($W16)),_xll.qlSwapRateHelperSpread($W16))</f>
        <v>0</v>
      </c>
      <c r="AA16" s="13">
        <f>_xll.qlRateHelperEarliestDate(W16,Trigger)</f>
        <v>42184</v>
      </c>
      <c r="AB16" s="13">
        <f>_xll.qlRateHelperPillarDate(W16,Trigger)</f>
        <v>43644</v>
      </c>
      <c r="AC16" s="144">
        <v>0.93816137759375096</v>
      </c>
    </row>
    <row r="17" spans="1:29" ht="11.25" customHeight="1" x14ac:dyDescent="0.2">
      <c r="A17" s="89" t="s">
        <v>153</v>
      </c>
      <c r="B17" s="188">
        <v>6</v>
      </c>
      <c r="C17" s="93" t="str">
        <f>"x"&amp;B17+SUBSTITUTE($G$1,"M","")&amp;"F"</f>
        <v>x9F</v>
      </c>
      <c r="D17" s="197"/>
      <c r="E17" s="197"/>
      <c r="F17" s="197"/>
      <c r="G17" s="91" t="str">
        <f>PROPER(Currency)&amp;FamilyName&amp;$G$1</f>
        <v>UsdLibor3M</v>
      </c>
      <c r="H17" s="191" t="str">
        <f>Currency&amp;B17&amp;C17&amp;QuoteSuffix</f>
        <v>USD6x9F_Quote</v>
      </c>
      <c r="I17" s="197"/>
      <c r="J17" s="96"/>
      <c r="K17" s="66"/>
      <c r="L17" s="21" t="str">
        <f t="shared" si="3"/>
        <v>FRA</v>
      </c>
      <c r="M17" s="166" t="str">
        <f t="shared" si="4"/>
        <v>--</v>
      </c>
      <c r="N17" s="220" t="str">
        <f>IFERROR(_xll.qlRateHelperQuoteName(M17,Trigger),"--")</f>
        <v>--</v>
      </c>
      <c r="O17" s="170" t="str">
        <f>IFERROR(_xll.qlRateHelperQuoteValue($M17,Trigger),"--")</f>
        <v>--</v>
      </c>
      <c r="P17" s="169" t="b">
        <v>0</v>
      </c>
      <c r="Q17" s="166">
        <v>20</v>
      </c>
      <c r="R17" s="166">
        <v>1</v>
      </c>
      <c r="S17" s="171" t="str">
        <f>IFERROR(_xll.qlRateHelperEarliestDate(M17,Trigger),"--")</f>
        <v>--</v>
      </c>
      <c r="T17" s="171" t="str">
        <f>IFERROR(_xll.qlRateHelperPillarDate(M17,Trigger),"--")</f>
        <v>--</v>
      </c>
      <c r="V17" s="12" t="str">
        <f>IFERROR(INDEX($L$3:$L$88,MATCH(X17,$N$3:$N$88,1),1),NA())</f>
        <v>Sw</v>
      </c>
      <c r="W17" s="12" t="str">
        <v>obj_003e8</v>
      </c>
      <c r="X17" s="12" t="str">
        <f>_xll.qlRateHelperQuoteName(W17,Trigger)</f>
        <v>USDAM3L5Y_Quote</v>
      </c>
      <c r="Y17" s="106">
        <f>_xll.qlRateHelperRate(W17,Trigger)</f>
        <v>1.8189999999999998E-2</v>
      </c>
      <c r="Z17" s="176">
        <f>IF(ISERROR(_xll.qlSwapRateHelperSpread($W17)),IF(ISERROR(_xll.qlFuturesRateHelperConvexityAdjustment($W17)),"--",_xll.qlFuturesRateHelperConvexityAdjustment($W17)),_xll.qlSwapRateHelperSpread($W17))</f>
        <v>0</v>
      </c>
      <c r="AA17" s="13">
        <f>_xll.qlRateHelperEarliestDate(W17,Trigger)</f>
        <v>42184</v>
      </c>
      <c r="AB17" s="13">
        <f>_xll.qlRateHelperPillarDate(W17,Trigger)</f>
        <v>44011</v>
      </c>
      <c r="AC17" s="144">
        <v>0.91166108841620397</v>
      </c>
    </row>
    <row r="18" spans="1:29" ht="11.25" customHeight="1" x14ac:dyDescent="0.2">
      <c r="A18" s="89" t="s">
        <v>153</v>
      </c>
      <c r="B18" s="188">
        <v>7</v>
      </c>
      <c r="C18" s="93" t="str">
        <f>"x"&amp;B18+SUBSTITUTE($G$1,"M","")&amp;"F"</f>
        <v>x10F</v>
      </c>
      <c r="D18" s="197"/>
      <c r="E18" s="197"/>
      <c r="F18" s="197"/>
      <c r="G18" s="91" t="str">
        <f>PROPER(Currency)&amp;FamilyName&amp;$G$1</f>
        <v>UsdLibor3M</v>
      </c>
      <c r="H18" s="191" t="str">
        <f>Currency&amp;B18&amp;C18&amp;QuoteSuffix</f>
        <v>USD7x10F_Quote</v>
      </c>
      <c r="I18" s="197"/>
      <c r="J18" s="96"/>
      <c r="K18" s="66"/>
      <c r="L18" s="21" t="str">
        <f t="shared" si="3"/>
        <v>FRA</v>
      </c>
      <c r="M18" s="166" t="str">
        <f t="shared" si="4"/>
        <v>--</v>
      </c>
      <c r="N18" s="220" t="str">
        <f>IFERROR(_xll.qlRateHelperQuoteName(M18,Trigger),"--")</f>
        <v>--</v>
      </c>
      <c r="O18" s="170" t="str">
        <f>IFERROR(_xll.qlRateHelperQuoteValue($M18,Trigger),"--")</f>
        <v>--</v>
      </c>
      <c r="P18" s="169" t="b">
        <v>0</v>
      </c>
      <c r="Q18" s="166">
        <v>20</v>
      </c>
      <c r="R18" s="166">
        <v>1</v>
      </c>
      <c r="S18" s="171" t="str">
        <f>IFERROR(_xll.qlRateHelperEarliestDate(M18,Trigger),"--")</f>
        <v>--</v>
      </c>
      <c r="T18" s="171" t="str">
        <f>IFERROR(_xll.qlRateHelperPillarDate(M18,Trigger),"--")</f>
        <v>--</v>
      </c>
      <c r="V18" s="12" t="str">
        <f>IFERROR(INDEX($L$3:$L$88,MATCH(X18,$N$3:$N$88,1),1),NA())</f>
        <v>Sw</v>
      </c>
      <c r="W18" s="12" t="str">
        <v>obj_003e4</v>
      </c>
      <c r="X18" s="12" t="str">
        <f>_xll.qlRateHelperQuoteName(W18,Trigger)</f>
        <v>USDAM3L6Y_Quote</v>
      </c>
      <c r="Y18" s="106">
        <f>_xll.qlRateHelperRate(W18,Trigger)</f>
        <v>2.0160000000000001E-2</v>
      </c>
      <c r="Z18" s="176">
        <f>IF(ISERROR(_xll.qlSwapRateHelperSpread($W18)),IF(ISERROR(_xll.qlFuturesRateHelperConvexityAdjustment($W18)),"--",_xll.qlFuturesRateHelperConvexityAdjustment($W18)),_xll.qlSwapRateHelperSpread($W18))</f>
        <v>0</v>
      </c>
      <c r="AA18" s="13">
        <f>_xll.qlRateHelperEarliestDate(W18,Trigger)</f>
        <v>42184</v>
      </c>
      <c r="AB18" s="13">
        <f>_xll.qlRateHelperPillarDate(W18,Trigger)</f>
        <v>44376</v>
      </c>
      <c r="AC18" s="144">
        <v>0.88405935620493437</v>
      </c>
    </row>
    <row r="19" spans="1:29" ht="11.25" customHeight="1" x14ac:dyDescent="0.2">
      <c r="A19" s="89" t="s">
        <v>153</v>
      </c>
      <c r="B19" s="188">
        <v>8</v>
      </c>
      <c r="C19" s="93" t="str">
        <f>"x"&amp;B19+SUBSTITUTE($G$1,"M","")&amp;"F"</f>
        <v>x11F</v>
      </c>
      <c r="D19" s="197"/>
      <c r="E19" s="197"/>
      <c r="F19" s="197"/>
      <c r="G19" s="91" t="str">
        <f>PROPER(Currency)&amp;FamilyName&amp;$G$1</f>
        <v>UsdLibor3M</v>
      </c>
      <c r="H19" s="191" t="str">
        <f>Currency&amp;B19&amp;C19&amp;QuoteSuffix</f>
        <v>USD8x11F_Quote</v>
      </c>
      <c r="I19" s="197"/>
      <c r="J19" s="96"/>
      <c r="K19" s="66"/>
      <c r="L19" s="21" t="str">
        <f t="shared" si="3"/>
        <v>FRA</v>
      </c>
      <c r="M19" s="166" t="str">
        <f t="shared" si="4"/>
        <v>--</v>
      </c>
      <c r="N19" s="220" t="str">
        <f>IFERROR(_xll.qlRateHelperQuoteName(M19,Trigger),"--")</f>
        <v>--</v>
      </c>
      <c r="O19" s="170" t="str">
        <f>IFERROR(_xll.qlRateHelperQuoteValue($M19,Trigger),"--")</f>
        <v>--</v>
      </c>
      <c r="P19" s="169" t="b">
        <v>0</v>
      </c>
      <c r="Q19" s="166">
        <v>20</v>
      </c>
      <c r="R19" s="166">
        <v>1</v>
      </c>
      <c r="S19" s="171" t="str">
        <f>IFERROR(_xll.qlRateHelperEarliestDate(M19,Trigger),"--")</f>
        <v>--</v>
      </c>
      <c r="T19" s="171" t="str">
        <f>IFERROR(_xll.qlRateHelperPillarDate(M19,Trigger),"--")</f>
        <v>--</v>
      </c>
      <c r="V19" s="12" t="str">
        <f>IFERROR(INDEX($L$3:$L$88,MATCH(X19,$N$3:$N$88,1),1),NA())</f>
        <v>Sw</v>
      </c>
      <c r="W19" s="12" t="str">
        <v>obj_003ec</v>
      </c>
      <c r="X19" s="12" t="str">
        <f>_xll.qlRateHelperQuoteName(W19,Trigger)</f>
        <v>USDAM3L7Y_Quote</v>
      </c>
      <c r="Y19" s="106">
        <f>_xll.qlRateHelperRate(W19,Trigger)</f>
        <v>2.1720000000000003E-2</v>
      </c>
      <c r="Z19" s="176">
        <f>IF(ISERROR(_xll.qlSwapRateHelperSpread($W19)),IF(ISERROR(_xll.qlFuturesRateHelperConvexityAdjustment($W19)),"--",_xll.qlFuturesRateHelperConvexityAdjustment($W19)),_xll.qlSwapRateHelperSpread($W19))</f>
        <v>0</v>
      </c>
      <c r="AA19" s="13">
        <f>_xll.qlRateHelperEarliestDate(W19,Trigger)</f>
        <v>42184</v>
      </c>
      <c r="AB19" s="13">
        <f>_xll.qlRateHelperPillarDate(W19,Trigger)</f>
        <v>44741</v>
      </c>
      <c r="AC19" s="144">
        <v>0.85626988949042926</v>
      </c>
    </row>
    <row r="20" spans="1:29" ht="11.25" customHeight="1" x14ac:dyDescent="0.2">
      <c r="A20" s="89" t="s">
        <v>153</v>
      </c>
      <c r="B20" s="188">
        <v>9</v>
      </c>
      <c r="C20" s="93" t="str">
        <f>"x"&amp;B20+SUBSTITUTE($G$1,"M","")&amp;"F"</f>
        <v>x12F</v>
      </c>
      <c r="D20" s="197"/>
      <c r="E20" s="197"/>
      <c r="F20" s="197"/>
      <c r="G20" s="91" t="str">
        <f>PROPER(Currency)&amp;FamilyName&amp;$G$1</f>
        <v>UsdLibor3M</v>
      </c>
      <c r="H20" s="191" t="str">
        <f>Currency&amp;B20&amp;C20&amp;QuoteSuffix</f>
        <v>USD9x12F_Quote</v>
      </c>
      <c r="I20" s="197"/>
      <c r="J20" s="96"/>
      <c r="K20" s="66"/>
      <c r="L20" s="21" t="str">
        <f t="shared" si="3"/>
        <v>FRA</v>
      </c>
      <c r="M20" s="166" t="str">
        <f t="shared" si="4"/>
        <v>--</v>
      </c>
      <c r="N20" s="220" t="str">
        <f>IFERROR(_xll.qlRateHelperQuoteName(M20,Trigger),"--")</f>
        <v>--</v>
      </c>
      <c r="O20" s="170" t="str">
        <f>IFERROR(_xll.qlRateHelperQuoteValue($M20,Trigger),"--")</f>
        <v>--</v>
      </c>
      <c r="P20" s="169" t="b">
        <v>0</v>
      </c>
      <c r="Q20" s="166">
        <v>20</v>
      </c>
      <c r="R20" s="166">
        <v>1</v>
      </c>
      <c r="S20" s="171" t="str">
        <f>IFERROR(_xll.qlRateHelperEarliestDate(M20,Trigger),"--")</f>
        <v>--</v>
      </c>
      <c r="T20" s="171" t="str">
        <f>IFERROR(_xll.qlRateHelperPillarDate(M20,Trigger),"--")</f>
        <v>--</v>
      </c>
      <c r="V20" s="12" t="str">
        <f>IFERROR(INDEX($L$3:$L$88,MATCH(X20,$N$3:$N$88,1),1),NA())</f>
        <v>Sw</v>
      </c>
      <c r="W20" s="12" t="str">
        <v>obj_003fc</v>
      </c>
      <c r="X20" s="12" t="str">
        <f>_xll.qlRateHelperQuoteName(W20,Trigger)</f>
        <v>USDAM3L8Y_Quote</v>
      </c>
      <c r="Y20" s="106">
        <f>_xll.qlRateHelperRate(W20,Trigger)</f>
        <v>2.2959999999999998E-2</v>
      </c>
      <c r="Z20" s="176">
        <f>IF(ISERROR(_xll.qlSwapRateHelperSpread($W20)),IF(ISERROR(_xll.qlFuturesRateHelperConvexityAdjustment($W20)),"--",_xll.qlFuturesRateHelperConvexityAdjustment($W20)),_xll.qlSwapRateHelperSpread($W20))</f>
        <v>0</v>
      </c>
      <c r="AA20" s="13">
        <f>_xll.qlRateHelperEarliestDate(W20,Trigger)</f>
        <v>42184</v>
      </c>
      <c r="AB20" s="13">
        <f>_xll.qlRateHelperPillarDate(W20,Trigger)</f>
        <v>45106</v>
      </c>
      <c r="AC20" s="144">
        <v>0.82881317707220836</v>
      </c>
    </row>
    <row r="21" spans="1:29" ht="11.25" customHeight="1" x14ac:dyDescent="0.2">
      <c r="A21" s="89" t="s">
        <v>153</v>
      </c>
      <c r="B21" s="188">
        <v>10</v>
      </c>
      <c r="C21" s="93" t="str">
        <f>"x"&amp;B21+SUBSTITUTE($G$1,"M","")&amp;"F"</f>
        <v>x13F</v>
      </c>
      <c r="D21" s="197"/>
      <c r="E21" s="197"/>
      <c r="F21" s="197"/>
      <c r="G21" s="91" t="str">
        <f>PROPER(Currency)&amp;FamilyName&amp;$G$1</f>
        <v>UsdLibor3M</v>
      </c>
      <c r="H21" s="191" t="str">
        <f>Currency&amp;B21&amp;C21&amp;QuoteSuffix</f>
        <v>USD10x13F_Quote</v>
      </c>
      <c r="I21" s="197"/>
      <c r="J21" s="96"/>
      <c r="K21" s="66"/>
      <c r="L21" s="22" t="str">
        <f t="shared" si="3"/>
        <v>FRA</v>
      </c>
      <c r="M21" s="167" t="str">
        <f t="shared" si="4"/>
        <v>--</v>
      </c>
      <c r="N21" s="221" t="str">
        <f>IFERROR(_xll.qlRateHelperQuoteName(M21,Trigger),"--")</f>
        <v>--</v>
      </c>
      <c r="O21" s="173" t="str">
        <f>IFERROR(_xll.qlRateHelperQuoteValue($M21,Trigger),"--")</f>
        <v>--</v>
      </c>
      <c r="P21" s="172" t="b">
        <v>0</v>
      </c>
      <c r="Q21" s="167">
        <v>20</v>
      </c>
      <c r="R21" s="167">
        <v>1</v>
      </c>
      <c r="S21" s="174" t="str">
        <f>IFERROR(_xll.qlRateHelperEarliestDate(M21,Trigger),"--")</f>
        <v>--</v>
      </c>
      <c r="T21" s="174" t="str">
        <f>IFERROR(_xll.qlRateHelperPillarDate(M21,Trigger),"--")</f>
        <v>--</v>
      </c>
      <c r="V21" s="12" t="str">
        <f>IFERROR(INDEX($L$3:$L$88,MATCH(X21,$N$3:$N$88,1),1),NA())</f>
        <v>Sw</v>
      </c>
      <c r="W21" s="12" t="str">
        <v>obj_003db</v>
      </c>
      <c r="X21" s="12" t="str">
        <f>_xll.qlRateHelperQuoteName(W21,Trigger)</f>
        <v>USDAM3L9Y_Quote</v>
      </c>
      <c r="Y21" s="106">
        <f>_xll.qlRateHelperRate(W21,Trigger)</f>
        <v>2.3980000000000001E-2</v>
      </c>
      <c r="Z21" s="176">
        <f>IF(ISERROR(_xll.qlSwapRateHelperSpread($W21)),IF(ISERROR(_xll.qlFuturesRateHelperConvexityAdjustment($W21)),"--",_xll.qlFuturesRateHelperConvexityAdjustment($W21)),_xll.qlSwapRateHelperSpread($W21))</f>
        <v>0</v>
      </c>
      <c r="AA21" s="13">
        <f>_xll.qlRateHelperEarliestDate(W21,Trigger)</f>
        <v>42184</v>
      </c>
      <c r="AB21" s="13">
        <f>_xll.qlRateHelperPillarDate(W21,Trigger)</f>
        <v>45471</v>
      </c>
      <c r="AC21" s="144">
        <v>0.8017603782457341</v>
      </c>
    </row>
    <row r="22" spans="1:29" ht="11.25" customHeight="1" x14ac:dyDescent="0.2">
      <c r="A22" s="89" t="s">
        <v>153</v>
      </c>
      <c r="B22" s="188">
        <v>11</v>
      </c>
      <c r="C22" s="93" t="str">
        <f>"x"&amp;B22+SUBSTITUTE($G$1,"M","")&amp;"F"</f>
        <v>x14F</v>
      </c>
      <c r="D22" s="197"/>
      <c r="E22" s="197"/>
      <c r="F22" s="197"/>
      <c r="G22" s="91" t="str">
        <f>PROPER(Currency)&amp;FamilyName&amp;$G$1</f>
        <v>UsdLibor3M</v>
      </c>
      <c r="H22" s="191" t="str">
        <f>Currency&amp;B22&amp;C22&amp;QuoteSuffix</f>
        <v>USD11x14F_Quote</v>
      </c>
      <c r="I22" s="197"/>
      <c r="J22" s="96"/>
      <c r="K22" s="66"/>
      <c r="L22" s="102" t="str">
        <f>A26</f>
        <v>FUT</v>
      </c>
      <c r="M22" s="205" t="str">
        <f>IF(ISBLANK(J26),"--",J26)</f>
        <v>obj_00414#0013</v>
      </c>
      <c r="N22" s="219" t="str">
        <f>IFERROR(_xll.qlRateHelperQuoteName(M22,Trigger),"--")</f>
        <v>USDFUT3MN5_Quote</v>
      </c>
      <c r="O22" s="224">
        <f>IFERROR(_xll.qlRateHelperQuoteValue($M22,Trigger),"--")</f>
        <v>99.706249999999997</v>
      </c>
      <c r="P22" s="206" t="b">
        <v>1</v>
      </c>
      <c r="Q22" s="205">
        <v>60</v>
      </c>
      <c r="R22" s="205">
        <v>7</v>
      </c>
      <c r="S22" s="208">
        <f>IFERROR(_xll.qlRateHelperEarliestDate(M22,Trigger),"--")</f>
        <v>42200</v>
      </c>
      <c r="T22" s="208">
        <f>IFERROR(_xll.qlRateHelperPillarDate(M22,Trigger),"--")</f>
        <v>42292</v>
      </c>
      <c r="V22" s="12" t="str">
        <f>IFERROR(INDEX($L$3:$L$88,MATCH(X22,$N$3:$N$88,1),1),NA())</f>
        <v>Sw</v>
      </c>
      <c r="W22" s="12" t="str">
        <v>obj_003e0</v>
      </c>
      <c r="X22" s="12" t="str">
        <f>_xll.qlRateHelperQuoteName(W22,Trigger)</f>
        <v>USDAM3L10Y_Quote</v>
      </c>
      <c r="Y22" s="106">
        <f>_xll.qlRateHelperRate(W22,Trigger)</f>
        <v>2.4830000000000001E-2</v>
      </c>
      <c r="Z22" s="176">
        <f>IF(ISERROR(_xll.qlSwapRateHelperSpread($W22)),IF(ISERROR(_xll.qlFuturesRateHelperConvexityAdjustment($W22)),"--",_xll.qlFuturesRateHelperConvexityAdjustment($W22)),_xll.qlSwapRateHelperSpread($W22))</f>
        <v>0</v>
      </c>
      <c r="AA22" s="13">
        <f>_xll.qlRateHelperEarliestDate(W22,Trigger)</f>
        <v>42184</v>
      </c>
      <c r="AB22" s="13">
        <f>_xll.qlRateHelperPillarDate(W22,Trigger)</f>
        <v>45838</v>
      </c>
      <c r="AC22" s="144">
        <v>0.77515506485285002</v>
      </c>
    </row>
    <row r="23" spans="1:29" ht="11.25" customHeight="1" x14ac:dyDescent="0.2">
      <c r="A23" s="3" t="s">
        <v>153</v>
      </c>
      <c r="B23" s="189">
        <v>12</v>
      </c>
      <c r="C23" s="19" t="str">
        <f>"x"&amp;B23+SUBSTITUTE($G$1,"M","")&amp;"F"</f>
        <v>x15F</v>
      </c>
      <c r="D23" s="198"/>
      <c r="E23" s="198"/>
      <c r="F23" s="198"/>
      <c r="G23" s="16" t="str">
        <f>PROPER(Currency)&amp;FamilyName&amp;$G$1</f>
        <v>UsdLibor3M</v>
      </c>
      <c r="H23" s="192" t="str">
        <f>Currency&amp;B23&amp;C23&amp;QuoteSuffix</f>
        <v>USD12x15F_Quote</v>
      </c>
      <c r="I23" s="198"/>
      <c r="J23" s="6"/>
      <c r="K23" s="66"/>
      <c r="L23" s="21" t="str">
        <f t="shared" ref="L23:L48" si="5">A27</f>
        <v>FUT</v>
      </c>
      <c r="M23" s="166" t="str">
        <f t="shared" ref="M23:M43" si="6">IF(ISBLANK(J27),"--",J27)</f>
        <v>obj_00430#0008</v>
      </c>
      <c r="N23" s="220" t="str">
        <f>IFERROR(_xll.qlRateHelperQuoteName(M23,Trigger),"--")</f>
        <v>USDFUT3MQ5_Quote</v>
      </c>
      <c r="O23" s="225">
        <f>IFERROR(_xll.qlRateHelperQuoteValue($M23,Trigger),"--")</f>
        <v>99.662499999999994</v>
      </c>
      <c r="P23" s="169" t="b">
        <v>1</v>
      </c>
      <c r="Q23" s="166">
        <v>60</v>
      </c>
      <c r="R23" s="166">
        <v>1</v>
      </c>
      <c r="S23" s="171">
        <f>IFERROR(_xll.qlRateHelperEarliestDate(M23,Trigger),"--")</f>
        <v>42235</v>
      </c>
      <c r="T23" s="171">
        <f>IFERROR(_xll.qlRateHelperPillarDate(M23,Trigger),"--")</f>
        <v>42327</v>
      </c>
      <c r="V23" s="12" t="str">
        <f>IFERROR(INDEX($L$3:$L$88,MATCH(X23,$N$3:$N$88,1),1),NA())</f>
        <v>Sw</v>
      </c>
      <c r="W23" s="12" t="str">
        <v>obj_003f6</v>
      </c>
      <c r="X23" s="12" t="str">
        <f>_xll.qlRateHelperQuoteName(W23,Trigger)</f>
        <v>USDAM3L12Y_Quote</v>
      </c>
      <c r="Y23" s="106">
        <f>_xll.qlRateHelperRate(W23,Trigger)</f>
        <v>2.6120000000000001E-2</v>
      </c>
      <c r="Z23" s="176">
        <f>IF(ISERROR(_xll.qlSwapRateHelperSpread($W23)),IF(ISERROR(_xll.qlFuturesRateHelperConvexityAdjustment($W23)),"--",_xll.qlFuturesRateHelperConvexityAdjustment($W23)),_xll.qlSwapRateHelperSpread($W23))</f>
        <v>0</v>
      </c>
      <c r="AA23" s="13">
        <f>_xll.qlRateHelperEarliestDate(W23,Trigger)</f>
        <v>42184</v>
      </c>
      <c r="AB23" s="13">
        <f>_xll.qlRateHelperPillarDate(W23,Trigger)</f>
        <v>46567</v>
      </c>
      <c r="AC23" s="144">
        <v>0.72458281408183445</v>
      </c>
    </row>
    <row r="24" spans="1:29" ht="11.25" customHeight="1" x14ac:dyDescent="0.2">
      <c r="B24" s="64"/>
      <c r="C24" s="64"/>
      <c r="D24" s="64"/>
      <c r="E24" s="64"/>
      <c r="F24" s="64"/>
      <c r="G24" s="64"/>
      <c r="H24" s="64" t="s">
        <v>155</v>
      </c>
      <c r="K24" s="66"/>
      <c r="L24" s="21" t="str">
        <f t="shared" si="5"/>
        <v>FUT</v>
      </c>
      <c r="M24" s="166" t="str">
        <f t="shared" si="6"/>
        <v>obj_00419#0008</v>
      </c>
      <c r="N24" s="220" t="str">
        <f>IFERROR(_xll.qlRateHelperQuoteName(M24,Trigger),"--")</f>
        <v>USDFUT3MU5_Quote</v>
      </c>
      <c r="O24" s="225">
        <f>IFERROR(_xll.qlRateHelperQuoteValue($M24,Trigger),"--")</f>
        <v>99.617500000000007</v>
      </c>
      <c r="P24" s="169" t="b">
        <v>1</v>
      </c>
      <c r="Q24" s="166">
        <v>60</v>
      </c>
      <c r="R24" s="166">
        <v>1</v>
      </c>
      <c r="S24" s="171">
        <f>IFERROR(_xll.qlRateHelperEarliestDate(M24,Trigger),"--")</f>
        <v>42263</v>
      </c>
      <c r="T24" s="171">
        <f>IFERROR(_xll.qlRateHelperPillarDate(M24,Trigger),"--")</f>
        <v>42354</v>
      </c>
      <c r="V24" s="12" t="str">
        <f>IFERROR(INDEX($L$3:$L$88,MATCH(X24,$N$3:$N$88,1),1),NA())</f>
        <v>Sw</v>
      </c>
      <c r="W24" s="12" t="str">
        <v>obj_003da</v>
      </c>
      <c r="X24" s="12" t="str">
        <f>_xll.qlRateHelperQuoteName(W24,Trigger)</f>
        <v>USDAM3L15Y_Quote</v>
      </c>
      <c r="Y24" s="106">
        <f>_xll.qlRateHelperRate(W24,Trigger)</f>
        <v>2.7370000000000002E-2</v>
      </c>
      <c r="Z24" s="176">
        <f>IF(ISERROR(_xll.qlSwapRateHelperSpread($W24)),IF(ISERROR(_xll.qlFuturesRateHelperConvexityAdjustment($W24)),"--",_xll.qlFuturesRateHelperConvexityAdjustment($W24)),_xll.qlSwapRateHelperSpread($W24))</f>
        <v>0</v>
      </c>
      <c r="AA24" s="13">
        <f>_xll.qlRateHelperEarliestDate(W24,Trigger)</f>
        <v>42184</v>
      </c>
      <c r="AB24" s="13">
        <f>_xll.qlRateHelperPillarDate(W24,Trigger)</f>
        <v>47662</v>
      </c>
      <c r="AC24" s="144">
        <v>0.65511615906664433</v>
      </c>
    </row>
    <row r="25" spans="1:29" ht="11.25" customHeight="1" x14ac:dyDescent="0.2">
      <c r="A25" s="97" t="s">
        <v>18</v>
      </c>
      <c r="B25" s="97" t="s">
        <v>157</v>
      </c>
      <c r="C25" s="97" t="s">
        <v>52</v>
      </c>
      <c r="D25" s="97"/>
      <c r="E25" s="97"/>
      <c r="F25" s="97"/>
      <c r="G25" s="97" t="s">
        <v>9</v>
      </c>
      <c r="H25" s="97" t="s">
        <v>5</v>
      </c>
      <c r="I25" s="97" t="s">
        <v>156</v>
      </c>
      <c r="J25" s="97" t="s">
        <v>36</v>
      </c>
      <c r="K25" s="66"/>
      <c r="L25" s="21" t="str">
        <f t="shared" si="5"/>
        <v>FUT</v>
      </c>
      <c r="M25" s="166" t="str">
        <f t="shared" si="6"/>
        <v>obj_00427#0008</v>
      </c>
      <c r="N25" s="220" t="str">
        <f>IFERROR(_xll.qlRateHelperQuoteName(M25,Trigger),"--")</f>
        <v>USDFUT3MV5_Quote</v>
      </c>
      <c r="O25" s="225">
        <f>IFERROR(_xll.qlRateHelperQuoteValue($M25,Trigger),"--")</f>
        <v>99.547499999999999</v>
      </c>
      <c r="P25" s="169" t="b">
        <v>1</v>
      </c>
      <c r="Q25" s="166">
        <v>60</v>
      </c>
      <c r="R25" s="166">
        <v>21</v>
      </c>
      <c r="S25" s="171">
        <f>IFERROR(_xll.qlRateHelperEarliestDate(M25,Trigger),"--")</f>
        <v>42298</v>
      </c>
      <c r="T25" s="171">
        <f>IFERROR(_xll.qlRateHelperPillarDate(M25,Trigger),"--")</f>
        <v>42390</v>
      </c>
      <c r="V25" s="12" t="str">
        <f>IFERROR(INDEX($L$3:$L$88,MATCH(X25,$N$3:$N$88,1),1),NA())</f>
        <v>Sw</v>
      </c>
      <c r="W25" s="12" t="str">
        <v>obj_00483</v>
      </c>
      <c r="X25" s="12" t="str">
        <f>_xll.qlRateHelperQuoteName(W25,Trigger)</f>
        <v>USDAM3L20Y_Quote</v>
      </c>
      <c r="Y25" s="106">
        <f>_xll.qlRateHelperRate(W25,Trigger)</f>
        <v>2.8510000000000001E-2</v>
      </c>
      <c r="Z25" s="176">
        <f>IF(ISERROR(_xll.qlSwapRateHelperSpread($W25)),IF(ISERROR(_xll.qlFuturesRateHelperConvexityAdjustment($W25)),"--",_xll.qlFuturesRateHelperConvexityAdjustment($W25)),_xll.qlSwapRateHelperSpread($W25))</f>
        <v>0</v>
      </c>
      <c r="AA25" s="13">
        <f>_xll.qlRateHelperEarliestDate(W25,Trigger)</f>
        <v>42184</v>
      </c>
      <c r="AB25" s="13">
        <f>_xll.qlRateHelperPillarDate(W25,Trigger)</f>
        <v>49489</v>
      </c>
      <c r="AC25" s="144">
        <v>0.55506934172618927</v>
      </c>
    </row>
    <row r="26" spans="1:29" ht="11.25" customHeight="1" x14ac:dyDescent="0.2">
      <c r="A26" s="81" t="s">
        <v>154</v>
      </c>
      <c r="B26" s="187" t="b">
        <v>0</v>
      </c>
      <c r="C26" s="85" t="str">
        <f>_xll.qlIMMNextCode(Evaluationdate-1,B26,Trigger)</f>
        <v>N5</v>
      </c>
      <c r="D26" s="203"/>
      <c r="E26" s="203"/>
      <c r="F26" s="203"/>
      <c r="G26" s="83" t="str">
        <f>PROPER(Currency)&amp;FamilyName&amp;$G$1</f>
        <v>UsdLibor3M</v>
      </c>
      <c r="H26" s="190" t="str">
        <f>Currency&amp;"FUT"&amp;$G$1&amp;$C26&amp;QuoteSuffix</f>
        <v>USDFUT3MN5_Quote</v>
      </c>
      <c r="I26" s="190" t="str">
        <f>Currency&amp;"FUT"&amp;$G$1&amp;$C26&amp;"ConvAdj"&amp;QuoteSuffix</f>
        <v>USDFUT3MN5ConvAdj_Quote</v>
      </c>
      <c r="J26" s="88" t="str">
        <f>_xll.qlFuturesRateHelper(,H26,$H$24,C26,G26,I26,Permanent,Trigger,ObjectOverwrite)</f>
        <v>obj_00414#0013</v>
      </c>
      <c r="K26" s="66"/>
      <c r="L26" s="21" t="str">
        <f t="shared" si="5"/>
        <v>FUT</v>
      </c>
      <c r="M26" s="166" t="str">
        <f t="shared" si="6"/>
        <v>obj_0042e#0010</v>
      </c>
      <c r="N26" s="220" t="str">
        <f>IFERROR(_xll.qlRateHelperQuoteName(M26,Trigger),"--")</f>
        <v>USDFUT3MX5_Quote</v>
      </c>
      <c r="O26" s="225">
        <f>IFERROR(_xll.qlRateHelperQuoteValue($M26,Trigger),"--")</f>
        <v>99.492500000000007</v>
      </c>
      <c r="P26" s="169" t="b">
        <v>1</v>
      </c>
      <c r="Q26" s="166">
        <v>60</v>
      </c>
      <c r="R26" s="166">
        <v>21</v>
      </c>
      <c r="S26" s="171">
        <f>IFERROR(_xll.qlRateHelperEarliestDate(M26,Trigger),"--")</f>
        <v>42326</v>
      </c>
      <c r="T26" s="171">
        <f>IFERROR(_xll.qlRateHelperPillarDate(M26,Trigger),"--")</f>
        <v>42418</v>
      </c>
      <c r="V26" s="12" t="str">
        <f>IFERROR(INDEX($L$3:$L$88,MATCH(X26,$N$3:$N$88,1),1),NA())</f>
        <v>Sw</v>
      </c>
      <c r="W26" s="12" t="str">
        <v>obj_0047e</v>
      </c>
      <c r="X26" s="12" t="str">
        <f>_xll.qlRateHelperQuoteName(W26,Trigger)</f>
        <v>USDAM3L25Y_Quote</v>
      </c>
      <c r="Y26" s="106">
        <f>_xll.qlRateHelperRate(W26,Trigger)</f>
        <v>2.9049999999999999E-2</v>
      </c>
      <c r="Z26" s="176">
        <f>IF(ISERROR(_xll.qlSwapRateHelperSpread($W26)),IF(ISERROR(_xll.qlFuturesRateHelperConvexityAdjustment($W26)),"--",_xll.qlFuturesRateHelperConvexityAdjustment($W26)),_xll.qlSwapRateHelperSpread($W26))</f>
        <v>0</v>
      </c>
      <c r="AA26" s="13">
        <f>_xll.qlRateHelperEarliestDate(W26,Trigger)</f>
        <v>42184</v>
      </c>
      <c r="AB26" s="13">
        <f>_xll.qlRateHelperPillarDate(W26,Trigger)</f>
        <v>51316</v>
      </c>
      <c r="AC26" s="144">
        <v>0.47243988925049224</v>
      </c>
    </row>
    <row r="27" spans="1:29" ht="11.25" customHeight="1" x14ac:dyDescent="0.2">
      <c r="A27" s="89" t="s">
        <v>154</v>
      </c>
      <c r="B27" s="188" t="b">
        <v>0</v>
      </c>
      <c r="C27" s="93" t="str">
        <f>_xll.qlIMMNextCode(C26,B27,Trigger)</f>
        <v>Q5</v>
      </c>
      <c r="D27" s="197"/>
      <c r="E27" s="197"/>
      <c r="F27" s="197"/>
      <c r="G27" s="91" t="str">
        <f>PROPER(Currency)&amp;FamilyName&amp;$G$1</f>
        <v>UsdLibor3M</v>
      </c>
      <c r="H27" s="191" t="str">
        <f>Currency&amp;"FUT"&amp;$G$1&amp;$C27&amp;QuoteSuffix</f>
        <v>USDFUT3MQ5_Quote</v>
      </c>
      <c r="I27" s="191" t="str">
        <f>Currency&amp;"FUT"&amp;$G$1&amp;$C27&amp;"ConvAdj"&amp;QuoteSuffix</f>
        <v>USDFUT3MQ5ConvAdj_Quote</v>
      </c>
      <c r="J27" s="96" t="str">
        <f>_xll.qlFuturesRateHelper(,H27,$H$24,C27,G27,I27,Permanent,Trigger,ObjectOverwrite)</f>
        <v>obj_00430#0008</v>
      </c>
      <c r="K27" s="66"/>
      <c r="L27" s="21" t="str">
        <f t="shared" si="5"/>
        <v>FUT</v>
      </c>
      <c r="M27" s="166" t="str">
        <f t="shared" si="6"/>
        <v>obj_0042a#0013</v>
      </c>
      <c r="N27" s="220" t="str">
        <f>IFERROR(_xll.qlRateHelperQuoteName(M27,Trigger),"--")</f>
        <v>USDFUT3MZ5_Quote</v>
      </c>
      <c r="O27" s="225">
        <f>IFERROR(_xll.qlRateHelperQuoteValue($M27,Trigger),"--")</f>
        <v>99.432500000000005</v>
      </c>
      <c r="P27" s="169" t="b">
        <v>1</v>
      </c>
      <c r="Q27" s="166">
        <v>60</v>
      </c>
      <c r="R27" s="166">
        <v>21</v>
      </c>
      <c r="S27" s="171">
        <f>IFERROR(_xll.qlRateHelperEarliestDate(M27,Trigger),"--")</f>
        <v>42354</v>
      </c>
      <c r="T27" s="171">
        <f>IFERROR(_xll.qlRateHelperPillarDate(M27,Trigger),"--")</f>
        <v>42445</v>
      </c>
      <c r="V27" s="12" t="str">
        <f>IFERROR(INDEX($L$3:$L$88,MATCH(X27,$N$3:$N$88,1),1),NA())</f>
        <v>Sw</v>
      </c>
      <c r="W27" s="12" t="str">
        <v>obj_00479</v>
      </c>
      <c r="X27" s="12" t="str">
        <f>_xll.qlRateHelperQuoteName(W27,Trigger)</f>
        <v>USDAM3L30Y_Quote</v>
      </c>
      <c r="Y27" s="106">
        <f>_xll.qlRateHelperRate(W27,Trigger)</f>
        <v>2.9360000000000001E-2</v>
      </c>
      <c r="Z27" s="176">
        <f>IF(ISERROR(_xll.qlSwapRateHelperSpread($W27)),IF(ISERROR(_xll.qlFuturesRateHelperConvexityAdjustment($W27)),"--",_xll.qlFuturesRateHelperConvexityAdjustment($W27)),_xll.qlSwapRateHelperSpread($W27))</f>
        <v>0</v>
      </c>
      <c r="AA27" s="13">
        <f>_xll.qlRateHelperEarliestDate(W27,Trigger)</f>
        <v>42184</v>
      </c>
      <c r="AB27" s="13">
        <f>_xll.qlRateHelperPillarDate(W27,Trigger)</f>
        <v>53142</v>
      </c>
      <c r="AC27" s="144">
        <v>0.40293182702148089</v>
      </c>
    </row>
    <row r="28" spans="1:29" ht="11.25" customHeight="1" x14ac:dyDescent="0.2">
      <c r="A28" s="89" t="s">
        <v>154</v>
      </c>
      <c r="B28" s="188" t="b">
        <v>0</v>
      </c>
      <c r="C28" s="93" t="str">
        <f>_xll.qlIMMNextCode(C27,B28,Trigger)</f>
        <v>U5</v>
      </c>
      <c r="D28" s="197"/>
      <c r="E28" s="197"/>
      <c r="F28" s="197"/>
      <c r="G28" s="91" t="str">
        <f>PROPER(Currency)&amp;FamilyName&amp;$G$1</f>
        <v>UsdLibor3M</v>
      </c>
      <c r="H28" s="191" t="str">
        <f>Currency&amp;"FUT"&amp;$G$1&amp;$C28&amp;QuoteSuffix</f>
        <v>USDFUT3MU5_Quote</v>
      </c>
      <c r="I28" s="191" t="str">
        <f>Currency&amp;"FUT"&amp;$G$1&amp;$C28&amp;"ConvAdj"&amp;QuoteSuffix</f>
        <v>USDFUT3MU5ConvAdj_Quote</v>
      </c>
      <c r="J28" s="96" t="str">
        <f>_xll.qlFuturesRateHelper(,H28,$H$24,C28,G28,I28,Permanent,Trigger,ObjectOverwrite)</f>
        <v>obj_00419#0008</v>
      </c>
      <c r="K28" s="66"/>
      <c r="L28" s="21" t="str">
        <f t="shared" si="5"/>
        <v>FUT</v>
      </c>
      <c r="M28" s="166" t="str">
        <f t="shared" si="6"/>
        <v>obj_00432#0013</v>
      </c>
      <c r="N28" s="220" t="str">
        <f>IFERROR(_xll.qlRateHelperQuoteName(M28,Trigger),"--")</f>
        <v>USDFUT3MH6_Quote</v>
      </c>
      <c r="O28" s="225">
        <f>IFERROR(_xll.qlRateHelperQuoteValue($M28,Trigger),"--")</f>
        <v>99.242500000000007</v>
      </c>
      <c r="P28" s="169" t="b">
        <v>1</v>
      </c>
      <c r="Q28" s="166">
        <v>60</v>
      </c>
      <c r="R28" s="166">
        <v>21</v>
      </c>
      <c r="S28" s="171">
        <f>IFERROR(_xll.qlRateHelperEarliestDate(M28,Trigger),"--")</f>
        <v>42445</v>
      </c>
      <c r="T28" s="171">
        <f>IFERROR(_xll.qlRateHelperPillarDate(M28,Trigger),"--")</f>
        <v>42537</v>
      </c>
      <c r="V28" s="12" t="str">
        <f>IFERROR(INDEX($L$3:$L$88,MATCH(X28,$N$3:$N$88,1),1),NA())</f>
        <v>Sw</v>
      </c>
      <c r="W28" s="12" t="str">
        <v>obj_003e9</v>
      </c>
      <c r="X28" s="12" t="str">
        <f>_xll.qlRateHelperQuoteName(W28,Trigger)</f>
        <v>USDAM3L40Y_Quote</v>
      </c>
      <c r="Y28" s="106">
        <f>_xll.qlRateHelperRate(W28,Trigger)</f>
        <v>2.954E-2</v>
      </c>
      <c r="Z28" s="176">
        <f>IF(ISERROR(_xll.qlSwapRateHelperSpread($W28)),IF(ISERROR(_xll.qlFuturesRateHelperConvexityAdjustment($W28)),"--",_xll.qlFuturesRateHelperConvexityAdjustment($W28)),_xll.qlSwapRateHelperSpread($W28))</f>
        <v>0</v>
      </c>
      <c r="AA28" s="13">
        <f>_xll.qlRateHelperEarliestDate(W28,Trigger)</f>
        <v>42184</v>
      </c>
      <c r="AB28" s="13">
        <f>_xll.qlRateHelperPillarDate(W28,Trigger)</f>
        <v>56794</v>
      </c>
      <c r="AC28" s="144">
        <v>0.29702474558476621</v>
      </c>
    </row>
    <row r="29" spans="1:29" ht="11.25" customHeight="1" x14ac:dyDescent="0.2">
      <c r="A29" s="89" t="s">
        <v>154</v>
      </c>
      <c r="B29" s="188" t="b">
        <v>0</v>
      </c>
      <c r="C29" s="93" t="str">
        <f>_xll.qlIMMNextCode(C28,B29,Trigger)</f>
        <v>V5</v>
      </c>
      <c r="D29" s="197"/>
      <c r="E29" s="197"/>
      <c r="F29" s="197"/>
      <c r="G29" s="91" t="str">
        <f>PROPER(Currency)&amp;FamilyName&amp;$G$1</f>
        <v>UsdLibor3M</v>
      </c>
      <c r="H29" s="191" t="str">
        <f>Currency&amp;"FUT"&amp;$G$1&amp;$C29&amp;QuoteSuffix</f>
        <v>USDFUT3MV5_Quote</v>
      </c>
      <c r="I29" s="191" t="str">
        <f>Currency&amp;"FUT"&amp;$G$1&amp;$C29&amp;"ConvAdj"&amp;QuoteSuffix</f>
        <v>USDFUT3MV5ConvAdj_Quote</v>
      </c>
      <c r="J29" s="96" t="str">
        <f>_xll.qlFuturesRateHelper(,H29,$H$24,C29,G29,I29,Permanent,Trigger,ObjectOverwrite)</f>
        <v>obj_00427#0008</v>
      </c>
      <c r="K29" s="66"/>
      <c r="L29" s="21" t="str">
        <f t="shared" si="5"/>
        <v>FUT</v>
      </c>
      <c r="M29" s="166" t="str">
        <f t="shared" si="6"/>
        <v>obj_00423#0012</v>
      </c>
      <c r="N29" s="220" t="str">
        <f>IFERROR(_xll.qlRateHelperQuoteName(M29,Trigger),"--")</f>
        <v>USDFUT3MM6_Quote</v>
      </c>
      <c r="O29" s="225">
        <f>IFERROR(_xll.qlRateHelperQuoteValue($M29,Trigger),"--")</f>
        <v>99.032499999999999</v>
      </c>
      <c r="P29" s="169" t="b">
        <v>1</v>
      </c>
      <c r="Q29" s="166">
        <v>60</v>
      </c>
      <c r="R29" s="166">
        <v>21</v>
      </c>
      <c r="S29" s="171">
        <f>IFERROR(_xll.qlRateHelperEarliestDate(M29,Trigger),"--")</f>
        <v>42536</v>
      </c>
      <c r="T29" s="171">
        <f>IFERROR(_xll.qlRateHelperPillarDate(M29,Trigger),"--")</f>
        <v>42628</v>
      </c>
      <c r="V29" s="12" t="str">
        <f>IFERROR(INDEX($L$3:$L$88,MATCH(X29,$N$3:$N$88,1),1),NA())</f>
        <v>Sw</v>
      </c>
      <c r="W29" s="12" t="str">
        <v>obj_00480</v>
      </c>
      <c r="X29" s="12" t="str">
        <f>_xll.qlRateHelperQuoteName(W29,Trigger)</f>
        <v>USDAM3L50Y_Quote</v>
      </c>
      <c r="Y29" s="106">
        <f>_xll.qlRateHelperRate(W29,Trigger)</f>
        <v>2.9380000000000003E-2</v>
      </c>
      <c r="Z29" s="176">
        <f>IF(ISERROR(_xll.qlSwapRateHelperSpread($W29)),IF(ISERROR(_xll.qlFuturesRateHelperConvexityAdjustment($W29)),"--",_xll.qlFuturesRateHelperConvexityAdjustment($W29)),_xll.qlSwapRateHelperSpread($W29))</f>
        <v>0</v>
      </c>
      <c r="AA29" s="13">
        <f>_xll.qlRateHelperEarliestDate(W29,Trigger)</f>
        <v>42184</v>
      </c>
      <c r="AB29" s="13">
        <f>_xll.qlRateHelperPillarDate(W29,Trigger)</f>
        <v>60447</v>
      </c>
      <c r="AC29" s="144">
        <v>0.22449859809294204</v>
      </c>
    </row>
    <row r="30" spans="1:29" ht="11.25" customHeight="1" x14ac:dyDescent="0.2">
      <c r="A30" s="3" t="s">
        <v>154</v>
      </c>
      <c r="B30" s="189" t="b">
        <v>0</v>
      </c>
      <c r="C30" s="19" t="str">
        <f>_xll.qlIMMNextCode(C29,B30,Trigger)</f>
        <v>X5</v>
      </c>
      <c r="D30" s="198"/>
      <c r="E30" s="198"/>
      <c r="F30" s="198"/>
      <c r="G30" s="16" t="str">
        <f>PROPER(Currency)&amp;FamilyName&amp;$G$1</f>
        <v>UsdLibor3M</v>
      </c>
      <c r="H30" s="192" t="str">
        <f>Currency&amp;"FUT"&amp;$G$1&amp;$C30&amp;QuoteSuffix</f>
        <v>USDFUT3MX5_Quote</v>
      </c>
      <c r="I30" s="192" t="str">
        <f>Currency&amp;"FUT"&amp;$G$1&amp;$C30&amp;"ConvAdj"&amp;QuoteSuffix</f>
        <v>USDFUT3MX5ConvAdj_Quote</v>
      </c>
      <c r="J30" s="6" t="str">
        <f>_xll.qlFuturesRateHelper(,H30,$H$24,C30,G30,I30,Permanent,Trigger,ObjectOverwrite)</f>
        <v>obj_0042e#0010</v>
      </c>
      <c r="K30" s="66"/>
      <c r="L30" s="21" t="str">
        <f t="shared" si="5"/>
        <v>FUT</v>
      </c>
      <c r="M30" s="166" t="str">
        <f t="shared" si="6"/>
        <v>obj_00421#0013</v>
      </c>
      <c r="N30" s="220" t="str">
        <f>IFERROR(_xll.qlRateHelperQuoteName(M30,Trigger),"--")</f>
        <v>USDFUT3MU6_Quote</v>
      </c>
      <c r="O30" s="225">
        <f>IFERROR(_xll.qlRateHelperQuoteValue($M30,Trigger),"--")</f>
        <v>98.797499999999999</v>
      </c>
      <c r="P30" s="169" t="b">
        <v>1</v>
      </c>
      <c r="Q30" s="166">
        <v>60</v>
      </c>
      <c r="R30" s="166">
        <v>21</v>
      </c>
      <c r="S30" s="171">
        <f>IFERROR(_xll.qlRateHelperEarliestDate(M30,Trigger),"--")</f>
        <v>42634</v>
      </c>
      <c r="T30" s="171">
        <f>IFERROR(_xll.qlRateHelperPillarDate(M30,Trigger),"--")</f>
        <v>42725</v>
      </c>
      <c r="V30" s="12" t="e">
        <f>IFERROR(INDEX($L$3:$L$88,MATCH(X30,$N$3:$N$88,1),1),NA())</f>
        <v>#N/A</v>
      </c>
      <c r="W30" s="12" t="e">
        <v>#N/A</v>
      </c>
      <c r="X30" s="12" t="e">
        <f>_xll.qlRateHelperQuoteName(W30,Trigger)</f>
        <v>#VALUE!</v>
      </c>
      <c r="Y30" s="106" t="e">
        <f>_xll.qlRateHelperRate(W30,Trigger)</f>
        <v>#VALUE!</v>
      </c>
      <c r="Z30" s="176" t="str">
        <f>IF(ISERROR(_xll.qlSwapRateHelperSpread($W30)),IF(ISERROR(_xll.qlFuturesRateHelperConvexityAdjustment($W30)),"--",_xll.qlFuturesRateHelperConvexityAdjustment($W30)),_xll.qlSwapRateHelperSpread($W30))</f>
        <v>--</v>
      </c>
      <c r="AA30" s="13" t="e">
        <f>_xll.qlRateHelperEarliestDate(W30,Trigger)</f>
        <v>#VALUE!</v>
      </c>
      <c r="AB30" s="13" t="e">
        <f>_xll.qlRateHelperPillarDate(W30,Trigger)</f>
        <v>#VALUE!</v>
      </c>
      <c r="AC30" s="144" t="e">
        <v>#N/A</v>
      </c>
    </row>
    <row r="31" spans="1:29" ht="11.25" customHeight="1" x14ac:dyDescent="0.2">
      <c r="A31" s="89" t="s">
        <v>154</v>
      </c>
      <c r="B31" s="188" t="b">
        <v>1</v>
      </c>
      <c r="C31" s="93" t="str">
        <f>_xll.qlIMMNextCode(C30,B31,Trigger)</f>
        <v>Z5</v>
      </c>
      <c r="D31" s="197"/>
      <c r="E31" s="197"/>
      <c r="F31" s="197"/>
      <c r="G31" s="91" t="str">
        <f>PROPER(Currency)&amp;FamilyName&amp;$G$1</f>
        <v>UsdLibor3M</v>
      </c>
      <c r="H31" s="191" t="str">
        <f>Currency&amp;"FUT"&amp;$G$1&amp;$C31&amp;QuoteSuffix</f>
        <v>USDFUT3MZ5_Quote</v>
      </c>
      <c r="I31" s="191" t="str">
        <f>Currency&amp;"FUT"&amp;$G$1&amp;$C31&amp;"ConvAdj"&amp;QuoteSuffix</f>
        <v>USDFUT3MZ5ConvAdj_Quote</v>
      </c>
      <c r="J31" s="96" t="str">
        <f>_xll.qlFuturesRateHelper(,H31,$H$24,C31,G31,I31,Permanent,Trigger,ObjectOverwrite)</f>
        <v>obj_0042a#0013</v>
      </c>
      <c r="K31" s="66"/>
      <c r="L31" s="21" t="str">
        <f t="shared" si="5"/>
        <v>FUT</v>
      </c>
      <c r="M31" s="166" t="str">
        <f t="shared" si="6"/>
        <v>obj_0042f#0012</v>
      </c>
      <c r="N31" s="220" t="str">
        <f>IFERROR(_xll.qlRateHelperQuoteName(M31,Trigger),"--")</f>
        <v>USDFUT3MZ6_Quote</v>
      </c>
      <c r="O31" s="225">
        <f>IFERROR(_xll.qlRateHelperQuoteValue($M31,Trigger),"--")</f>
        <v>98.567499999999995</v>
      </c>
      <c r="P31" s="169" t="b">
        <v>1</v>
      </c>
      <c r="Q31" s="166">
        <v>60</v>
      </c>
      <c r="R31" s="166">
        <v>21</v>
      </c>
      <c r="S31" s="171">
        <f>IFERROR(_xll.qlRateHelperEarliestDate(M31,Trigger),"--")</f>
        <v>42725</v>
      </c>
      <c r="T31" s="171">
        <f>IFERROR(_xll.qlRateHelperPillarDate(M31,Trigger),"--")</f>
        <v>42815</v>
      </c>
      <c r="V31" s="12" t="e">
        <f>IFERROR(INDEX($L$3:$L$88,MATCH(X31,$N$3:$N$88,1),1),NA())</f>
        <v>#N/A</v>
      </c>
      <c r="W31" s="12" t="e">
        <v>#N/A</v>
      </c>
      <c r="X31" s="12" t="e">
        <f>_xll.qlRateHelperQuoteName(W31,Trigger)</f>
        <v>#VALUE!</v>
      </c>
      <c r="Y31" s="106" t="e">
        <f>_xll.qlRateHelperRate(W31,Trigger)</f>
        <v>#VALUE!</v>
      </c>
      <c r="Z31" s="176" t="str">
        <f>IF(ISERROR(_xll.qlSwapRateHelperSpread($W31)),IF(ISERROR(_xll.qlFuturesRateHelperConvexityAdjustment($W31)),"--",_xll.qlFuturesRateHelperConvexityAdjustment($W31)),_xll.qlSwapRateHelperSpread($W31))</f>
        <v>--</v>
      </c>
      <c r="AA31" s="13" t="e">
        <f>_xll.qlRateHelperEarliestDate(W31,Trigger)</f>
        <v>#VALUE!</v>
      </c>
      <c r="AB31" s="13" t="e">
        <f>_xll.qlRateHelperPillarDate(W31,Trigger)</f>
        <v>#VALUE!</v>
      </c>
      <c r="AC31" s="144" t="e">
        <v>#N/A</v>
      </c>
    </row>
    <row r="32" spans="1:29" ht="11.25" customHeight="1" x14ac:dyDescent="0.2">
      <c r="A32" s="89" t="s">
        <v>154</v>
      </c>
      <c r="B32" s="188" t="b">
        <v>1</v>
      </c>
      <c r="C32" s="93" t="str">
        <f>_xll.qlIMMNextCode(C31,B32,Trigger)</f>
        <v>H6</v>
      </c>
      <c r="D32" s="197"/>
      <c r="E32" s="197"/>
      <c r="F32" s="197"/>
      <c r="G32" s="91" t="str">
        <f>PROPER(Currency)&amp;FamilyName&amp;$G$1</f>
        <v>UsdLibor3M</v>
      </c>
      <c r="H32" s="191" t="str">
        <f>Currency&amp;"FUT"&amp;$G$1&amp;$C32&amp;QuoteSuffix</f>
        <v>USDFUT3MH6_Quote</v>
      </c>
      <c r="I32" s="191" t="str">
        <f>Currency&amp;"FUT"&amp;$G$1&amp;$C32&amp;"ConvAdj"&amp;QuoteSuffix</f>
        <v>USDFUT3MH6ConvAdj_Quote</v>
      </c>
      <c r="J32" s="96" t="str">
        <f>_xll.qlFuturesRateHelper(,H32,$H$24,C32,G32,I32,Permanent,Trigger,ObjectOverwrite)</f>
        <v>obj_00432#0013</v>
      </c>
      <c r="K32" s="66"/>
      <c r="L32" s="21" t="str">
        <f t="shared" si="5"/>
        <v>FUT</v>
      </c>
      <c r="M32" s="166" t="str">
        <f t="shared" si="6"/>
        <v>obj_00418#0013</v>
      </c>
      <c r="N32" s="220" t="str">
        <f>IFERROR(_xll.qlRateHelperQuoteName(M32,Trigger),"--")</f>
        <v>USDFUT3MH7_Quote</v>
      </c>
      <c r="O32" s="225">
        <f>IFERROR(_xll.qlRateHelperQuoteValue($M32,Trigger),"--")</f>
        <v>98.372500000000002</v>
      </c>
      <c r="P32" s="169" t="b">
        <v>1</v>
      </c>
      <c r="Q32" s="166">
        <v>60</v>
      </c>
      <c r="R32" s="166">
        <v>21</v>
      </c>
      <c r="S32" s="171">
        <f>IFERROR(_xll.qlRateHelperEarliestDate(M32,Trigger),"--")</f>
        <v>42809</v>
      </c>
      <c r="T32" s="171">
        <f>IFERROR(_xll.qlRateHelperPillarDate(M32,Trigger),"--")</f>
        <v>42901</v>
      </c>
      <c r="V32" s="12" t="e">
        <f>IFERROR(INDEX($L$3:$L$88,MATCH(X32,$N$3:$N$88,1),1),NA())</f>
        <v>#N/A</v>
      </c>
      <c r="W32" s="12" t="e">
        <v>#N/A</v>
      </c>
      <c r="X32" s="12" t="e">
        <f>_xll.qlRateHelperQuoteName(W32,Trigger)</f>
        <v>#VALUE!</v>
      </c>
      <c r="Y32" s="106" t="e">
        <f>_xll.qlRateHelperRate(W32,Trigger)</f>
        <v>#VALUE!</v>
      </c>
      <c r="Z32" s="176" t="str">
        <f>IF(ISERROR(_xll.qlSwapRateHelperSpread($W32)),IF(ISERROR(_xll.qlFuturesRateHelperConvexityAdjustment($W32)),"--",_xll.qlFuturesRateHelperConvexityAdjustment($W32)),_xll.qlSwapRateHelperSpread($W32))</f>
        <v>--</v>
      </c>
      <c r="AA32" s="13" t="e">
        <f>_xll.qlRateHelperEarliestDate(W32,Trigger)</f>
        <v>#VALUE!</v>
      </c>
      <c r="AB32" s="13" t="e">
        <f>_xll.qlRateHelperPillarDate(W32,Trigger)</f>
        <v>#VALUE!</v>
      </c>
      <c r="AC32" s="144" t="e">
        <v>#N/A</v>
      </c>
    </row>
    <row r="33" spans="1:29" ht="11.25" customHeight="1" x14ac:dyDescent="0.2">
      <c r="A33" s="89" t="s">
        <v>154</v>
      </c>
      <c r="B33" s="188" t="b">
        <v>1</v>
      </c>
      <c r="C33" s="93" t="str">
        <f>_xll.qlIMMNextCode(C32,B33,Trigger)</f>
        <v>M6</v>
      </c>
      <c r="D33" s="197"/>
      <c r="E33" s="197"/>
      <c r="F33" s="197"/>
      <c r="G33" s="91" t="str">
        <f>PROPER(Currency)&amp;FamilyName&amp;$G$1</f>
        <v>UsdLibor3M</v>
      </c>
      <c r="H33" s="191" t="str">
        <f>Currency&amp;"FUT"&amp;$G$1&amp;$C33&amp;QuoteSuffix</f>
        <v>USDFUT3MM6_Quote</v>
      </c>
      <c r="I33" s="191" t="str">
        <f>Currency&amp;"FUT"&amp;$G$1&amp;$C33&amp;"ConvAdj"&amp;QuoteSuffix</f>
        <v>USDFUT3MM6ConvAdj_Quote</v>
      </c>
      <c r="J33" s="96" t="str">
        <f>_xll.qlFuturesRateHelper(,H33,$H$24,C33,G33,I33,Permanent,Trigger,ObjectOverwrite)</f>
        <v>obj_00423#0012</v>
      </c>
      <c r="K33" s="66"/>
      <c r="L33" s="21" t="str">
        <f t="shared" si="5"/>
        <v>FUT</v>
      </c>
      <c r="M33" s="166" t="str">
        <f t="shared" si="6"/>
        <v>obj_00426#0013</v>
      </c>
      <c r="N33" s="220" t="str">
        <f>IFERROR(_xll.qlRateHelperQuoteName(M33,Trigger),"--")</f>
        <v>USDFUT3MM7_Quote</v>
      </c>
      <c r="O33" s="225">
        <f>IFERROR(_xll.qlRateHelperQuoteValue($M33,Trigger),"--")</f>
        <v>98.182500000000005</v>
      </c>
      <c r="P33" s="169" t="b">
        <v>1</v>
      </c>
      <c r="Q33" s="166">
        <v>60</v>
      </c>
      <c r="R33" s="166">
        <v>21</v>
      </c>
      <c r="S33" s="171">
        <f>IFERROR(_xll.qlRateHelperEarliestDate(M33,Trigger),"--")</f>
        <v>42907</v>
      </c>
      <c r="T33" s="171">
        <f>IFERROR(_xll.qlRateHelperPillarDate(M33,Trigger),"--")</f>
        <v>42999</v>
      </c>
      <c r="V33" s="12" t="e">
        <f>IFERROR(INDEX($L$3:$L$88,MATCH(X33,$N$3:$N$88,1),1),NA())</f>
        <v>#N/A</v>
      </c>
      <c r="W33" s="12" t="e">
        <v>#N/A</v>
      </c>
      <c r="X33" s="12" t="e">
        <f>_xll.qlRateHelperQuoteName(W33,Trigger)</f>
        <v>#VALUE!</v>
      </c>
      <c r="Y33" s="106" t="e">
        <f>_xll.qlRateHelperRate(W33,Trigger)</f>
        <v>#VALUE!</v>
      </c>
      <c r="Z33" s="176" t="str">
        <f>IF(ISERROR(_xll.qlSwapRateHelperSpread($W33)),IF(ISERROR(_xll.qlFuturesRateHelperConvexityAdjustment($W33)),"--",_xll.qlFuturesRateHelperConvexityAdjustment($W33)),_xll.qlSwapRateHelperSpread($W33))</f>
        <v>--</v>
      </c>
      <c r="AA33" s="13" t="e">
        <f>_xll.qlRateHelperEarliestDate(W33,Trigger)</f>
        <v>#VALUE!</v>
      </c>
      <c r="AB33" s="13" t="e">
        <f>_xll.qlRateHelperPillarDate(W33,Trigger)</f>
        <v>#VALUE!</v>
      </c>
      <c r="AC33" s="144" t="e">
        <v>#N/A</v>
      </c>
    </row>
    <row r="34" spans="1:29" ht="11.25" customHeight="1" x14ac:dyDescent="0.2">
      <c r="A34" s="89" t="s">
        <v>154</v>
      </c>
      <c r="B34" s="188" t="b">
        <v>1</v>
      </c>
      <c r="C34" s="93" t="str">
        <f>_xll.qlIMMNextCode(C33,B34,Trigger)</f>
        <v>U6</v>
      </c>
      <c r="D34" s="197"/>
      <c r="E34" s="197"/>
      <c r="F34" s="197"/>
      <c r="G34" s="91" t="str">
        <f>PROPER(Currency)&amp;FamilyName&amp;$G$1</f>
        <v>UsdLibor3M</v>
      </c>
      <c r="H34" s="191" t="str">
        <f>Currency&amp;"FUT"&amp;$G$1&amp;$C34&amp;QuoteSuffix</f>
        <v>USDFUT3MU6_Quote</v>
      </c>
      <c r="I34" s="191" t="str">
        <f>Currency&amp;"FUT"&amp;$G$1&amp;$C34&amp;"ConvAdj"&amp;QuoteSuffix</f>
        <v>USDFUT3MU6ConvAdj_Quote</v>
      </c>
      <c r="J34" s="96" t="str">
        <f>_xll.qlFuturesRateHelper(,H34,$H$24,C34,G34,I34,Permanent,Trigger,ObjectOverwrite)</f>
        <v>obj_00421#0013</v>
      </c>
      <c r="K34" s="66"/>
      <c r="L34" s="21" t="str">
        <f t="shared" si="5"/>
        <v>FUT</v>
      </c>
      <c r="M34" s="166" t="str">
        <f t="shared" si="6"/>
        <v>obj_0042d#0012</v>
      </c>
      <c r="N34" s="220" t="str">
        <f>IFERROR(_xll.qlRateHelperQuoteName(M34,Trigger),"--")</f>
        <v>USDFUT3MU7_Quote</v>
      </c>
      <c r="O34" s="225">
        <f>IFERROR(_xll.qlRateHelperQuoteValue($M34,Trigger),"--")</f>
        <v>98.017499999999998</v>
      </c>
      <c r="P34" s="169" t="b">
        <v>1</v>
      </c>
      <c r="Q34" s="166">
        <v>60</v>
      </c>
      <c r="R34" s="166">
        <v>21</v>
      </c>
      <c r="S34" s="171">
        <f>IFERROR(_xll.qlRateHelperEarliestDate(M34,Trigger),"--")</f>
        <v>42998</v>
      </c>
      <c r="T34" s="171">
        <f>IFERROR(_xll.qlRateHelperPillarDate(M34,Trigger),"--")</f>
        <v>43089</v>
      </c>
      <c r="V34" s="12" t="e">
        <f>IFERROR(INDEX($L$3:$L$88,MATCH(X34,$N$3:$N$88,1),1),NA())</f>
        <v>#N/A</v>
      </c>
      <c r="W34" s="12" t="e">
        <v>#N/A</v>
      </c>
      <c r="X34" s="12" t="e">
        <f>_xll.qlRateHelperQuoteName(W34,Trigger)</f>
        <v>#VALUE!</v>
      </c>
      <c r="Y34" s="106" t="e">
        <f>_xll.qlRateHelperRate(W34,Trigger)</f>
        <v>#VALUE!</v>
      </c>
      <c r="Z34" s="176" t="str">
        <f>IF(ISERROR(_xll.qlSwapRateHelperSpread($W34)),IF(ISERROR(_xll.qlFuturesRateHelperConvexityAdjustment($W34)),"--",_xll.qlFuturesRateHelperConvexityAdjustment($W34)),_xll.qlSwapRateHelperSpread($W34))</f>
        <v>--</v>
      </c>
      <c r="AA34" s="13" t="e">
        <f>_xll.qlRateHelperEarliestDate(W34,Trigger)</f>
        <v>#VALUE!</v>
      </c>
      <c r="AB34" s="13" t="e">
        <f>_xll.qlRateHelperPillarDate(W34,Trigger)</f>
        <v>#VALUE!</v>
      </c>
      <c r="AC34" s="144" t="e">
        <v>#N/A</v>
      </c>
    </row>
    <row r="35" spans="1:29" ht="11.25" customHeight="1" x14ac:dyDescent="0.2">
      <c r="A35" s="89" t="s">
        <v>154</v>
      </c>
      <c r="B35" s="188" t="b">
        <v>1</v>
      </c>
      <c r="C35" s="93" t="str">
        <f>_xll.qlIMMNextCode(C34,B35,Trigger)</f>
        <v>Z6</v>
      </c>
      <c r="D35" s="197"/>
      <c r="E35" s="197"/>
      <c r="F35" s="197"/>
      <c r="G35" s="91" t="str">
        <f>PROPER(Currency)&amp;FamilyName&amp;$G$1</f>
        <v>UsdLibor3M</v>
      </c>
      <c r="H35" s="191" t="str">
        <f>Currency&amp;"FUT"&amp;$G$1&amp;$C35&amp;QuoteSuffix</f>
        <v>USDFUT3MZ6_Quote</v>
      </c>
      <c r="I35" s="191" t="str">
        <f>Currency&amp;"FUT"&amp;$G$1&amp;$C35&amp;"ConvAdj"&amp;QuoteSuffix</f>
        <v>USDFUT3MZ6ConvAdj_Quote</v>
      </c>
      <c r="J35" s="96" t="str">
        <f>_xll.qlFuturesRateHelper(,H35,$H$24,C35,G35,I35,Permanent,Trigger,ObjectOverwrite)</f>
        <v>obj_0042f#0012</v>
      </c>
      <c r="K35" s="66"/>
      <c r="L35" s="21" t="str">
        <f t="shared" si="5"/>
        <v>FUT</v>
      </c>
      <c r="M35" s="166" t="str">
        <f t="shared" si="6"/>
        <v>obj_00429#0013</v>
      </c>
      <c r="N35" s="220" t="str">
        <f>IFERROR(_xll.qlRateHelperQuoteName(M35,Trigger),"--")</f>
        <v>USDFUT3MZ7_Quote</v>
      </c>
      <c r="O35" s="225">
        <f>IFERROR(_xll.qlRateHelperQuoteValue($M35,Trigger),"--")</f>
        <v>97.862499999999997</v>
      </c>
      <c r="P35" s="169" t="b">
        <v>1</v>
      </c>
      <c r="Q35" s="166">
        <v>30</v>
      </c>
      <c r="R35" s="166">
        <v>21</v>
      </c>
      <c r="S35" s="171">
        <f>IFERROR(_xll.qlRateHelperEarliestDate(M35,Trigger),"--")</f>
        <v>43089</v>
      </c>
      <c r="T35" s="171">
        <f>IFERROR(_xll.qlRateHelperPillarDate(M35,Trigger),"--")</f>
        <v>43179</v>
      </c>
      <c r="V35" s="12" t="e">
        <f>IFERROR(INDEX($L$3:$L$88,MATCH(X35,$N$3:$N$88,1),1),NA())</f>
        <v>#N/A</v>
      </c>
      <c r="W35" s="12" t="e">
        <v>#N/A</v>
      </c>
      <c r="X35" s="12" t="e">
        <f>_xll.qlRateHelperQuoteName(W35,Trigger)</f>
        <v>#VALUE!</v>
      </c>
      <c r="Y35" s="106" t="e">
        <f>_xll.qlRateHelperRate(W35,Trigger)</f>
        <v>#VALUE!</v>
      </c>
      <c r="Z35" s="176" t="str">
        <f>IF(ISERROR(_xll.qlSwapRateHelperSpread($W35)),IF(ISERROR(_xll.qlFuturesRateHelperConvexityAdjustment($W35)),"--",_xll.qlFuturesRateHelperConvexityAdjustment($W35)),_xll.qlSwapRateHelperSpread($W35))</f>
        <v>--</v>
      </c>
      <c r="AA35" s="13" t="e">
        <f>_xll.qlRateHelperEarliestDate(W35,Trigger)</f>
        <v>#VALUE!</v>
      </c>
      <c r="AB35" s="13" t="e">
        <f>_xll.qlRateHelperPillarDate(W35,Trigger)</f>
        <v>#VALUE!</v>
      </c>
      <c r="AC35" s="144" t="e">
        <v>#N/A</v>
      </c>
    </row>
    <row r="36" spans="1:29" ht="11.25" customHeight="1" x14ac:dyDescent="0.2">
      <c r="A36" s="89" t="s">
        <v>154</v>
      </c>
      <c r="B36" s="188" t="b">
        <v>1</v>
      </c>
      <c r="C36" s="93" t="str">
        <f>_xll.qlIMMNextCode(C35,B36,Trigger)</f>
        <v>H7</v>
      </c>
      <c r="D36" s="197"/>
      <c r="E36" s="197"/>
      <c r="F36" s="197"/>
      <c r="G36" s="91" t="str">
        <f>PROPER(Currency)&amp;FamilyName&amp;$G$1</f>
        <v>UsdLibor3M</v>
      </c>
      <c r="H36" s="191" t="str">
        <f>Currency&amp;"FUT"&amp;$G$1&amp;$C36&amp;QuoteSuffix</f>
        <v>USDFUT3MH7_Quote</v>
      </c>
      <c r="I36" s="191" t="str">
        <f>Currency&amp;"FUT"&amp;$G$1&amp;$C36&amp;"ConvAdj"&amp;QuoteSuffix</f>
        <v>USDFUT3MH7ConvAdj_Quote</v>
      </c>
      <c r="J36" s="96" t="str">
        <f>_xll.qlFuturesRateHelper(,H36,$H$24,C36,G36,I36,Permanent,Trigger,ObjectOverwrite)</f>
        <v>obj_00418#0013</v>
      </c>
      <c r="K36" s="66"/>
      <c r="L36" s="21" t="str">
        <f t="shared" si="5"/>
        <v>FUT</v>
      </c>
      <c r="M36" s="166" t="str">
        <f t="shared" si="6"/>
        <v>obj_0041e#0014</v>
      </c>
      <c r="N36" s="220" t="str">
        <f>IFERROR(_xll.qlRateHelperQuoteName(M36,Trigger),"--")</f>
        <v>USDFUT3MH8_Quote</v>
      </c>
      <c r="O36" s="225">
        <f>IFERROR(_xll.qlRateHelperQuoteValue($M36,Trigger),"--")</f>
        <v>97.732500000000002</v>
      </c>
      <c r="P36" s="169" t="b">
        <v>1</v>
      </c>
      <c r="Q36" s="166">
        <v>30</v>
      </c>
      <c r="R36" s="166">
        <v>21</v>
      </c>
      <c r="S36" s="171">
        <f>IFERROR(_xll.qlRateHelperEarliestDate(M36,Trigger),"--")</f>
        <v>43180</v>
      </c>
      <c r="T36" s="171">
        <f>IFERROR(_xll.qlRateHelperPillarDate(M36,Trigger),"--")</f>
        <v>43272</v>
      </c>
      <c r="V36" s="12" t="e">
        <f>IFERROR(INDEX($L$3:$L$88,MATCH(X36,$N$3:$N$88,1),1),NA())</f>
        <v>#N/A</v>
      </c>
      <c r="W36" s="12" t="e">
        <v>#N/A</v>
      </c>
      <c r="X36" s="12" t="e">
        <f>_xll.qlRateHelperQuoteName(W36,Trigger)</f>
        <v>#VALUE!</v>
      </c>
      <c r="Y36" s="106" t="e">
        <f>_xll.qlRateHelperRate(W36,Trigger)</f>
        <v>#VALUE!</v>
      </c>
      <c r="Z36" s="176" t="str">
        <f>IF(ISERROR(_xll.qlSwapRateHelperSpread($W36)),IF(ISERROR(_xll.qlFuturesRateHelperConvexityAdjustment($W36)),"--",_xll.qlFuturesRateHelperConvexityAdjustment($W36)),_xll.qlSwapRateHelperSpread($W36))</f>
        <v>--</v>
      </c>
      <c r="AA36" s="13" t="e">
        <f>_xll.qlRateHelperEarliestDate(W36,Trigger)</f>
        <v>#VALUE!</v>
      </c>
      <c r="AB36" s="13" t="e">
        <f>_xll.qlRateHelperPillarDate(W36,Trigger)</f>
        <v>#VALUE!</v>
      </c>
      <c r="AC36" s="144" t="e">
        <v>#N/A</v>
      </c>
    </row>
    <row r="37" spans="1:29" ht="11.25" customHeight="1" x14ac:dyDescent="0.2">
      <c r="A37" s="89" t="s">
        <v>154</v>
      </c>
      <c r="B37" s="188" t="b">
        <v>1</v>
      </c>
      <c r="C37" s="93" t="str">
        <f>_xll.qlIMMNextCode(C36,B37,Trigger)</f>
        <v>M7</v>
      </c>
      <c r="D37" s="197"/>
      <c r="E37" s="197"/>
      <c r="F37" s="197"/>
      <c r="G37" s="91" t="str">
        <f>PROPER(Currency)&amp;FamilyName&amp;$G$1</f>
        <v>UsdLibor3M</v>
      </c>
      <c r="H37" s="191" t="str">
        <f>Currency&amp;"FUT"&amp;$G$1&amp;$C37&amp;QuoteSuffix</f>
        <v>USDFUT3MM7_Quote</v>
      </c>
      <c r="I37" s="191" t="str">
        <f>Currency&amp;"FUT"&amp;$G$1&amp;$C37&amp;"ConvAdj"&amp;QuoteSuffix</f>
        <v>USDFUT3MM7ConvAdj_Quote</v>
      </c>
      <c r="J37" s="96" t="str">
        <f>_xll.qlFuturesRateHelper(,H37,$H$24,C37,G37,I37,Permanent,Trigger,ObjectOverwrite)</f>
        <v>obj_00426#0013</v>
      </c>
      <c r="K37" s="66"/>
      <c r="L37" s="21" t="str">
        <f t="shared" si="5"/>
        <v>FUT</v>
      </c>
      <c r="M37" s="166" t="str">
        <f t="shared" si="6"/>
        <v>obj_00422#0013</v>
      </c>
      <c r="N37" s="220" t="str">
        <f>IFERROR(_xll.qlRateHelperQuoteName(M37,Trigger),"--")</f>
        <v>USDFUT3MM8_Quote</v>
      </c>
      <c r="O37" s="225">
        <f>IFERROR(_xll.qlRateHelperQuoteValue($M37,Trigger),"--")</f>
        <v>97.61</v>
      </c>
      <c r="P37" s="169" t="b">
        <v>1</v>
      </c>
      <c r="Q37" s="166">
        <v>30</v>
      </c>
      <c r="R37" s="166">
        <v>21</v>
      </c>
      <c r="S37" s="171">
        <f>IFERROR(_xll.qlRateHelperEarliestDate(M37,Trigger),"--")</f>
        <v>43271</v>
      </c>
      <c r="T37" s="171">
        <f>IFERROR(_xll.qlRateHelperPillarDate(M37,Trigger),"--")</f>
        <v>43363</v>
      </c>
      <c r="V37" s="12" t="e">
        <f>IFERROR(INDEX($L$3:$L$88,MATCH(X37,$N$3:$N$88,1),1),NA())</f>
        <v>#N/A</v>
      </c>
      <c r="W37" s="12" t="e">
        <v>#N/A</v>
      </c>
      <c r="X37" s="12" t="e">
        <f>_xll.qlRateHelperQuoteName(W37,Trigger)</f>
        <v>#VALUE!</v>
      </c>
      <c r="Y37" s="106" t="e">
        <f>_xll.qlRateHelperRate(W37,Trigger)</f>
        <v>#VALUE!</v>
      </c>
      <c r="Z37" s="176" t="str">
        <f>IF(ISERROR(_xll.qlSwapRateHelperSpread($W37)),IF(ISERROR(_xll.qlFuturesRateHelperConvexityAdjustment($W37)),"--",_xll.qlFuturesRateHelperConvexityAdjustment($W37)),_xll.qlSwapRateHelperSpread($W37))</f>
        <v>--</v>
      </c>
      <c r="AA37" s="13" t="e">
        <f>_xll.qlRateHelperEarliestDate(W37,Trigger)</f>
        <v>#VALUE!</v>
      </c>
      <c r="AB37" s="13" t="e">
        <f>_xll.qlRateHelperPillarDate(W37,Trigger)</f>
        <v>#VALUE!</v>
      </c>
      <c r="AC37" s="144" t="e">
        <v>#N/A</v>
      </c>
    </row>
    <row r="38" spans="1:29" ht="11.25" customHeight="1" x14ac:dyDescent="0.2">
      <c r="A38" s="89" t="s">
        <v>154</v>
      </c>
      <c r="B38" s="188" t="b">
        <v>1</v>
      </c>
      <c r="C38" s="93" t="str">
        <f>_xll.qlIMMNextCode(C37,B38,Trigger)</f>
        <v>U7</v>
      </c>
      <c r="D38" s="197"/>
      <c r="E38" s="197"/>
      <c r="F38" s="197"/>
      <c r="G38" s="91" t="str">
        <f>PROPER(Currency)&amp;FamilyName&amp;$G$1</f>
        <v>UsdLibor3M</v>
      </c>
      <c r="H38" s="191" t="str">
        <f>Currency&amp;"FUT"&amp;$G$1&amp;$C38&amp;QuoteSuffix</f>
        <v>USDFUT3MU7_Quote</v>
      </c>
      <c r="I38" s="191" t="str">
        <f>Currency&amp;"FUT"&amp;$G$1&amp;$C38&amp;"ConvAdj"&amp;QuoteSuffix</f>
        <v>USDFUT3MU7ConvAdj_Quote</v>
      </c>
      <c r="J38" s="96" t="str">
        <f>_xll.qlFuturesRateHelper(,H38,$H$24,C38,G38,I38,Permanent,Trigger,ObjectOverwrite)</f>
        <v>obj_0042d#0012</v>
      </c>
      <c r="K38" s="66"/>
      <c r="L38" s="21" t="str">
        <f t="shared" si="5"/>
        <v>FUT</v>
      </c>
      <c r="M38" s="166" t="str">
        <f t="shared" si="6"/>
        <v>obj_00420#0014</v>
      </c>
      <c r="N38" s="220" t="str">
        <f>IFERROR(_xll.qlRateHelperQuoteName(M38,Trigger),"--")</f>
        <v>USDFUT3MU8_Quote</v>
      </c>
      <c r="O38" s="225">
        <f>IFERROR(_xll.qlRateHelperQuoteValue($M38,Trigger),"--")</f>
        <v>97.492500000000007</v>
      </c>
      <c r="P38" s="169" t="b">
        <v>1</v>
      </c>
      <c r="Q38" s="166">
        <v>30</v>
      </c>
      <c r="R38" s="166">
        <v>21</v>
      </c>
      <c r="S38" s="171">
        <f>IFERROR(_xll.qlRateHelperEarliestDate(M38,Trigger),"--")</f>
        <v>43362</v>
      </c>
      <c r="T38" s="171">
        <f>IFERROR(_xll.qlRateHelperPillarDate(M38,Trigger),"--")</f>
        <v>43453</v>
      </c>
      <c r="V38" s="12" t="e">
        <f>IFERROR(INDEX($L$3:$L$88,MATCH(X38,$N$3:$N$88,1),1),NA())</f>
        <v>#N/A</v>
      </c>
      <c r="W38" s="12" t="e">
        <v>#N/A</v>
      </c>
      <c r="X38" s="12" t="e">
        <f>_xll.qlRateHelperQuoteName(W38,Trigger)</f>
        <v>#VALUE!</v>
      </c>
      <c r="Y38" s="106" t="e">
        <f>_xll.qlRateHelperRate(W38,Trigger)</f>
        <v>#VALUE!</v>
      </c>
      <c r="Z38" s="176" t="str">
        <f>IF(ISERROR(_xll.qlSwapRateHelperSpread($W38)),IF(ISERROR(_xll.qlFuturesRateHelperConvexityAdjustment($W38)),"--",_xll.qlFuturesRateHelperConvexityAdjustment($W38)),_xll.qlSwapRateHelperSpread($W38))</f>
        <v>--</v>
      </c>
      <c r="AA38" s="13" t="e">
        <f>_xll.qlRateHelperEarliestDate(W38,Trigger)</f>
        <v>#VALUE!</v>
      </c>
      <c r="AB38" s="13" t="e">
        <f>_xll.qlRateHelperPillarDate(W38,Trigger)</f>
        <v>#VALUE!</v>
      </c>
      <c r="AC38" s="144" t="e">
        <v>#N/A</v>
      </c>
    </row>
    <row r="39" spans="1:29" ht="11.25" customHeight="1" x14ac:dyDescent="0.2">
      <c r="A39" s="89" t="s">
        <v>154</v>
      </c>
      <c r="B39" s="188" t="b">
        <v>1</v>
      </c>
      <c r="C39" s="93" t="str">
        <f>_xll.qlIMMNextCode(C38,B39,Trigger)</f>
        <v>Z7</v>
      </c>
      <c r="D39" s="197"/>
      <c r="E39" s="197"/>
      <c r="F39" s="197"/>
      <c r="G39" s="91" t="str">
        <f>PROPER(Currency)&amp;FamilyName&amp;$G$1</f>
        <v>UsdLibor3M</v>
      </c>
      <c r="H39" s="191" t="str">
        <f>Currency&amp;"FUT"&amp;$G$1&amp;$C39&amp;QuoteSuffix</f>
        <v>USDFUT3MZ7_Quote</v>
      </c>
      <c r="I39" s="191" t="str">
        <f>Currency&amp;"FUT"&amp;$G$1&amp;$C39&amp;"ConvAdj"&amp;QuoteSuffix</f>
        <v>USDFUT3MZ7ConvAdj_Quote</v>
      </c>
      <c r="J39" s="96" t="str">
        <f>_xll.qlFuturesRateHelper(,H39,$H$24,C39,G39,I39,Permanent,Trigger,ObjectOverwrite)</f>
        <v>obj_00429#0013</v>
      </c>
      <c r="K39" s="66"/>
      <c r="L39" s="21" t="str">
        <f t="shared" si="5"/>
        <v>FUT</v>
      </c>
      <c r="M39" s="166" t="str">
        <f t="shared" si="6"/>
        <v>obj_0041c#0013</v>
      </c>
      <c r="N39" s="220" t="str">
        <f>IFERROR(_xll.qlRateHelperQuoteName(M39,Trigger),"--")</f>
        <v>USDFUT3MZ8_Quote</v>
      </c>
      <c r="O39" s="225">
        <f>IFERROR(_xll.qlRateHelperQuoteValue($M39,Trigger),"--")</f>
        <v>97.377499999999998</v>
      </c>
      <c r="P39" s="169" t="b">
        <v>1</v>
      </c>
      <c r="Q39" s="166">
        <v>30</v>
      </c>
      <c r="R39" s="166">
        <v>21</v>
      </c>
      <c r="S39" s="171">
        <f>IFERROR(_xll.qlRateHelperEarliestDate(M39,Trigger),"--")</f>
        <v>43453</v>
      </c>
      <c r="T39" s="171">
        <f>IFERROR(_xll.qlRateHelperPillarDate(M39,Trigger),"--")</f>
        <v>43543</v>
      </c>
      <c r="V39" s="12" t="e">
        <f>IFERROR(INDEX($L$3:$L$88,MATCH(X39,$N$3:$N$88,1),1),NA())</f>
        <v>#N/A</v>
      </c>
      <c r="W39" s="12" t="e">
        <v>#N/A</v>
      </c>
      <c r="X39" s="12" t="e">
        <f>_xll.qlRateHelperQuoteName(W39,Trigger)</f>
        <v>#VALUE!</v>
      </c>
      <c r="Y39" s="106" t="e">
        <f>_xll.qlRateHelperRate(W39,Trigger)</f>
        <v>#VALUE!</v>
      </c>
      <c r="Z39" s="176" t="str">
        <f>IF(ISERROR(_xll.qlSwapRateHelperSpread($W39)),IF(ISERROR(_xll.qlFuturesRateHelperConvexityAdjustment($W39)),"--",_xll.qlFuturesRateHelperConvexityAdjustment($W39)),_xll.qlSwapRateHelperSpread($W39))</f>
        <v>--</v>
      </c>
      <c r="AA39" s="13" t="e">
        <f>_xll.qlRateHelperEarliestDate(W39,Trigger)</f>
        <v>#VALUE!</v>
      </c>
      <c r="AB39" s="13" t="e">
        <f>_xll.qlRateHelperPillarDate(W39,Trigger)</f>
        <v>#VALUE!</v>
      </c>
      <c r="AC39" s="144" t="e">
        <v>#N/A</v>
      </c>
    </row>
    <row r="40" spans="1:29" ht="11.25" customHeight="1" x14ac:dyDescent="0.2">
      <c r="A40" s="89" t="s">
        <v>154</v>
      </c>
      <c r="B40" s="188" t="b">
        <v>1</v>
      </c>
      <c r="C40" s="93" t="str">
        <f>_xll.qlIMMNextCode(C39,B40,Trigger)</f>
        <v>H8</v>
      </c>
      <c r="D40" s="197"/>
      <c r="E40" s="197"/>
      <c r="F40" s="197"/>
      <c r="G40" s="91" t="str">
        <f>PROPER(Currency)&amp;FamilyName&amp;$G$1</f>
        <v>UsdLibor3M</v>
      </c>
      <c r="H40" s="191" t="str">
        <f>Currency&amp;"FUT"&amp;$G$1&amp;$C40&amp;QuoteSuffix</f>
        <v>USDFUT3MH8_Quote</v>
      </c>
      <c r="I40" s="191" t="str">
        <f>Currency&amp;"FUT"&amp;$G$1&amp;$C40&amp;"ConvAdj"&amp;QuoteSuffix</f>
        <v>USDFUT3MH8ConvAdj_Quote</v>
      </c>
      <c r="J40" s="96" t="str">
        <f>_xll.qlFuturesRateHelper(,H40,$H$24,C40,G40,I40,Permanent,Trigger,ObjectOverwrite)</f>
        <v>obj_0041e#0014</v>
      </c>
      <c r="K40" s="66"/>
      <c r="L40" s="21" t="str">
        <f t="shared" si="5"/>
        <v>FUT</v>
      </c>
      <c r="M40" s="166" t="str">
        <f t="shared" si="6"/>
        <v>obj_00417#0014</v>
      </c>
      <c r="N40" s="220" t="str">
        <f>IFERROR(_xll.qlRateHelperQuoteName(M40,Trigger),"--")</f>
        <v>USDFUT3MH9_Quote</v>
      </c>
      <c r="O40" s="225">
        <f>IFERROR(_xll.qlRateHelperQuoteValue($M40,Trigger),"--")</f>
        <v>97.282499999999999</v>
      </c>
      <c r="P40" s="169" t="b">
        <v>1</v>
      </c>
      <c r="Q40" s="166">
        <v>30</v>
      </c>
      <c r="R40" s="166">
        <v>21</v>
      </c>
      <c r="S40" s="171">
        <f>IFERROR(_xll.qlRateHelperEarliestDate(M40,Trigger),"--")</f>
        <v>43544</v>
      </c>
      <c r="T40" s="171">
        <f>IFERROR(_xll.qlRateHelperPillarDate(M40,Trigger),"--")</f>
        <v>43636</v>
      </c>
      <c r="V40" s="12" t="e">
        <f>IFERROR(INDEX($L$3:$L$88,MATCH(X40,$N$3:$N$88,1),1),NA())</f>
        <v>#N/A</v>
      </c>
      <c r="W40" s="12" t="e">
        <v>#N/A</v>
      </c>
      <c r="X40" s="12" t="e">
        <f>_xll.qlRateHelperQuoteName(W40,Trigger)</f>
        <v>#VALUE!</v>
      </c>
      <c r="Y40" s="106" t="e">
        <f>_xll.qlRateHelperRate(W40,Trigger)</f>
        <v>#VALUE!</v>
      </c>
      <c r="Z40" s="176" t="str">
        <f>IF(ISERROR(_xll.qlSwapRateHelperSpread($W40)),IF(ISERROR(_xll.qlFuturesRateHelperConvexityAdjustment($W40)),"--",_xll.qlFuturesRateHelperConvexityAdjustment($W40)),_xll.qlSwapRateHelperSpread($W40))</f>
        <v>--</v>
      </c>
      <c r="AA40" s="13" t="e">
        <f>_xll.qlRateHelperEarliestDate(W40,Trigger)</f>
        <v>#VALUE!</v>
      </c>
      <c r="AB40" s="13" t="e">
        <f>_xll.qlRateHelperPillarDate(W40,Trigger)</f>
        <v>#VALUE!</v>
      </c>
      <c r="AC40" s="144" t="e">
        <v>#N/A</v>
      </c>
    </row>
    <row r="41" spans="1:29" ht="11.25" customHeight="1" x14ac:dyDescent="0.2">
      <c r="A41" s="89" t="s">
        <v>154</v>
      </c>
      <c r="B41" s="188" t="b">
        <v>1</v>
      </c>
      <c r="C41" s="93" t="str">
        <f>_xll.qlIMMNextCode(C40,B41,Trigger)</f>
        <v>M8</v>
      </c>
      <c r="D41" s="197"/>
      <c r="E41" s="197"/>
      <c r="F41" s="197"/>
      <c r="G41" s="91" t="str">
        <f>PROPER(Currency)&amp;FamilyName&amp;$G$1</f>
        <v>UsdLibor3M</v>
      </c>
      <c r="H41" s="191" t="str">
        <f>Currency&amp;"FUT"&amp;$G$1&amp;$C41&amp;QuoteSuffix</f>
        <v>USDFUT3MM8_Quote</v>
      </c>
      <c r="I41" s="191" t="str">
        <f>Currency&amp;"FUT"&amp;$G$1&amp;$C41&amp;"ConvAdj"&amp;QuoteSuffix</f>
        <v>USDFUT3MM8ConvAdj_Quote</v>
      </c>
      <c r="J41" s="96" t="str">
        <f>_xll.qlFuturesRateHelper(,H41,$H$24,C41,G41,I41,Permanent,Trigger,ObjectOverwrite)</f>
        <v>obj_00422#0013</v>
      </c>
      <c r="L41" s="21" t="str">
        <f t="shared" si="5"/>
        <v>FUT</v>
      </c>
      <c r="M41" s="166" t="str">
        <f t="shared" si="6"/>
        <v>obj_0041f#0014</v>
      </c>
      <c r="N41" s="220" t="str">
        <f>IFERROR(_xll.qlRateHelperQuoteName(M41,Trigger),"--")</f>
        <v>USDFUT3MM9_Quote</v>
      </c>
      <c r="O41" s="225">
        <f>IFERROR(_xll.qlRateHelperQuoteValue($M41,Trigger),"--")</f>
        <v>97.1875</v>
      </c>
      <c r="P41" s="169" t="b">
        <v>1</v>
      </c>
      <c r="Q41" s="166">
        <v>30</v>
      </c>
      <c r="R41" s="166">
        <v>21</v>
      </c>
      <c r="S41" s="171">
        <f>IFERROR(_xll.qlRateHelperEarliestDate(M41,Trigger),"--")</f>
        <v>43635</v>
      </c>
      <c r="T41" s="171">
        <f>IFERROR(_xll.qlRateHelperPillarDate(M41,Trigger),"--")</f>
        <v>43727</v>
      </c>
      <c r="V41" s="12" t="e">
        <f>IFERROR(INDEX($L$3:$L$88,MATCH(X41,$N$3:$N$88,1),1),NA())</f>
        <v>#N/A</v>
      </c>
      <c r="W41" s="12" t="e">
        <v>#N/A</v>
      </c>
      <c r="X41" s="12" t="e">
        <f>_xll.qlRateHelperQuoteName(W41,Trigger)</f>
        <v>#VALUE!</v>
      </c>
      <c r="Y41" s="106" t="e">
        <f>_xll.qlRateHelperRate(W41,Trigger)</f>
        <v>#VALUE!</v>
      </c>
      <c r="Z41" s="176" t="str">
        <f>IF(ISERROR(_xll.qlSwapRateHelperSpread($W41)),IF(ISERROR(_xll.qlFuturesRateHelperConvexityAdjustment($W41)),"--",_xll.qlFuturesRateHelperConvexityAdjustment($W41)),_xll.qlSwapRateHelperSpread($W41))</f>
        <v>--</v>
      </c>
      <c r="AA41" s="13" t="e">
        <f>_xll.qlRateHelperEarliestDate(W41,Trigger)</f>
        <v>#VALUE!</v>
      </c>
      <c r="AB41" s="13" t="e">
        <f>_xll.qlRateHelperPillarDate(W41,Trigger)</f>
        <v>#VALUE!</v>
      </c>
      <c r="AC41" s="144" t="e">
        <v>#N/A</v>
      </c>
    </row>
    <row r="42" spans="1:29" ht="11.25" customHeight="1" x14ac:dyDescent="0.2">
      <c r="A42" s="89" t="s">
        <v>154</v>
      </c>
      <c r="B42" s="188" t="b">
        <v>1</v>
      </c>
      <c r="C42" s="93" t="str">
        <f>_xll.qlIMMNextCode(C41,B42,Trigger)</f>
        <v>U8</v>
      </c>
      <c r="D42" s="197"/>
      <c r="E42" s="197"/>
      <c r="F42" s="197"/>
      <c r="G42" s="91" t="str">
        <f>PROPER(Currency)&amp;FamilyName&amp;$G$1</f>
        <v>UsdLibor3M</v>
      </c>
      <c r="H42" s="191" t="str">
        <f>Currency&amp;"FUT"&amp;$G$1&amp;$C42&amp;QuoteSuffix</f>
        <v>USDFUT3MU8_Quote</v>
      </c>
      <c r="I42" s="191" t="str">
        <f>Currency&amp;"FUT"&amp;$G$1&amp;$C42&amp;"ConvAdj"&amp;QuoteSuffix</f>
        <v>USDFUT3MU8ConvAdj_Quote</v>
      </c>
      <c r="J42" s="96" t="str">
        <f>_xll.qlFuturesRateHelper(,H42,$H$24,C42,G42,I42,Permanent,Trigger,ObjectOverwrite)</f>
        <v>obj_00420#0014</v>
      </c>
      <c r="L42" s="21" t="str">
        <f t="shared" si="5"/>
        <v>FUT</v>
      </c>
      <c r="M42" s="166" t="str">
        <f t="shared" si="6"/>
        <v>obj_0042c#0013</v>
      </c>
      <c r="N42" s="220" t="str">
        <f>IFERROR(_xll.qlRateHelperQuoteName(M42,Trigger),"--")</f>
        <v>USDFUT3MU9_Quote</v>
      </c>
      <c r="O42" s="225">
        <f>IFERROR(_xll.qlRateHelperQuoteValue($M42,Trigger),"--")</f>
        <v>97.102499999999992</v>
      </c>
      <c r="P42" s="169" t="b">
        <v>1</v>
      </c>
      <c r="Q42" s="166">
        <v>30</v>
      </c>
      <c r="R42" s="166">
        <v>21</v>
      </c>
      <c r="S42" s="171">
        <f>IFERROR(_xll.qlRateHelperEarliestDate(M42,Trigger),"--")</f>
        <v>43726</v>
      </c>
      <c r="T42" s="171">
        <f>IFERROR(_xll.qlRateHelperPillarDate(M42,Trigger),"--")</f>
        <v>43817</v>
      </c>
      <c r="V42" s="12" t="e">
        <f>IFERROR(INDEX($L$3:$L$88,MATCH(X42,$N$3:$N$88,1),1),NA())</f>
        <v>#N/A</v>
      </c>
      <c r="W42" s="12" t="e">
        <v>#N/A</v>
      </c>
      <c r="X42" s="12" t="e">
        <f>_xll.qlRateHelperQuoteName(W42,Trigger)</f>
        <v>#VALUE!</v>
      </c>
      <c r="Y42" s="106" t="e">
        <f>_xll.qlRateHelperRate(W42,Trigger)</f>
        <v>#VALUE!</v>
      </c>
      <c r="Z42" s="176" t="str">
        <f>IF(ISERROR(_xll.qlSwapRateHelperSpread($W42)),IF(ISERROR(_xll.qlFuturesRateHelperConvexityAdjustment($W42)),"--",_xll.qlFuturesRateHelperConvexityAdjustment($W42)),_xll.qlSwapRateHelperSpread($W42))</f>
        <v>--</v>
      </c>
      <c r="AA42" s="13" t="e">
        <f>_xll.qlRateHelperEarliestDate(W42,Trigger)</f>
        <v>#VALUE!</v>
      </c>
      <c r="AB42" s="13" t="e">
        <f>_xll.qlRateHelperPillarDate(W42,Trigger)</f>
        <v>#VALUE!</v>
      </c>
      <c r="AC42" s="144" t="e">
        <v>#N/A</v>
      </c>
    </row>
    <row r="43" spans="1:29" ht="11.25" customHeight="1" x14ac:dyDescent="0.2">
      <c r="A43" s="89" t="s">
        <v>154</v>
      </c>
      <c r="B43" s="188" t="b">
        <v>1</v>
      </c>
      <c r="C43" s="93" t="str">
        <f>_xll.qlIMMNextCode(C42,B43,Trigger)</f>
        <v>Z8</v>
      </c>
      <c r="D43" s="197"/>
      <c r="E43" s="197"/>
      <c r="F43" s="197"/>
      <c r="G43" s="91" t="str">
        <f>PROPER(Currency)&amp;FamilyName&amp;$G$1</f>
        <v>UsdLibor3M</v>
      </c>
      <c r="H43" s="191" t="str">
        <f>Currency&amp;"FUT"&amp;$G$1&amp;$C43&amp;QuoteSuffix</f>
        <v>USDFUT3MZ8_Quote</v>
      </c>
      <c r="I43" s="191" t="str">
        <f>Currency&amp;"FUT"&amp;$G$1&amp;$C43&amp;"ConvAdj"&amp;QuoteSuffix</f>
        <v>USDFUT3MZ8ConvAdj_Quote</v>
      </c>
      <c r="J43" s="96" t="str">
        <f>_xll.qlFuturesRateHelper(,H43,$H$24,C43,G43,I43,Permanent,Trigger,ObjectOverwrite)</f>
        <v>obj_0041c#0013</v>
      </c>
      <c r="L43" s="22" t="str">
        <f t="shared" si="5"/>
        <v>FUT</v>
      </c>
      <c r="M43" s="167" t="str">
        <f t="shared" si="6"/>
        <v>obj_00434#0014</v>
      </c>
      <c r="N43" s="221" t="str">
        <f>IFERROR(_xll.qlRateHelperQuoteName(M43,Trigger),"--")</f>
        <v>USDFUT3MZ9_Quote</v>
      </c>
      <c r="O43" s="226">
        <f>IFERROR(_xll.qlRateHelperQuoteValue($M43,Trigger),"--")</f>
        <v>97.012500000000003</v>
      </c>
      <c r="P43" s="172" t="b">
        <v>1</v>
      </c>
      <c r="Q43" s="167">
        <v>30</v>
      </c>
      <c r="R43" s="167">
        <v>21</v>
      </c>
      <c r="S43" s="174">
        <f>IFERROR(_xll.qlRateHelperEarliestDate(M43,Trigger),"--")</f>
        <v>43817</v>
      </c>
      <c r="T43" s="174">
        <f>IFERROR(_xll.qlRateHelperPillarDate(M43,Trigger),"--")</f>
        <v>43908</v>
      </c>
      <c r="V43" s="12" t="e">
        <f>IFERROR(INDEX($L$3:$L$88,MATCH(X43,$N$3:$N$88,1),1),NA())</f>
        <v>#N/A</v>
      </c>
      <c r="W43" s="12" t="e">
        <v>#N/A</v>
      </c>
      <c r="X43" s="12" t="e">
        <f>_xll.qlRateHelperQuoteName(W43,Trigger)</f>
        <v>#VALUE!</v>
      </c>
      <c r="Y43" s="106" t="e">
        <f>_xll.qlRateHelperRate(W43,Trigger)</f>
        <v>#VALUE!</v>
      </c>
      <c r="Z43" s="176" t="str">
        <f>IF(ISERROR(_xll.qlSwapRateHelperSpread($W43)),IF(ISERROR(_xll.qlFuturesRateHelperConvexityAdjustment($W43)),"--",_xll.qlFuturesRateHelperConvexityAdjustment($W43)),_xll.qlSwapRateHelperSpread($W43))</f>
        <v>--</v>
      </c>
      <c r="AA43" s="13" t="e">
        <f>_xll.qlRateHelperEarliestDate(W43,Trigger)</f>
        <v>#VALUE!</v>
      </c>
      <c r="AB43" s="13" t="e">
        <f>_xll.qlRateHelperPillarDate(W43,Trigger)</f>
        <v>#VALUE!</v>
      </c>
      <c r="AC43" s="144" t="e">
        <v>#N/A</v>
      </c>
    </row>
    <row r="44" spans="1:29" ht="11.25" customHeight="1" x14ac:dyDescent="0.2">
      <c r="A44" s="89" t="s">
        <v>154</v>
      </c>
      <c r="B44" s="188" t="b">
        <v>1</v>
      </c>
      <c r="C44" s="93" t="str">
        <f>_xll.qlIMMNextCode(C43,B44,Trigger)</f>
        <v>H9</v>
      </c>
      <c r="D44" s="197"/>
      <c r="E44" s="197"/>
      <c r="F44" s="197"/>
      <c r="G44" s="91" t="str">
        <f>PROPER(Currency)&amp;FamilyName&amp;$G$1</f>
        <v>UsdLibor3M</v>
      </c>
      <c r="H44" s="191" t="str">
        <f>Currency&amp;"FUT"&amp;$G$1&amp;$C44&amp;QuoteSuffix</f>
        <v>USDFUT3MH9_Quote</v>
      </c>
      <c r="I44" s="191" t="str">
        <f>Currency&amp;"FUT"&amp;$G$1&amp;$C44&amp;"ConvAdj"&amp;QuoteSuffix</f>
        <v>USDFUT3MH9ConvAdj_Quote</v>
      </c>
      <c r="J44" s="96" t="str">
        <f>_xll.qlFuturesRateHelper(,H44,$H$24,C44,G44,I44,Permanent,Trigger,ObjectOverwrite)</f>
        <v>obj_00417#0014</v>
      </c>
      <c r="L44" s="209" t="str">
        <f>A50</f>
        <v>Sw</v>
      </c>
      <c r="M44" s="210" t="str">
        <f>IF(ISBLANK(J50),"--",J50)</f>
        <v>--</v>
      </c>
      <c r="N44" s="222" t="str">
        <f>IFERROR(_xll.qlRateHelperQuoteName(M44,Trigger),"--")</f>
        <v>--</v>
      </c>
      <c r="O44" s="212" t="str">
        <f>IFERROR(_xll.qlRateHelperQuoteValue($M44,Trigger),"--")</f>
        <v>--</v>
      </c>
      <c r="P44" s="211" t="b">
        <v>0</v>
      </c>
      <c r="Q44" s="210">
        <v>50</v>
      </c>
      <c r="R44" s="210">
        <v>1</v>
      </c>
      <c r="S44" s="213" t="str">
        <f>IFERROR(_xll.qlRateHelperEarliestDate(M44,Trigger),"--")</f>
        <v>--</v>
      </c>
      <c r="T44" s="213" t="str">
        <f>IFERROR(_xll.qlRateHelperPillarDate(M44,Trigger),"--")</f>
        <v>--</v>
      </c>
      <c r="V44" s="12" t="e">
        <f>IFERROR(INDEX($L$3:$L$88,MATCH(X44,$N$3:$N$88,1),1),NA())</f>
        <v>#N/A</v>
      </c>
      <c r="W44" s="12" t="e">
        <v>#N/A</v>
      </c>
      <c r="X44" s="12" t="e">
        <f>_xll.qlRateHelperQuoteName(W44,Trigger)</f>
        <v>#VALUE!</v>
      </c>
      <c r="Y44" s="106" t="e">
        <f>_xll.qlRateHelperRate(W44,Trigger)</f>
        <v>#VALUE!</v>
      </c>
      <c r="Z44" s="176" t="str">
        <f>IF(ISERROR(_xll.qlSwapRateHelperSpread($W44)),IF(ISERROR(_xll.qlFuturesRateHelperConvexityAdjustment($W44)),"--",_xll.qlFuturesRateHelperConvexityAdjustment($W44)),_xll.qlSwapRateHelperSpread($W44))</f>
        <v>--</v>
      </c>
      <c r="AA44" s="13" t="e">
        <f>_xll.qlRateHelperEarliestDate(W44,Trigger)</f>
        <v>#VALUE!</v>
      </c>
      <c r="AB44" s="13" t="e">
        <f>_xll.qlRateHelperPillarDate(W44,Trigger)</f>
        <v>#VALUE!</v>
      </c>
      <c r="AC44" s="144" t="e">
        <v>#N/A</v>
      </c>
    </row>
    <row r="45" spans="1:29" ht="11.25" customHeight="1" x14ac:dyDescent="0.2">
      <c r="A45" s="89" t="s">
        <v>154</v>
      </c>
      <c r="B45" s="188" t="b">
        <v>1</v>
      </c>
      <c r="C45" s="93" t="str">
        <f>_xll.qlIMMNextCode(C44,B45,Trigger)</f>
        <v>M9</v>
      </c>
      <c r="D45" s="197"/>
      <c r="E45" s="197"/>
      <c r="F45" s="197"/>
      <c r="G45" s="91" t="str">
        <f>PROPER(Currency)&amp;FamilyName&amp;$G$1</f>
        <v>UsdLibor3M</v>
      </c>
      <c r="H45" s="191" t="str">
        <f>Currency&amp;"FUT"&amp;$G$1&amp;$C45&amp;QuoteSuffix</f>
        <v>USDFUT3MM9_Quote</v>
      </c>
      <c r="I45" s="191" t="str">
        <f>Currency&amp;"FUT"&amp;$G$1&amp;$C45&amp;"ConvAdj"&amp;QuoteSuffix</f>
        <v>USDFUT3MM9ConvAdj_Quote</v>
      </c>
      <c r="J45" s="96" t="str">
        <f>_xll.qlFuturesRateHelper(,H45,$H$24,C45,G45,I45,Permanent,Trigger,ObjectOverwrite)</f>
        <v>obj_0041f#0014</v>
      </c>
      <c r="L45" s="107" t="str">
        <f t="shared" ref="L45:L87" si="7">A51</f>
        <v>Sw</v>
      </c>
      <c r="M45" s="214" t="str">
        <f t="shared" ref="M45:M88" si="8">IF(ISBLANK(J51),"--",J51)</f>
        <v>--</v>
      </c>
      <c r="N45" s="223" t="str">
        <f>IFERROR(_xll.qlRateHelperQuoteName(M45,Trigger),"--")</f>
        <v>--</v>
      </c>
      <c r="O45" s="216" t="str">
        <f>IFERROR(_xll.qlRateHelperQuoteValue($M45,Trigger),"--")</f>
        <v>--</v>
      </c>
      <c r="P45" s="215" t="b">
        <v>0</v>
      </c>
      <c r="Q45" s="214">
        <v>50</v>
      </c>
      <c r="R45" s="214">
        <v>1</v>
      </c>
      <c r="S45" s="217" t="str">
        <f>IFERROR(_xll.qlRateHelperEarliestDate(M45,Trigger),"--")</f>
        <v>--</v>
      </c>
      <c r="T45" s="217" t="str">
        <f>IFERROR(_xll.qlRateHelperPillarDate(M45,Trigger),"--")</f>
        <v>--</v>
      </c>
      <c r="V45" s="12" t="e">
        <f>IFERROR(INDEX($L$3:$L$88,MATCH(X45,$N$3:$N$88,1),1),NA())</f>
        <v>#N/A</v>
      </c>
      <c r="W45" s="12" t="e">
        <v>#N/A</v>
      </c>
      <c r="X45" s="12" t="e">
        <f>_xll.qlRateHelperQuoteName(W45,Trigger)</f>
        <v>#VALUE!</v>
      </c>
      <c r="Y45" s="106" t="e">
        <f>_xll.qlRateHelperRate(W45,Trigger)</f>
        <v>#VALUE!</v>
      </c>
      <c r="Z45" s="176" t="str">
        <f>IF(ISERROR(_xll.qlSwapRateHelperSpread($W45)),IF(ISERROR(_xll.qlFuturesRateHelperConvexityAdjustment($W45)),"--",_xll.qlFuturesRateHelperConvexityAdjustment($W45)),_xll.qlSwapRateHelperSpread($W45))</f>
        <v>--</v>
      </c>
      <c r="AA45" s="13" t="e">
        <f>_xll.qlRateHelperEarliestDate(W45,Trigger)</f>
        <v>#VALUE!</v>
      </c>
      <c r="AB45" s="13" t="e">
        <f>_xll.qlRateHelperPillarDate(W45,Trigger)</f>
        <v>#VALUE!</v>
      </c>
      <c r="AC45" s="144" t="e">
        <v>#N/A</v>
      </c>
    </row>
    <row r="46" spans="1:29" ht="11.25" customHeight="1" x14ac:dyDescent="0.2">
      <c r="A46" s="89" t="s">
        <v>154</v>
      </c>
      <c r="B46" s="188" t="b">
        <v>1</v>
      </c>
      <c r="C46" s="93" t="str">
        <f>_xll.qlIMMNextCode(C45,B46,Trigger)</f>
        <v>U9</v>
      </c>
      <c r="D46" s="197"/>
      <c r="E46" s="197"/>
      <c r="F46" s="197"/>
      <c r="G46" s="91" t="str">
        <f>PROPER(Currency)&amp;FamilyName&amp;$G$1</f>
        <v>UsdLibor3M</v>
      </c>
      <c r="H46" s="191" t="str">
        <f>Currency&amp;"FUT"&amp;$G$1&amp;$C46&amp;QuoteSuffix</f>
        <v>USDFUT3MU9_Quote</v>
      </c>
      <c r="I46" s="191" t="str">
        <f>Currency&amp;"FUT"&amp;$G$1&amp;$C46&amp;"ConvAdj"&amp;QuoteSuffix</f>
        <v>USDFUT3MU9ConvAdj_Quote</v>
      </c>
      <c r="J46" s="96" t="str">
        <f>_xll.qlFuturesRateHelper(,H46,$H$24,C46,G46,I46,Permanent,Trigger,ObjectOverwrite)</f>
        <v>obj_0042c#0013</v>
      </c>
      <c r="L46" s="107" t="str">
        <f t="shared" si="7"/>
        <v>Sw</v>
      </c>
      <c r="M46" s="214" t="str">
        <f t="shared" si="8"/>
        <v>--</v>
      </c>
      <c r="N46" s="223" t="str">
        <f>IFERROR(_xll.qlRateHelperQuoteName(M46,Trigger),"--")</f>
        <v>--</v>
      </c>
      <c r="O46" s="216" t="str">
        <f>IFERROR(_xll.qlRateHelperQuoteValue($M46,Trigger),"--")</f>
        <v>--</v>
      </c>
      <c r="P46" s="215" t="b">
        <v>0</v>
      </c>
      <c r="Q46" s="214">
        <v>50</v>
      </c>
      <c r="R46" s="214">
        <v>1</v>
      </c>
      <c r="S46" s="217" t="str">
        <f>IFERROR(_xll.qlRateHelperEarliestDate(M46,Trigger),"--")</f>
        <v>--</v>
      </c>
      <c r="T46" s="217" t="str">
        <f>IFERROR(_xll.qlRateHelperPillarDate(M46,Trigger),"--")</f>
        <v>--</v>
      </c>
      <c r="V46" s="12" t="e">
        <f>IFERROR(INDEX($L$3:$L$88,MATCH(X46,$N$3:$N$88,1),1),NA())</f>
        <v>#N/A</v>
      </c>
      <c r="W46" s="12" t="e">
        <v>#N/A</v>
      </c>
      <c r="X46" s="12" t="e">
        <f>_xll.qlRateHelperQuoteName(W46,Trigger)</f>
        <v>#VALUE!</v>
      </c>
      <c r="Y46" s="106" t="e">
        <f>_xll.qlRateHelperRate(W46,Trigger)</f>
        <v>#VALUE!</v>
      </c>
      <c r="Z46" s="176" t="str">
        <f>IF(ISERROR(_xll.qlSwapRateHelperSpread($W46)),IF(ISERROR(_xll.qlFuturesRateHelperConvexityAdjustment($W46)),"--",_xll.qlFuturesRateHelperConvexityAdjustment($W46)),_xll.qlSwapRateHelperSpread($W46))</f>
        <v>--</v>
      </c>
      <c r="AA46" s="13" t="e">
        <f>_xll.qlRateHelperEarliestDate(W46,Trigger)</f>
        <v>#VALUE!</v>
      </c>
      <c r="AB46" s="13" t="e">
        <f>_xll.qlRateHelperPillarDate(W46,Trigger)</f>
        <v>#VALUE!</v>
      </c>
      <c r="AC46" s="144" t="e">
        <v>#N/A</v>
      </c>
    </row>
    <row r="47" spans="1:29" ht="11.25" customHeight="1" x14ac:dyDescent="0.2">
      <c r="A47" s="3" t="s">
        <v>154</v>
      </c>
      <c r="B47" s="189" t="b">
        <v>1</v>
      </c>
      <c r="C47" s="19" t="str">
        <f>_xll.qlIMMNextCode(C46,B47,Trigger)</f>
        <v>Z9</v>
      </c>
      <c r="D47" s="198"/>
      <c r="E47" s="198"/>
      <c r="F47" s="198"/>
      <c r="G47" s="16" t="str">
        <f>PROPER(Currency)&amp;FamilyName&amp;$G$1</f>
        <v>UsdLibor3M</v>
      </c>
      <c r="H47" s="192" t="str">
        <f>Currency&amp;"FUT"&amp;$G$1&amp;$C47&amp;QuoteSuffix</f>
        <v>USDFUT3MZ9_Quote</v>
      </c>
      <c r="I47" s="192" t="str">
        <f>Currency&amp;"FUT"&amp;$G$1&amp;$C47&amp;"ConvAdj"&amp;QuoteSuffix</f>
        <v>USDFUT3MZ9ConvAdj_Quote</v>
      </c>
      <c r="J47" s="6" t="str">
        <f>_xll.qlFuturesRateHelper(,H47,$H$24,C47,G47,I47,Permanent,Trigger,ObjectOverwrite)</f>
        <v>obj_00434#0014</v>
      </c>
      <c r="L47" s="107" t="str">
        <f t="shared" si="7"/>
        <v>Sw</v>
      </c>
      <c r="M47" s="214" t="str">
        <f t="shared" si="8"/>
        <v>--</v>
      </c>
      <c r="N47" s="223" t="str">
        <f>IFERROR(_xll.qlRateHelperQuoteName(M47,Trigger),"--")</f>
        <v>--</v>
      </c>
      <c r="O47" s="216" t="str">
        <f>IFERROR(_xll.qlRateHelperQuoteValue($M47,Trigger),"--")</f>
        <v>--</v>
      </c>
      <c r="P47" s="215" t="b">
        <v>0</v>
      </c>
      <c r="Q47" s="214">
        <v>50</v>
      </c>
      <c r="R47" s="214">
        <v>1</v>
      </c>
      <c r="S47" s="217" t="str">
        <f>IFERROR(_xll.qlRateHelperEarliestDate(M47,Trigger),"--")</f>
        <v>--</v>
      </c>
      <c r="T47" s="217" t="str">
        <f>IFERROR(_xll.qlRateHelperPillarDate(M47,Trigger),"--")</f>
        <v>--</v>
      </c>
      <c r="V47" s="12" t="e">
        <f>IFERROR(INDEX($L$3:$L$88,MATCH(X47,$N$3:$N$88,1),1),NA())</f>
        <v>#N/A</v>
      </c>
      <c r="W47" s="12" t="e">
        <v>#N/A</v>
      </c>
      <c r="X47" s="12" t="e">
        <f>_xll.qlRateHelperQuoteName(W47,Trigger)</f>
        <v>#VALUE!</v>
      </c>
      <c r="Y47" s="106" t="e">
        <f>_xll.qlRateHelperRate(W47,Trigger)</f>
        <v>#VALUE!</v>
      </c>
      <c r="Z47" s="176" t="str">
        <f>IF(ISERROR(_xll.qlSwapRateHelperSpread($W47)),IF(ISERROR(_xll.qlFuturesRateHelperConvexityAdjustment($W47)),"--",_xll.qlFuturesRateHelperConvexityAdjustment($W47)),_xll.qlSwapRateHelperSpread($W47))</f>
        <v>--</v>
      </c>
      <c r="AA47" s="13" t="e">
        <f>_xll.qlRateHelperEarliestDate(W47,Trigger)</f>
        <v>#VALUE!</v>
      </c>
      <c r="AB47" s="13" t="e">
        <f>_xll.qlRateHelperPillarDate(W47,Trigger)</f>
        <v>#VALUE!</v>
      </c>
      <c r="AC47" s="144" t="e">
        <v>#N/A</v>
      </c>
    </row>
    <row r="48" spans="1:29" ht="11.25" customHeight="1" x14ac:dyDescent="0.2">
      <c r="G48" s="77" t="s">
        <v>174</v>
      </c>
      <c r="H48" s="77" t="s">
        <v>175</v>
      </c>
      <c r="L48" s="107" t="str">
        <f t="shared" si="7"/>
        <v>Sw</v>
      </c>
      <c r="M48" s="214" t="str">
        <f t="shared" si="8"/>
        <v>--</v>
      </c>
      <c r="N48" s="223" t="str">
        <f>IFERROR(_xll.qlRateHelperQuoteName(M48,Trigger),"--")</f>
        <v>--</v>
      </c>
      <c r="O48" s="216" t="str">
        <f>IFERROR(_xll.qlRateHelperQuoteValue($M48,Trigger),"--")</f>
        <v>--</v>
      </c>
      <c r="P48" s="215" t="b">
        <v>0</v>
      </c>
      <c r="Q48" s="214">
        <v>50</v>
      </c>
      <c r="R48" s="214">
        <v>1</v>
      </c>
      <c r="S48" s="217" t="str">
        <f>IFERROR(_xll.qlRateHelperEarliestDate(M48,Trigger),"--")</f>
        <v>--</v>
      </c>
      <c r="T48" s="217" t="str">
        <f>IFERROR(_xll.qlRateHelperPillarDate(M48,Trigger),"--")</f>
        <v>--</v>
      </c>
      <c r="V48" s="12" t="e">
        <f>IFERROR(INDEX($L$3:$L$88,MATCH(X48,$N$3:$N$88,1),1),NA())</f>
        <v>#N/A</v>
      </c>
      <c r="W48" s="12" t="e">
        <v>#N/A</v>
      </c>
      <c r="X48" s="12" t="e">
        <f>_xll.qlRateHelperQuoteName(W48,Trigger)</f>
        <v>#VALUE!</v>
      </c>
      <c r="Y48" s="106" t="e">
        <f>_xll.qlRateHelperRate(W48,Trigger)</f>
        <v>#VALUE!</v>
      </c>
      <c r="Z48" s="176" t="str">
        <f>IF(ISERROR(_xll.qlSwapRateHelperSpread($W48)),IF(ISERROR(_xll.qlFuturesRateHelperConvexityAdjustment($W48)),"--",_xll.qlFuturesRateHelperConvexityAdjustment($W48)),_xll.qlSwapRateHelperSpread($W48))</f>
        <v>--</v>
      </c>
      <c r="AA48" s="13" t="e">
        <f>_xll.qlRateHelperEarliestDate(W48,Trigger)</f>
        <v>#VALUE!</v>
      </c>
      <c r="AB48" s="13" t="e">
        <f>_xll.qlRateHelperPillarDate(W48,Trigger)</f>
        <v>#VALUE!</v>
      </c>
      <c r="AC48" s="144" t="e">
        <v>#N/A</v>
      </c>
    </row>
    <row r="49" spans="1:29" ht="11.25" customHeight="1" x14ac:dyDescent="0.2">
      <c r="A49" s="97" t="s">
        <v>18</v>
      </c>
      <c r="B49" s="97" t="s">
        <v>44</v>
      </c>
      <c r="C49" s="97" t="s">
        <v>176</v>
      </c>
      <c r="D49" s="97" t="s">
        <v>12</v>
      </c>
      <c r="E49" s="97" t="s">
        <v>53</v>
      </c>
      <c r="F49" s="97" t="s">
        <v>177</v>
      </c>
      <c r="G49" s="97" t="s">
        <v>9</v>
      </c>
      <c r="H49" s="97" t="s">
        <v>5</v>
      </c>
      <c r="I49" s="97" t="s">
        <v>173</v>
      </c>
      <c r="J49" s="97" t="s">
        <v>36</v>
      </c>
      <c r="L49" s="107" t="str">
        <f t="shared" si="7"/>
        <v>Sw</v>
      </c>
      <c r="M49" s="214" t="str">
        <f t="shared" si="8"/>
        <v>obj_003ed#0007</v>
      </c>
      <c r="N49" s="223" t="str">
        <f>IFERROR(_xll.qlRateHelperQuoteName(M49,Trigger),"--")</f>
        <v>USDAM3L3Y_Quote</v>
      </c>
      <c r="O49" s="216">
        <f>IFERROR(_xll.qlRateHelperQuoteValue($M49,Trigger),"--")</f>
        <v>1.2749999999999999E-2</v>
      </c>
      <c r="P49" s="215" t="b">
        <v>1</v>
      </c>
      <c r="Q49" s="214">
        <v>50</v>
      </c>
      <c r="R49" s="214">
        <v>1</v>
      </c>
      <c r="S49" s="217">
        <f>IFERROR(_xll.qlRateHelperEarliestDate(M49,Trigger),"--")</f>
        <v>42184</v>
      </c>
      <c r="T49" s="217">
        <f>IFERROR(_xll.qlRateHelperPillarDate(M49,Trigger),"--")</f>
        <v>43280</v>
      </c>
      <c r="V49" s="12" t="e">
        <f>IFERROR(INDEX($L$3:$L$88,MATCH(X49,$N$3:$N$88,1),1),NA())</f>
        <v>#N/A</v>
      </c>
      <c r="W49" s="12" t="e">
        <v>#N/A</v>
      </c>
      <c r="X49" s="12" t="e">
        <f>_xll.qlRateHelperQuoteName(W49,Trigger)</f>
        <v>#VALUE!</v>
      </c>
      <c r="Y49" s="106" t="e">
        <f>_xll.qlRateHelperRate(W49,Trigger)</f>
        <v>#VALUE!</v>
      </c>
      <c r="Z49" s="176" t="str">
        <f>IF(ISERROR(_xll.qlSwapRateHelperSpread($W49)),IF(ISERROR(_xll.qlFuturesRateHelperConvexityAdjustment($W49)),"--",_xll.qlFuturesRateHelperConvexityAdjustment($W49)),_xll.qlSwapRateHelperSpread($W49))</f>
        <v>--</v>
      </c>
      <c r="AA49" s="13" t="e">
        <f>_xll.qlRateHelperEarliestDate(W49,Trigger)</f>
        <v>#VALUE!</v>
      </c>
      <c r="AB49" s="13" t="e">
        <f>_xll.qlRateHelperPillarDate(W49,Trigger)</f>
        <v>#VALUE!</v>
      </c>
      <c r="AC49" s="144" t="e">
        <v>#N/A</v>
      </c>
    </row>
    <row r="50" spans="1:29" ht="11.25" customHeight="1" x14ac:dyDescent="0.2">
      <c r="A50" s="81" t="s">
        <v>38</v>
      </c>
      <c r="B50" s="82" t="s">
        <v>42</v>
      </c>
      <c r="C50" s="83" t="s">
        <v>14</v>
      </c>
      <c r="D50" s="91" t="s">
        <v>16</v>
      </c>
      <c r="E50" s="91" t="s">
        <v>15</v>
      </c>
      <c r="F50" s="91" t="s">
        <v>41</v>
      </c>
      <c r="G50" s="91" t="str">
        <f>PROPER(Currency)&amp;FamilyName&amp;$G$1</f>
        <v>UsdLibor3M</v>
      </c>
      <c r="H50" s="89" t="str">
        <f>Currency&amp;$G$48&amp;$H$48&amp;$B50&amp;"_Quote"</f>
        <v>USDAM3L1Y_Quote</v>
      </c>
      <c r="I50" s="200">
        <v>0</v>
      </c>
      <c r="J50" s="88"/>
      <c r="L50" s="107" t="str">
        <f t="shared" si="7"/>
        <v>Sw</v>
      </c>
      <c r="M50" s="214" t="str">
        <f t="shared" si="8"/>
        <v>obj_003f9#0007</v>
      </c>
      <c r="N50" s="223" t="str">
        <f>IFERROR(_xll.qlRateHelperQuoteName(M50,Trigger),"--")</f>
        <v>USDAM3L4Y_Quote</v>
      </c>
      <c r="O50" s="216">
        <f>IFERROR(_xll.qlRateHelperQuoteValue($M50,Trigger),"--")</f>
        <v>1.5740000000000001E-2</v>
      </c>
      <c r="P50" s="215" t="b">
        <v>1</v>
      </c>
      <c r="Q50" s="214">
        <v>50</v>
      </c>
      <c r="R50" s="214">
        <v>1</v>
      </c>
      <c r="S50" s="217">
        <f>IFERROR(_xll.qlRateHelperEarliestDate(M50,Trigger),"--")</f>
        <v>42184</v>
      </c>
      <c r="T50" s="217">
        <f>IFERROR(_xll.qlRateHelperPillarDate(M50,Trigger),"--")</f>
        <v>43644</v>
      </c>
      <c r="V50" s="12" t="e">
        <f>IFERROR(INDEX($L$3:$L$88,MATCH(X50,$N$3:$N$88,1),1),NA())</f>
        <v>#N/A</v>
      </c>
      <c r="W50" s="12" t="e">
        <v>#N/A</v>
      </c>
      <c r="X50" s="12" t="e">
        <f>_xll.qlRateHelperQuoteName(W50,Trigger)</f>
        <v>#VALUE!</v>
      </c>
      <c r="Y50" s="106" t="e">
        <f>_xll.qlRateHelperRate(W50,Trigger)</f>
        <v>#VALUE!</v>
      </c>
      <c r="Z50" s="176" t="str">
        <f>IF(ISERROR(_xll.qlSwapRateHelperSpread($W50)),IF(ISERROR(_xll.qlFuturesRateHelperConvexityAdjustment($W50)),"--",_xll.qlFuturesRateHelperConvexityAdjustment($W50)),_xll.qlSwapRateHelperSpread($W50))</f>
        <v>--</v>
      </c>
      <c r="AA50" s="13" t="e">
        <f>_xll.qlRateHelperEarliestDate(W50,Trigger)</f>
        <v>#VALUE!</v>
      </c>
      <c r="AB50" s="13" t="e">
        <f>_xll.qlRateHelperPillarDate(W50,Trigger)</f>
        <v>#VALUE!</v>
      </c>
      <c r="AC50" s="144" t="e">
        <v>#N/A</v>
      </c>
    </row>
    <row r="51" spans="1:29" ht="11.25" customHeight="1" x14ac:dyDescent="0.2">
      <c r="A51" s="89" t="s">
        <v>38</v>
      </c>
      <c r="B51" s="90" t="s">
        <v>88</v>
      </c>
      <c r="C51" s="91" t="s">
        <v>14</v>
      </c>
      <c r="D51" s="91" t="s">
        <v>16</v>
      </c>
      <c r="E51" s="91" t="s">
        <v>15</v>
      </c>
      <c r="F51" s="91" t="s">
        <v>41</v>
      </c>
      <c r="G51" s="91" t="str">
        <f>PROPER(Currency)&amp;FamilyName&amp;$G$1</f>
        <v>UsdLibor3M</v>
      </c>
      <c r="H51" s="89" t="str">
        <f>Currency&amp;$G$48&amp;$H$48&amp;$B51&amp;"_Quote"</f>
        <v>USDAM3L15M_Quote</v>
      </c>
      <c r="I51" s="201">
        <v>0</v>
      </c>
      <c r="J51" s="96"/>
      <c r="L51" s="107" t="str">
        <f t="shared" si="7"/>
        <v>Sw</v>
      </c>
      <c r="M51" s="214" t="str">
        <f t="shared" si="8"/>
        <v>obj_003e8#0007</v>
      </c>
      <c r="N51" s="223" t="str">
        <f>IFERROR(_xll.qlRateHelperQuoteName(M51,Trigger),"--")</f>
        <v>USDAM3L5Y_Quote</v>
      </c>
      <c r="O51" s="216">
        <f>IFERROR(_xll.qlRateHelperQuoteValue($M51,Trigger),"--")</f>
        <v>1.8189999999999998E-2</v>
      </c>
      <c r="P51" s="215" t="b">
        <v>1</v>
      </c>
      <c r="Q51" s="214">
        <v>50</v>
      </c>
      <c r="R51" s="214">
        <v>1</v>
      </c>
      <c r="S51" s="217">
        <f>IFERROR(_xll.qlRateHelperEarliestDate(M51,Trigger),"--")</f>
        <v>42184</v>
      </c>
      <c r="T51" s="217">
        <f>IFERROR(_xll.qlRateHelperPillarDate(M51,Trigger),"--")</f>
        <v>44011</v>
      </c>
      <c r="V51" s="12" t="e">
        <f>IFERROR(INDEX($L$3:$L$88,MATCH(X51,$N$3:$N$88,1),1),NA())</f>
        <v>#N/A</v>
      </c>
      <c r="W51" s="12" t="e">
        <v>#N/A</v>
      </c>
      <c r="X51" s="12" t="e">
        <f>_xll.qlRateHelperQuoteName(W51,Trigger)</f>
        <v>#VALUE!</v>
      </c>
      <c r="Y51" s="106" t="e">
        <f>_xll.qlRateHelperRate(W51,Trigger)</f>
        <v>#VALUE!</v>
      </c>
      <c r="Z51" s="176" t="str">
        <f>IF(ISERROR(_xll.qlSwapRateHelperSpread($W51)),IF(ISERROR(_xll.qlFuturesRateHelperConvexityAdjustment($W51)),"--",_xll.qlFuturesRateHelperConvexityAdjustment($W51)),_xll.qlSwapRateHelperSpread($W51))</f>
        <v>--</v>
      </c>
      <c r="AA51" s="13" t="e">
        <f>_xll.qlRateHelperEarliestDate(W51,Trigger)</f>
        <v>#VALUE!</v>
      </c>
      <c r="AB51" s="13" t="e">
        <f>_xll.qlRateHelperPillarDate(W51,Trigger)</f>
        <v>#VALUE!</v>
      </c>
      <c r="AC51" s="144" t="e">
        <v>#N/A</v>
      </c>
    </row>
    <row r="52" spans="1:29" ht="11.25" customHeight="1" x14ac:dyDescent="0.2">
      <c r="A52" s="89" t="s">
        <v>38</v>
      </c>
      <c r="B52" s="90" t="s">
        <v>91</v>
      </c>
      <c r="C52" s="91" t="s">
        <v>14</v>
      </c>
      <c r="D52" s="91" t="s">
        <v>16</v>
      </c>
      <c r="E52" s="91" t="s">
        <v>15</v>
      </c>
      <c r="F52" s="91" t="s">
        <v>41</v>
      </c>
      <c r="G52" s="91" t="str">
        <f>PROPER(Currency)&amp;FamilyName&amp;$G$1</f>
        <v>UsdLibor3M</v>
      </c>
      <c r="H52" s="89" t="str">
        <f>Currency&amp;$G$48&amp;$H$48&amp;$B52&amp;"_Quote"</f>
        <v>USDAM3L18M_Quote</v>
      </c>
      <c r="I52" s="201">
        <v>0</v>
      </c>
      <c r="J52" s="96"/>
      <c r="L52" s="107" t="str">
        <f t="shared" si="7"/>
        <v>Sw</v>
      </c>
      <c r="M52" s="214" t="str">
        <f t="shared" si="8"/>
        <v>obj_003e4#0007</v>
      </c>
      <c r="N52" s="223" t="str">
        <f>IFERROR(_xll.qlRateHelperQuoteName(M52,Trigger),"--")</f>
        <v>USDAM3L6Y_Quote</v>
      </c>
      <c r="O52" s="216">
        <f>IFERROR(_xll.qlRateHelperQuoteValue($M52,Trigger),"--")</f>
        <v>2.0160000000000001E-2</v>
      </c>
      <c r="P52" s="215" t="b">
        <v>1</v>
      </c>
      <c r="Q52" s="214">
        <v>50</v>
      </c>
      <c r="R52" s="214">
        <v>1</v>
      </c>
      <c r="S52" s="217">
        <f>IFERROR(_xll.qlRateHelperEarliestDate(M52,Trigger),"--")</f>
        <v>42184</v>
      </c>
      <c r="T52" s="217">
        <f>IFERROR(_xll.qlRateHelperPillarDate(M52,Trigger),"--")</f>
        <v>44376</v>
      </c>
      <c r="V52" s="12" t="e">
        <f>IFERROR(INDEX($L$3:$L$88,MATCH(X52,$N$3:$N$88,1),1),NA())</f>
        <v>#N/A</v>
      </c>
      <c r="W52" s="12" t="e">
        <v>#N/A</v>
      </c>
      <c r="X52" s="12" t="e">
        <f>_xll.qlRateHelperQuoteName(W52,Trigger)</f>
        <v>#VALUE!</v>
      </c>
      <c r="Y52" s="106" t="e">
        <f>_xll.qlRateHelperRate(W52,Trigger)</f>
        <v>#VALUE!</v>
      </c>
      <c r="Z52" s="176" t="str">
        <f>IF(ISERROR(_xll.qlSwapRateHelperSpread($W52)),IF(ISERROR(_xll.qlFuturesRateHelperConvexityAdjustment($W52)),"--",_xll.qlFuturesRateHelperConvexityAdjustment($W52)),_xll.qlSwapRateHelperSpread($W52))</f>
        <v>--</v>
      </c>
      <c r="AA52" s="13" t="e">
        <f>_xll.qlRateHelperEarliestDate(W52,Trigger)</f>
        <v>#VALUE!</v>
      </c>
      <c r="AB52" s="13" t="e">
        <f>_xll.qlRateHelperPillarDate(W52,Trigger)</f>
        <v>#VALUE!</v>
      </c>
      <c r="AC52" s="144" t="e">
        <v>#N/A</v>
      </c>
    </row>
    <row r="53" spans="1:29" ht="11.25" customHeight="1" x14ac:dyDescent="0.2">
      <c r="A53" s="89" t="s">
        <v>38</v>
      </c>
      <c r="B53" s="90" t="s">
        <v>94</v>
      </c>
      <c r="C53" s="91" t="s">
        <v>14</v>
      </c>
      <c r="D53" s="91" t="s">
        <v>16</v>
      </c>
      <c r="E53" s="91" t="s">
        <v>15</v>
      </c>
      <c r="F53" s="91" t="s">
        <v>41</v>
      </c>
      <c r="G53" s="91" t="str">
        <f>PROPER(Currency)&amp;FamilyName&amp;$G$1</f>
        <v>UsdLibor3M</v>
      </c>
      <c r="H53" s="89" t="str">
        <f>Currency&amp;$G$48&amp;$H$48&amp;$B53&amp;"_Quote"</f>
        <v>USDAM3L21M_Quote</v>
      </c>
      <c r="I53" s="201">
        <v>0</v>
      </c>
      <c r="J53" s="96"/>
      <c r="L53" s="107" t="str">
        <f t="shared" si="7"/>
        <v>Sw</v>
      </c>
      <c r="M53" s="214" t="str">
        <f t="shared" si="8"/>
        <v>obj_003ec#0007</v>
      </c>
      <c r="N53" s="223" t="str">
        <f>IFERROR(_xll.qlRateHelperQuoteName(M53,Trigger),"--")</f>
        <v>USDAM3L7Y_Quote</v>
      </c>
      <c r="O53" s="216">
        <f>IFERROR(_xll.qlRateHelperQuoteValue($M53,Trigger),"--")</f>
        <v>2.1720000000000003E-2</v>
      </c>
      <c r="P53" s="215" t="b">
        <v>1</v>
      </c>
      <c r="Q53" s="214">
        <v>50</v>
      </c>
      <c r="R53" s="214">
        <v>1</v>
      </c>
      <c r="S53" s="217">
        <f>IFERROR(_xll.qlRateHelperEarliestDate(M53,Trigger),"--")</f>
        <v>42184</v>
      </c>
      <c r="T53" s="217">
        <f>IFERROR(_xll.qlRateHelperPillarDate(M53,Trigger),"--")</f>
        <v>44741</v>
      </c>
      <c r="V53" s="12" t="e">
        <f>IFERROR(INDEX($L$3:$L$88,MATCH(X53,$N$3:$N$88,1),1),NA())</f>
        <v>#N/A</v>
      </c>
      <c r="W53" s="12" t="e">
        <v>#N/A</v>
      </c>
      <c r="X53" s="12" t="e">
        <f>_xll.qlRateHelperQuoteName(W53,Trigger)</f>
        <v>#VALUE!</v>
      </c>
      <c r="Y53" s="106" t="e">
        <f>_xll.qlRateHelperRate(W53,Trigger)</f>
        <v>#VALUE!</v>
      </c>
      <c r="Z53" s="176" t="str">
        <f>IF(ISERROR(_xll.qlSwapRateHelperSpread($W53)),IF(ISERROR(_xll.qlFuturesRateHelperConvexityAdjustment($W53)),"--",_xll.qlFuturesRateHelperConvexityAdjustment($W53)),_xll.qlSwapRateHelperSpread($W53))</f>
        <v>--</v>
      </c>
      <c r="AA53" s="13" t="e">
        <f>_xll.qlRateHelperEarliestDate(W53,Trigger)</f>
        <v>#VALUE!</v>
      </c>
      <c r="AB53" s="13" t="e">
        <f>_xll.qlRateHelperPillarDate(W53,Trigger)</f>
        <v>#VALUE!</v>
      </c>
      <c r="AC53" s="144" t="e">
        <v>#N/A</v>
      </c>
    </row>
    <row r="54" spans="1:29" ht="11.25" customHeight="1" x14ac:dyDescent="0.2">
      <c r="A54" s="89" t="s">
        <v>38</v>
      </c>
      <c r="B54" s="90" t="s">
        <v>97</v>
      </c>
      <c r="C54" s="91" t="s">
        <v>14</v>
      </c>
      <c r="D54" s="91" t="s">
        <v>16</v>
      </c>
      <c r="E54" s="91" t="s">
        <v>15</v>
      </c>
      <c r="F54" s="91" t="s">
        <v>41</v>
      </c>
      <c r="G54" s="91" t="str">
        <f>PROPER(Currency)&amp;FamilyName&amp;$G$1</f>
        <v>UsdLibor3M</v>
      </c>
      <c r="H54" s="89" t="str">
        <f>Currency&amp;$G$48&amp;$H$48&amp;$B54&amp;"_Quote"</f>
        <v>USDAM3L2Y_Quote</v>
      </c>
      <c r="I54" s="201">
        <v>0</v>
      </c>
      <c r="J54" s="96"/>
      <c r="L54" s="107" t="str">
        <f t="shared" si="7"/>
        <v>Sw</v>
      </c>
      <c r="M54" s="214" t="str">
        <f t="shared" si="8"/>
        <v>obj_003fc#0007</v>
      </c>
      <c r="N54" s="223" t="str">
        <f>IFERROR(_xll.qlRateHelperQuoteName(M54,Trigger),"--")</f>
        <v>USDAM3L8Y_Quote</v>
      </c>
      <c r="O54" s="216">
        <f>IFERROR(_xll.qlRateHelperQuoteValue($M54,Trigger),"--")</f>
        <v>2.2959999999999998E-2</v>
      </c>
      <c r="P54" s="215" t="b">
        <v>1</v>
      </c>
      <c r="Q54" s="214">
        <v>50</v>
      </c>
      <c r="R54" s="214">
        <v>1</v>
      </c>
      <c r="S54" s="217">
        <f>IFERROR(_xll.qlRateHelperEarliestDate(M54,Trigger),"--")</f>
        <v>42184</v>
      </c>
      <c r="T54" s="217">
        <f>IFERROR(_xll.qlRateHelperPillarDate(M54,Trigger),"--")</f>
        <v>45106</v>
      </c>
      <c r="V54" s="12" t="e">
        <f>IFERROR(INDEX($L$3:$L$88,MATCH(X54,$N$3:$N$88,1),1),NA())</f>
        <v>#N/A</v>
      </c>
      <c r="W54" s="12" t="e">
        <v>#N/A</v>
      </c>
      <c r="X54" s="12" t="e">
        <f>_xll.qlRateHelperQuoteName(W54,Trigger)</f>
        <v>#VALUE!</v>
      </c>
      <c r="Y54" s="106" t="e">
        <f>_xll.qlRateHelperRate(W54,Trigger)</f>
        <v>#VALUE!</v>
      </c>
      <c r="Z54" s="176" t="str">
        <f>IF(ISERROR(_xll.qlSwapRateHelperSpread($W54)),IF(ISERROR(_xll.qlFuturesRateHelperConvexityAdjustment($W54)),"--",_xll.qlFuturesRateHelperConvexityAdjustment($W54)),_xll.qlSwapRateHelperSpread($W54))</f>
        <v>--</v>
      </c>
      <c r="AA54" s="13" t="e">
        <f>_xll.qlRateHelperEarliestDate(W54,Trigger)</f>
        <v>#VALUE!</v>
      </c>
      <c r="AB54" s="13" t="e">
        <f>_xll.qlRateHelperPillarDate(W54,Trigger)</f>
        <v>#VALUE!</v>
      </c>
      <c r="AC54" s="144" t="e">
        <v>#N/A</v>
      </c>
    </row>
    <row r="55" spans="1:29" ht="11.25" customHeight="1" x14ac:dyDescent="0.2">
      <c r="A55" s="89" t="s">
        <v>38</v>
      </c>
      <c r="B55" s="90" t="s">
        <v>101</v>
      </c>
      <c r="C55" s="91" t="s">
        <v>14</v>
      </c>
      <c r="D55" s="91" t="s">
        <v>16</v>
      </c>
      <c r="E55" s="91" t="s">
        <v>15</v>
      </c>
      <c r="F55" s="91" t="s">
        <v>41</v>
      </c>
      <c r="G55" s="91" t="str">
        <f>PROPER(Currency)&amp;FamilyName&amp;$G$1</f>
        <v>UsdLibor3M</v>
      </c>
      <c r="H55" s="89" t="str">
        <f>Currency&amp;$G$48&amp;$H$48&amp;$B55&amp;"_Quote"</f>
        <v>USDAM3L3Y_Quote</v>
      </c>
      <c r="I55" s="201">
        <v>0</v>
      </c>
      <c r="J55" s="96" t="str">
        <f>_xll.qlSwapRateHelper2(,H55,,B55,JoinCalendar,USD3M!D55,USD3M!E55,USD3M!F55,USD3M!G55,USD3M!I55,USD3M!C55,Discounting,PillarDate,,Permanent,Trigger,ObjectOverwrite)</f>
        <v>obj_003ed#0007</v>
      </c>
      <c r="L55" s="107" t="str">
        <f t="shared" si="7"/>
        <v>Sw</v>
      </c>
      <c r="M55" s="214" t="str">
        <f t="shared" si="8"/>
        <v>obj_003db#0007</v>
      </c>
      <c r="N55" s="223" t="str">
        <f>IFERROR(_xll.qlRateHelperQuoteName(M55,Trigger),"--")</f>
        <v>USDAM3L9Y_Quote</v>
      </c>
      <c r="O55" s="216">
        <f>IFERROR(_xll.qlRateHelperQuoteValue($M55,Trigger),"--")</f>
        <v>2.3980000000000001E-2</v>
      </c>
      <c r="P55" s="215" t="b">
        <v>1</v>
      </c>
      <c r="Q55" s="214">
        <v>50</v>
      </c>
      <c r="R55" s="214">
        <v>1</v>
      </c>
      <c r="S55" s="217">
        <f>IFERROR(_xll.qlRateHelperEarliestDate(M55,Trigger),"--")</f>
        <v>42184</v>
      </c>
      <c r="T55" s="217">
        <f>IFERROR(_xll.qlRateHelperPillarDate(M55,Trigger),"--")</f>
        <v>45471</v>
      </c>
      <c r="V55" s="12" t="e">
        <f>IFERROR(INDEX($L$3:$L$88,MATCH(X55,$N$3:$N$88,1),1),NA())</f>
        <v>#N/A</v>
      </c>
      <c r="W55" s="12" t="e">
        <v>#N/A</v>
      </c>
      <c r="X55" s="12" t="e">
        <f>_xll.qlRateHelperQuoteName(W55,Trigger)</f>
        <v>#VALUE!</v>
      </c>
      <c r="Y55" s="106" t="e">
        <f>_xll.qlRateHelperRate(W55,Trigger)</f>
        <v>#VALUE!</v>
      </c>
      <c r="Z55" s="176" t="str">
        <f>IF(ISERROR(_xll.qlSwapRateHelperSpread($W55)),IF(ISERROR(_xll.qlFuturesRateHelperConvexityAdjustment($W55)),"--",_xll.qlFuturesRateHelperConvexityAdjustment($W55)),_xll.qlSwapRateHelperSpread($W55))</f>
        <v>--</v>
      </c>
      <c r="AA55" s="13" t="e">
        <f>_xll.qlRateHelperEarliestDate(W55,Trigger)</f>
        <v>#VALUE!</v>
      </c>
      <c r="AB55" s="13" t="e">
        <f>_xll.qlRateHelperPillarDate(W55,Trigger)</f>
        <v>#VALUE!</v>
      </c>
      <c r="AC55" s="144" t="e">
        <v>#N/A</v>
      </c>
    </row>
    <row r="56" spans="1:29" ht="11.25" customHeight="1" x14ac:dyDescent="0.2">
      <c r="A56" s="89" t="s">
        <v>38</v>
      </c>
      <c r="B56" s="90" t="s">
        <v>105</v>
      </c>
      <c r="C56" s="91" t="s">
        <v>14</v>
      </c>
      <c r="D56" s="91" t="s">
        <v>16</v>
      </c>
      <c r="E56" s="91" t="s">
        <v>15</v>
      </c>
      <c r="F56" s="91" t="s">
        <v>41</v>
      </c>
      <c r="G56" s="91" t="str">
        <f>PROPER(Currency)&amp;FamilyName&amp;$G$1</f>
        <v>UsdLibor3M</v>
      </c>
      <c r="H56" s="89" t="str">
        <f>Currency&amp;$G$48&amp;$H$48&amp;$B56&amp;"_Quote"</f>
        <v>USDAM3L4Y_Quote</v>
      </c>
      <c r="I56" s="201">
        <v>0</v>
      </c>
      <c r="J56" s="96" t="str">
        <f>_xll.qlSwapRateHelper2(,H56,,B56,JoinCalendar,USD3M!D56,USD3M!E56,USD3M!F56,USD3M!G56,USD3M!I56,USD3M!C56,Discounting,PillarDate,,Permanent,Trigger,ObjectOverwrite)</f>
        <v>obj_003f9#0007</v>
      </c>
      <c r="L56" s="107" t="str">
        <f t="shared" si="7"/>
        <v>Sw</v>
      </c>
      <c r="M56" s="214" t="str">
        <f t="shared" si="8"/>
        <v>obj_003e0#0007</v>
      </c>
      <c r="N56" s="223" t="str">
        <f>IFERROR(_xll.qlRateHelperQuoteName(M56,Trigger),"--")</f>
        <v>USDAM3L10Y_Quote</v>
      </c>
      <c r="O56" s="216">
        <f>IFERROR(_xll.qlRateHelperQuoteValue($M56,Trigger),"--")</f>
        <v>2.4830000000000001E-2</v>
      </c>
      <c r="P56" s="215" t="b">
        <v>1</v>
      </c>
      <c r="Q56" s="214">
        <v>50</v>
      </c>
      <c r="R56" s="214">
        <v>1</v>
      </c>
      <c r="S56" s="217">
        <f>IFERROR(_xll.qlRateHelperEarliestDate(M56,Trigger),"--")</f>
        <v>42184</v>
      </c>
      <c r="T56" s="217">
        <f>IFERROR(_xll.qlRateHelperPillarDate(M56,Trigger),"--")</f>
        <v>45838</v>
      </c>
      <c r="V56" s="12" t="e">
        <f>IFERROR(INDEX($L$3:$L$88,MATCH(X56,$N$3:$N$88,1),1),NA())</f>
        <v>#N/A</v>
      </c>
      <c r="W56" s="12" t="e">
        <v>#N/A</v>
      </c>
      <c r="X56" s="12" t="e">
        <f>_xll.qlRateHelperQuoteName(W56,Trigger)</f>
        <v>#VALUE!</v>
      </c>
      <c r="Y56" s="106" t="e">
        <f>_xll.qlRateHelperRate(W56,Trigger)</f>
        <v>#VALUE!</v>
      </c>
      <c r="Z56" s="176" t="str">
        <f>IF(ISERROR(_xll.qlSwapRateHelperSpread($W56)),IF(ISERROR(_xll.qlFuturesRateHelperConvexityAdjustment($W56)),"--",_xll.qlFuturesRateHelperConvexityAdjustment($W56)),_xll.qlSwapRateHelperSpread($W56))</f>
        <v>--</v>
      </c>
      <c r="AA56" s="13" t="e">
        <f>_xll.qlRateHelperEarliestDate(W56,Trigger)</f>
        <v>#VALUE!</v>
      </c>
      <c r="AB56" s="13" t="e">
        <f>_xll.qlRateHelperPillarDate(W56,Trigger)</f>
        <v>#VALUE!</v>
      </c>
      <c r="AC56" s="144" t="e">
        <v>#N/A</v>
      </c>
    </row>
    <row r="57" spans="1:29" ht="11.25" customHeight="1" x14ac:dyDescent="0.2">
      <c r="A57" s="89" t="s">
        <v>38</v>
      </c>
      <c r="B57" s="90" t="s">
        <v>109</v>
      </c>
      <c r="C57" s="91" t="s">
        <v>14</v>
      </c>
      <c r="D57" s="91" t="s">
        <v>16</v>
      </c>
      <c r="E57" s="91" t="s">
        <v>15</v>
      </c>
      <c r="F57" s="91" t="s">
        <v>41</v>
      </c>
      <c r="G57" s="91" t="str">
        <f>PROPER(Currency)&amp;FamilyName&amp;$G$1</f>
        <v>UsdLibor3M</v>
      </c>
      <c r="H57" s="89" t="str">
        <f>Currency&amp;$G$48&amp;$H$48&amp;$B57&amp;"_Quote"</f>
        <v>USDAM3L5Y_Quote</v>
      </c>
      <c r="I57" s="201">
        <v>0</v>
      </c>
      <c r="J57" s="96" t="str">
        <f>_xll.qlSwapRateHelper2(,H57,,B57,JoinCalendar,USD3M!D57,USD3M!E57,USD3M!F57,USD3M!G57,USD3M!I57,USD3M!C57,Discounting,PillarDate,,Permanent,Trigger,ObjectOverwrite)</f>
        <v>obj_003e8#0007</v>
      </c>
      <c r="L57" s="107" t="str">
        <f t="shared" si="7"/>
        <v>Sw</v>
      </c>
      <c r="M57" s="215" t="str">
        <f t="shared" si="8"/>
        <v>--</v>
      </c>
      <c r="N57" s="223" t="str">
        <f>IFERROR(_xll.qlRateHelperQuoteName(M57,Trigger),"--")</f>
        <v>--</v>
      </c>
      <c r="O57" s="216" t="str">
        <f>IFERROR(_xll.qlRateHelperQuoteValue($M57,Trigger),"--")</f>
        <v>--</v>
      </c>
      <c r="P57" s="215" t="b">
        <v>0</v>
      </c>
      <c r="Q57" s="215">
        <v>50</v>
      </c>
      <c r="R57" s="215">
        <v>1</v>
      </c>
      <c r="S57" s="217" t="str">
        <f>IFERROR(_xll.qlRateHelperEarliestDate(M57,Trigger),"--")</f>
        <v>--</v>
      </c>
      <c r="T57" s="217" t="str">
        <f>IFERROR(_xll.qlRateHelperPillarDate(M57,Trigger),"--")</f>
        <v>--</v>
      </c>
      <c r="V57" s="12" t="e">
        <f>IFERROR(INDEX($L$3:$L$88,MATCH(X57,$N$3:$N$88,1),1),NA())</f>
        <v>#N/A</v>
      </c>
      <c r="W57" s="12" t="e">
        <v>#N/A</v>
      </c>
      <c r="X57" s="12" t="e">
        <f>_xll.qlRateHelperQuoteName(W57,Trigger)</f>
        <v>#VALUE!</v>
      </c>
      <c r="Y57" s="106" t="e">
        <f>_xll.qlRateHelperRate(W57,Trigger)</f>
        <v>#VALUE!</v>
      </c>
      <c r="Z57" s="176" t="str">
        <f>IF(ISERROR(_xll.qlSwapRateHelperSpread($W57)),IF(ISERROR(_xll.qlFuturesRateHelperConvexityAdjustment($W57)),"--",_xll.qlFuturesRateHelperConvexityAdjustment($W57)),_xll.qlSwapRateHelperSpread($W57))</f>
        <v>--</v>
      </c>
      <c r="AA57" s="13" t="e">
        <f>_xll.qlRateHelperEarliestDate(W57,Trigger)</f>
        <v>#VALUE!</v>
      </c>
      <c r="AB57" s="13" t="e">
        <f>_xll.qlRateHelperPillarDate(W57,Trigger)</f>
        <v>#VALUE!</v>
      </c>
      <c r="AC57" s="144" t="e">
        <v>#N/A</v>
      </c>
    </row>
    <row r="58" spans="1:29" ht="11.25" customHeight="1" x14ac:dyDescent="0.2">
      <c r="A58" s="89" t="s">
        <v>38</v>
      </c>
      <c r="B58" s="90" t="s">
        <v>110</v>
      </c>
      <c r="C58" s="91" t="s">
        <v>14</v>
      </c>
      <c r="D58" s="91" t="s">
        <v>16</v>
      </c>
      <c r="E58" s="91" t="s">
        <v>15</v>
      </c>
      <c r="F58" s="91" t="s">
        <v>41</v>
      </c>
      <c r="G58" s="91" t="str">
        <f>PROPER(Currency)&amp;FamilyName&amp;$G$1</f>
        <v>UsdLibor3M</v>
      </c>
      <c r="H58" s="89" t="str">
        <f>Currency&amp;$G$48&amp;$H$48&amp;$B58&amp;"_Quote"</f>
        <v>USDAM3L6Y_Quote</v>
      </c>
      <c r="I58" s="201">
        <v>0</v>
      </c>
      <c r="J58" s="96" t="str">
        <f>_xll.qlSwapRateHelper2(,H58,,B58,JoinCalendar,USD3M!D58,USD3M!E58,USD3M!F58,USD3M!G58,USD3M!I58,USD3M!C58,Discounting,PillarDate,,Permanent,Trigger,ObjectOverwrite)</f>
        <v>obj_003e4#0007</v>
      </c>
      <c r="L58" s="107" t="str">
        <f t="shared" si="7"/>
        <v>Sw</v>
      </c>
      <c r="M58" s="215" t="str">
        <f t="shared" si="8"/>
        <v>obj_003f6#0007</v>
      </c>
      <c r="N58" s="223" t="str">
        <f>IFERROR(_xll.qlRateHelperQuoteName(M58,Trigger),"--")</f>
        <v>USDAM3L12Y_Quote</v>
      </c>
      <c r="O58" s="216">
        <f>IFERROR(_xll.qlRateHelperQuoteValue($M58,Trigger),"--")</f>
        <v>2.6120000000000001E-2</v>
      </c>
      <c r="P58" s="215" t="b">
        <v>1</v>
      </c>
      <c r="Q58" s="215">
        <v>50</v>
      </c>
      <c r="R58" s="215">
        <v>1</v>
      </c>
      <c r="S58" s="217">
        <f>IFERROR(_xll.qlRateHelperEarliestDate(M58,Trigger),"--")</f>
        <v>42184</v>
      </c>
      <c r="T58" s="217">
        <f>IFERROR(_xll.qlRateHelperPillarDate(M58,Trigger),"--")</f>
        <v>46567</v>
      </c>
      <c r="V58" s="12" t="e">
        <f>IFERROR(INDEX($L$3:$L$88,MATCH(X58,$N$3:$N$88,1),1),NA())</f>
        <v>#N/A</v>
      </c>
      <c r="W58" s="12" t="e">
        <v>#N/A</v>
      </c>
      <c r="X58" s="12" t="e">
        <f>_xll.qlRateHelperQuoteName(W58,Trigger)</f>
        <v>#VALUE!</v>
      </c>
      <c r="Y58" s="106" t="e">
        <f>_xll.qlRateHelperRate(W58,Trigger)</f>
        <v>#VALUE!</v>
      </c>
      <c r="Z58" s="176" t="str">
        <f>IF(ISERROR(_xll.qlSwapRateHelperSpread($W58)),IF(ISERROR(_xll.qlFuturesRateHelperConvexityAdjustment($W58)),"--",_xll.qlFuturesRateHelperConvexityAdjustment($W58)),_xll.qlSwapRateHelperSpread($W58))</f>
        <v>--</v>
      </c>
      <c r="AA58" s="13" t="e">
        <f>_xll.qlRateHelperEarliestDate(W58,Trigger)</f>
        <v>#VALUE!</v>
      </c>
      <c r="AB58" s="13" t="e">
        <f>_xll.qlRateHelperPillarDate(W58,Trigger)</f>
        <v>#VALUE!</v>
      </c>
      <c r="AC58" s="144" t="e">
        <v>#N/A</v>
      </c>
    </row>
    <row r="59" spans="1:29" ht="11.25" customHeight="1" x14ac:dyDescent="0.2">
      <c r="A59" s="89" t="s">
        <v>38</v>
      </c>
      <c r="B59" s="90" t="s">
        <v>111</v>
      </c>
      <c r="C59" s="91" t="s">
        <v>14</v>
      </c>
      <c r="D59" s="91" t="s">
        <v>16</v>
      </c>
      <c r="E59" s="91" t="s">
        <v>15</v>
      </c>
      <c r="F59" s="91" t="s">
        <v>41</v>
      </c>
      <c r="G59" s="91" t="str">
        <f>PROPER(Currency)&amp;FamilyName&amp;$G$1</f>
        <v>UsdLibor3M</v>
      </c>
      <c r="H59" s="89" t="str">
        <f>Currency&amp;$G$48&amp;$H$48&amp;$B59&amp;"_Quote"</f>
        <v>USDAM3L7Y_Quote</v>
      </c>
      <c r="I59" s="201">
        <v>0</v>
      </c>
      <c r="J59" s="96" t="str">
        <f>_xll.qlSwapRateHelper2(,H59,,B59,JoinCalendar,USD3M!D59,USD3M!E59,USD3M!F59,USD3M!G59,USD3M!I59,USD3M!C59,Discounting,PillarDate,,Permanent,Trigger,ObjectOverwrite)</f>
        <v>obj_003ec#0007</v>
      </c>
      <c r="L59" s="107" t="str">
        <f t="shared" si="7"/>
        <v>Sw</v>
      </c>
      <c r="M59" s="215" t="str">
        <f t="shared" si="8"/>
        <v>--</v>
      </c>
      <c r="N59" s="223" t="str">
        <f>IFERROR(_xll.qlRateHelperQuoteName(M59,Trigger),"--")</f>
        <v>--</v>
      </c>
      <c r="O59" s="216" t="str">
        <f>IFERROR(_xll.qlRateHelperQuoteValue($M59,Trigger),"--")</f>
        <v>--</v>
      </c>
      <c r="P59" s="215" t="b">
        <v>0</v>
      </c>
      <c r="Q59" s="215">
        <v>50</v>
      </c>
      <c r="R59" s="215">
        <v>1</v>
      </c>
      <c r="S59" s="217" t="str">
        <f>IFERROR(_xll.qlRateHelperEarliestDate(M59,Trigger),"--")</f>
        <v>--</v>
      </c>
      <c r="T59" s="217" t="str">
        <f>IFERROR(_xll.qlRateHelperPillarDate(M59,Trigger),"--")</f>
        <v>--</v>
      </c>
      <c r="V59" s="12" t="e">
        <f>IFERROR(INDEX($L$3:$L$88,MATCH(X59,$N$3:$N$88,1),1),NA())</f>
        <v>#N/A</v>
      </c>
      <c r="W59" s="12" t="e">
        <v>#N/A</v>
      </c>
      <c r="X59" s="12" t="e">
        <f>_xll.qlRateHelperQuoteName(W59,Trigger)</f>
        <v>#VALUE!</v>
      </c>
      <c r="Y59" s="106" t="e">
        <f>_xll.qlRateHelperRate(W59,Trigger)</f>
        <v>#VALUE!</v>
      </c>
      <c r="Z59" s="176" t="str">
        <f>IF(ISERROR(_xll.qlSwapRateHelperSpread($W59)),IF(ISERROR(_xll.qlFuturesRateHelperConvexityAdjustment($W59)),"--",_xll.qlFuturesRateHelperConvexityAdjustment($W59)),_xll.qlSwapRateHelperSpread($W59))</f>
        <v>--</v>
      </c>
      <c r="AA59" s="13" t="e">
        <f>_xll.qlRateHelperEarliestDate(W59,Trigger)</f>
        <v>#VALUE!</v>
      </c>
      <c r="AB59" s="13" t="e">
        <f>_xll.qlRateHelperPillarDate(W59,Trigger)</f>
        <v>#VALUE!</v>
      </c>
      <c r="AC59" s="144" t="e">
        <v>#N/A</v>
      </c>
    </row>
    <row r="60" spans="1:29" ht="11.25" customHeight="1" x14ac:dyDescent="0.2">
      <c r="A60" s="89" t="s">
        <v>38</v>
      </c>
      <c r="B60" s="90" t="s">
        <v>112</v>
      </c>
      <c r="C60" s="91" t="s">
        <v>14</v>
      </c>
      <c r="D60" s="91" t="s">
        <v>16</v>
      </c>
      <c r="E60" s="91" t="s">
        <v>15</v>
      </c>
      <c r="F60" s="91" t="s">
        <v>41</v>
      </c>
      <c r="G60" s="91" t="str">
        <f>PROPER(Currency)&amp;FamilyName&amp;$G$1</f>
        <v>UsdLibor3M</v>
      </c>
      <c r="H60" s="89" t="str">
        <f>Currency&amp;$G$48&amp;$H$48&amp;$B60&amp;"_Quote"</f>
        <v>USDAM3L8Y_Quote</v>
      </c>
      <c r="I60" s="201">
        <v>0</v>
      </c>
      <c r="J60" s="96" t="str">
        <f>_xll.qlSwapRateHelper2(,H60,,B60,JoinCalendar,USD3M!D60,USD3M!E60,USD3M!F60,USD3M!G60,USD3M!I60,USD3M!C60,Discounting,PillarDate,,Permanent,Trigger,ObjectOverwrite)</f>
        <v>obj_003fc#0007</v>
      </c>
      <c r="L60" s="107" t="str">
        <f t="shared" si="7"/>
        <v>Sw</v>
      </c>
      <c r="M60" s="215" t="str">
        <f t="shared" si="8"/>
        <v>--</v>
      </c>
      <c r="N60" s="223" t="str">
        <f>IFERROR(_xll.qlRateHelperQuoteName(M60,Trigger),"--")</f>
        <v>--</v>
      </c>
      <c r="O60" s="216" t="str">
        <f>IFERROR(_xll.qlRateHelperQuoteValue($M60,Trigger),"--")</f>
        <v>--</v>
      </c>
      <c r="P60" s="215" t="b">
        <v>0</v>
      </c>
      <c r="Q60" s="215">
        <v>50</v>
      </c>
      <c r="R60" s="215">
        <v>1</v>
      </c>
      <c r="S60" s="217" t="str">
        <f>IFERROR(_xll.qlRateHelperEarliestDate(M60,Trigger),"--")</f>
        <v>--</v>
      </c>
      <c r="T60" s="217" t="str">
        <f>IFERROR(_xll.qlRateHelperPillarDate(M60,Trigger),"--")</f>
        <v>--</v>
      </c>
      <c r="V60" s="12" t="e">
        <f>IFERROR(INDEX($L$3:$L$88,MATCH(X60,$N$3:$N$88,1),1),NA())</f>
        <v>#N/A</v>
      </c>
      <c r="W60" s="12" t="e">
        <v>#N/A</v>
      </c>
      <c r="X60" s="12" t="e">
        <f>_xll.qlRateHelperQuoteName(W60,Trigger)</f>
        <v>#VALUE!</v>
      </c>
      <c r="Y60" s="106" t="e">
        <f>_xll.qlRateHelperRate(W60,Trigger)</f>
        <v>#VALUE!</v>
      </c>
      <c r="Z60" s="176" t="str">
        <f>IF(ISERROR(_xll.qlSwapRateHelperSpread($W60)),IF(ISERROR(_xll.qlFuturesRateHelperConvexityAdjustment($W60)),"--",_xll.qlFuturesRateHelperConvexityAdjustment($W60)),_xll.qlSwapRateHelperSpread($W60))</f>
        <v>--</v>
      </c>
      <c r="AA60" s="13" t="e">
        <f>_xll.qlRateHelperEarliestDate(W60,Trigger)</f>
        <v>#VALUE!</v>
      </c>
      <c r="AB60" s="13" t="e">
        <f>_xll.qlRateHelperPillarDate(W60,Trigger)</f>
        <v>#VALUE!</v>
      </c>
      <c r="AC60" s="144" t="e">
        <v>#N/A</v>
      </c>
    </row>
    <row r="61" spans="1:29" ht="11.25" customHeight="1" x14ac:dyDescent="0.2">
      <c r="A61" s="89" t="s">
        <v>38</v>
      </c>
      <c r="B61" s="90" t="s">
        <v>113</v>
      </c>
      <c r="C61" s="91" t="s">
        <v>14</v>
      </c>
      <c r="D61" s="91" t="s">
        <v>16</v>
      </c>
      <c r="E61" s="91" t="s">
        <v>15</v>
      </c>
      <c r="F61" s="91" t="s">
        <v>41</v>
      </c>
      <c r="G61" s="91" t="str">
        <f>PROPER(Currency)&amp;FamilyName&amp;$G$1</f>
        <v>UsdLibor3M</v>
      </c>
      <c r="H61" s="89" t="str">
        <f>Currency&amp;$G$48&amp;$H$48&amp;$B61&amp;"_Quote"</f>
        <v>USDAM3L9Y_Quote</v>
      </c>
      <c r="I61" s="201">
        <v>0</v>
      </c>
      <c r="J61" s="96" t="str">
        <f>_xll.qlSwapRateHelper2(,H61,,B61,JoinCalendar,USD3M!D61,USD3M!E61,USD3M!F61,USD3M!G61,USD3M!I61,USD3M!C61,Discounting,PillarDate,,Permanent,Trigger,ObjectOverwrite)</f>
        <v>obj_003db#0007</v>
      </c>
      <c r="L61" s="107" t="str">
        <f t="shared" si="7"/>
        <v>Sw</v>
      </c>
      <c r="M61" s="215" t="str">
        <f t="shared" si="8"/>
        <v>obj_003da#0008</v>
      </c>
      <c r="N61" s="223" t="str">
        <f>IFERROR(_xll.qlRateHelperQuoteName(M61,Trigger),"--")</f>
        <v>USDAM3L15Y_Quote</v>
      </c>
      <c r="O61" s="216">
        <f>IFERROR(_xll.qlRateHelperQuoteValue($M61,Trigger),"--")</f>
        <v>2.7370000000000002E-2</v>
      </c>
      <c r="P61" s="215" t="b">
        <v>1</v>
      </c>
      <c r="Q61" s="215">
        <v>50</v>
      </c>
      <c r="R61" s="215">
        <v>1</v>
      </c>
      <c r="S61" s="217">
        <f>IFERROR(_xll.qlRateHelperEarliestDate(M61,Trigger),"--")</f>
        <v>42184</v>
      </c>
      <c r="T61" s="217">
        <f>IFERROR(_xll.qlRateHelperPillarDate(M61,Trigger),"--")</f>
        <v>47662</v>
      </c>
      <c r="V61" s="12" t="e">
        <f>IFERROR(INDEX($L$3:$L$88,MATCH(X61,$N$3:$N$88,1),1),NA())</f>
        <v>#N/A</v>
      </c>
      <c r="W61" s="12" t="e">
        <v>#N/A</v>
      </c>
      <c r="X61" s="12" t="e">
        <f>_xll.qlRateHelperQuoteName(W61,Trigger)</f>
        <v>#VALUE!</v>
      </c>
      <c r="Y61" s="106" t="e">
        <f>_xll.qlRateHelperRate(W61,Trigger)</f>
        <v>#VALUE!</v>
      </c>
      <c r="Z61" s="176" t="str">
        <f>IF(ISERROR(_xll.qlSwapRateHelperSpread($W61)),IF(ISERROR(_xll.qlFuturesRateHelperConvexityAdjustment($W61)),"--",_xll.qlFuturesRateHelperConvexityAdjustment($W61)),_xll.qlSwapRateHelperSpread($W61))</f>
        <v>--</v>
      </c>
      <c r="AA61" s="13" t="e">
        <f>_xll.qlRateHelperEarliestDate(W61,Trigger)</f>
        <v>#VALUE!</v>
      </c>
      <c r="AB61" s="13" t="e">
        <f>_xll.qlRateHelperPillarDate(W61,Trigger)</f>
        <v>#VALUE!</v>
      </c>
      <c r="AC61" s="144" t="e">
        <v>#N/A</v>
      </c>
    </row>
    <row r="62" spans="1:29" ht="11.25" customHeight="1" x14ac:dyDescent="0.2">
      <c r="A62" s="89" t="s">
        <v>38</v>
      </c>
      <c r="B62" s="90" t="s">
        <v>114</v>
      </c>
      <c r="C62" s="91" t="s">
        <v>14</v>
      </c>
      <c r="D62" s="91" t="s">
        <v>16</v>
      </c>
      <c r="E62" s="91" t="s">
        <v>15</v>
      </c>
      <c r="F62" s="91" t="s">
        <v>41</v>
      </c>
      <c r="G62" s="91" t="str">
        <f>PROPER(Currency)&amp;FamilyName&amp;$G$1</f>
        <v>UsdLibor3M</v>
      </c>
      <c r="H62" s="89" t="str">
        <f>Currency&amp;$G$48&amp;$H$48&amp;$B62&amp;"_Quote"</f>
        <v>USDAM3L10Y_Quote</v>
      </c>
      <c r="I62" s="201">
        <v>0</v>
      </c>
      <c r="J62" s="96" t="str">
        <f>_xll.qlSwapRateHelper2(,H62,,B62,JoinCalendar,USD3M!D62,USD3M!E62,USD3M!F62,USD3M!G62,USD3M!I62,USD3M!C62,Discounting,PillarDate,,Permanent,Trigger,ObjectOverwrite)</f>
        <v>obj_003e0#0007</v>
      </c>
      <c r="L62" s="107" t="str">
        <f t="shared" si="7"/>
        <v>Sw</v>
      </c>
      <c r="M62" s="215" t="str">
        <f t="shared" si="8"/>
        <v>--</v>
      </c>
      <c r="N62" s="223" t="str">
        <f>IFERROR(_xll.qlRateHelperQuoteName(M62,Trigger),"--")</f>
        <v>--</v>
      </c>
      <c r="O62" s="216" t="str">
        <f>IFERROR(_xll.qlRateHelperQuoteValue($M62,Trigger),"--")</f>
        <v>--</v>
      </c>
      <c r="P62" s="215" t="b">
        <v>0</v>
      </c>
      <c r="Q62" s="215">
        <v>50</v>
      </c>
      <c r="R62" s="215">
        <v>1</v>
      </c>
      <c r="S62" s="217" t="str">
        <f>IFERROR(_xll.qlRateHelperEarliestDate(M62,Trigger),"--")</f>
        <v>--</v>
      </c>
      <c r="T62" s="217" t="str">
        <f>IFERROR(_xll.qlRateHelperPillarDate(M62,Trigger),"--")</f>
        <v>--</v>
      </c>
      <c r="V62" s="12" t="e">
        <f>IFERROR(INDEX($L$3:$L$88,MATCH(X62,$N$3:$N$88,1),1),NA())</f>
        <v>#N/A</v>
      </c>
      <c r="W62" s="12" t="e">
        <v>#N/A</v>
      </c>
      <c r="X62" s="12" t="e">
        <f>_xll.qlRateHelperQuoteName(W62,Trigger)</f>
        <v>#VALUE!</v>
      </c>
      <c r="Y62" s="106" t="e">
        <f>_xll.qlRateHelperRate(W62,Trigger)</f>
        <v>#VALUE!</v>
      </c>
      <c r="Z62" s="176" t="str">
        <f>IF(ISERROR(_xll.qlSwapRateHelperSpread($W62)),IF(ISERROR(_xll.qlFuturesRateHelperConvexityAdjustment($W62)),"--",_xll.qlFuturesRateHelperConvexityAdjustment($W62)),_xll.qlSwapRateHelperSpread($W62))</f>
        <v>--</v>
      </c>
      <c r="AA62" s="13" t="e">
        <f>_xll.qlRateHelperEarliestDate(W62,Trigger)</f>
        <v>#VALUE!</v>
      </c>
      <c r="AB62" s="13" t="e">
        <f>_xll.qlRateHelperPillarDate(W62,Trigger)</f>
        <v>#VALUE!</v>
      </c>
      <c r="AC62" s="144" t="e">
        <v>#N/A</v>
      </c>
    </row>
    <row r="63" spans="1:29" ht="11.25" customHeight="1" x14ac:dyDescent="0.2">
      <c r="A63" s="89" t="s">
        <v>38</v>
      </c>
      <c r="B63" s="90" t="s">
        <v>158</v>
      </c>
      <c r="C63" s="91" t="s">
        <v>14</v>
      </c>
      <c r="D63" s="91" t="s">
        <v>16</v>
      </c>
      <c r="E63" s="91" t="s">
        <v>15</v>
      </c>
      <c r="F63" s="91" t="s">
        <v>41</v>
      </c>
      <c r="G63" s="91" t="str">
        <f>PROPER(Currency)&amp;FamilyName&amp;$G$1</f>
        <v>UsdLibor3M</v>
      </c>
      <c r="H63" s="89" t="str">
        <f>Currency&amp;$G$48&amp;$H$48&amp;$B63&amp;"_Quote"</f>
        <v>USDAM3L11Y_Quote</v>
      </c>
      <c r="I63" s="201">
        <v>0</v>
      </c>
      <c r="J63" s="96"/>
      <c r="L63" s="107" t="str">
        <f t="shared" si="7"/>
        <v>Sw</v>
      </c>
      <c r="M63" s="215" t="str">
        <f t="shared" si="8"/>
        <v>--</v>
      </c>
      <c r="N63" s="223" t="str">
        <f>IFERROR(_xll.qlRateHelperQuoteName(M63,Trigger),"--")</f>
        <v>--</v>
      </c>
      <c r="O63" s="216" t="str">
        <f>IFERROR(_xll.qlRateHelperQuoteValue($M63,Trigger),"--")</f>
        <v>--</v>
      </c>
      <c r="P63" s="215" t="b">
        <v>0</v>
      </c>
      <c r="Q63" s="215">
        <v>50</v>
      </c>
      <c r="R63" s="215">
        <v>1</v>
      </c>
      <c r="S63" s="217" t="str">
        <f>IFERROR(_xll.qlRateHelperEarliestDate(M63,Trigger),"--")</f>
        <v>--</v>
      </c>
      <c r="T63" s="217" t="str">
        <f>IFERROR(_xll.qlRateHelperPillarDate(M63,Trigger),"--")</f>
        <v>--</v>
      </c>
      <c r="V63" s="12" t="e">
        <f>IFERROR(INDEX($L$3:$L$88,MATCH(X63,$N$3:$N$88,1),1),NA())</f>
        <v>#N/A</v>
      </c>
      <c r="W63" s="12" t="e">
        <v>#N/A</v>
      </c>
      <c r="X63" s="12" t="e">
        <f>_xll.qlRateHelperQuoteName(W63,Trigger)</f>
        <v>#VALUE!</v>
      </c>
      <c r="Y63" s="106" t="e">
        <f>_xll.qlRateHelperRate(W63,Trigger)</f>
        <v>#VALUE!</v>
      </c>
      <c r="Z63" s="176" t="str">
        <f>IF(ISERROR(_xll.qlSwapRateHelperSpread($W63)),IF(ISERROR(_xll.qlFuturesRateHelperConvexityAdjustment($W63)),"--",_xll.qlFuturesRateHelperConvexityAdjustment($W63)),_xll.qlSwapRateHelperSpread($W63))</f>
        <v>--</v>
      </c>
      <c r="AA63" s="13" t="e">
        <f>_xll.qlRateHelperEarliestDate(W63,Trigger)</f>
        <v>#VALUE!</v>
      </c>
      <c r="AB63" s="13" t="e">
        <f>_xll.qlRateHelperPillarDate(W63,Trigger)</f>
        <v>#VALUE!</v>
      </c>
      <c r="AC63" s="144" t="e">
        <v>#N/A</v>
      </c>
    </row>
    <row r="64" spans="1:29" ht="11.25" customHeight="1" x14ac:dyDescent="0.2">
      <c r="A64" s="89" t="s">
        <v>38</v>
      </c>
      <c r="B64" s="90" t="s">
        <v>115</v>
      </c>
      <c r="C64" s="91" t="s">
        <v>14</v>
      </c>
      <c r="D64" s="91" t="s">
        <v>16</v>
      </c>
      <c r="E64" s="91" t="s">
        <v>15</v>
      </c>
      <c r="F64" s="91" t="s">
        <v>41</v>
      </c>
      <c r="G64" s="91" t="str">
        <f>PROPER(Currency)&amp;FamilyName&amp;$G$1</f>
        <v>UsdLibor3M</v>
      </c>
      <c r="H64" s="89" t="str">
        <f>Currency&amp;$G$48&amp;$H$48&amp;$B64&amp;"_Quote"</f>
        <v>USDAM3L12Y_Quote</v>
      </c>
      <c r="I64" s="201">
        <v>0</v>
      </c>
      <c r="J64" s="96" t="str">
        <f>_xll.qlSwapRateHelper2(,H64,,B64,JoinCalendar,USD3M!D64,USD3M!E64,USD3M!F64,USD3M!G64,USD3M!I64,USD3M!C64,Discounting,PillarDate,,Permanent,Trigger,ObjectOverwrite)</f>
        <v>obj_003f6#0007</v>
      </c>
      <c r="L64" s="107" t="str">
        <f t="shared" si="7"/>
        <v>Sw</v>
      </c>
      <c r="M64" s="215" t="str">
        <f t="shared" si="8"/>
        <v>--</v>
      </c>
      <c r="N64" s="223" t="str">
        <f>IFERROR(_xll.qlRateHelperQuoteName(M64,Trigger),"--")</f>
        <v>--</v>
      </c>
      <c r="O64" s="216" t="str">
        <f>IFERROR(_xll.qlRateHelperQuoteValue($M64,Trigger),"--")</f>
        <v>--</v>
      </c>
      <c r="P64" s="215" t="b">
        <v>0</v>
      </c>
      <c r="Q64" s="215">
        <v>50</v>
      </c>
      <c r="R64" s="215">
        <v>1</v>
      </c>
      <c r="S64" s="217" t="str">
        <f>IFERROR(_xll.qlRateHelperEarliestDate(M64,Trigger),"--")</f>
        <v>--</v>
      </c>
      <c r="T64" s="217" t="str">
        <f>IFERROR(_xll.qlRateHelperPillarDate(M64,Trigger),"--")</f>
        <v>--</v>
      </c>
      <c r="V64" s="12" t="e">
        <f>IFERROR(INDEX($L$3:$L$88,MATCH(X64,$N$3:$N$88,1),1),NA())</f>
        <v>#N/A</v>
      </c>
      <c r="W64" s="12" t="e">
        <v>#N/A</v>
      </c>
      <c r="X64" s="12" t="e">
        <f>_xll.qlRateHelperQuoteName(W64,Trigger)</f>
        <v>#VALUE!</v>
      </c>
      <c r="Y64" s="106" t="e">
        <f>_xll.qlRateHelperRate(W64,Trigger)</f>
        <v>#VALUE!</v>
      </c>
      <c r="Z64" s="176" t="str">
        <f>IF(ISERROR(_xll.qlSwapRateHelperSpread($W64)),IF(ISERROR(_xll.qlFuturesRateHelperConvexityAdjustment($W64)),"--",_xll.qlFuturesRateHelperConvexityAdjustment($W64)),_xll.qlSwapRateHelperSpread($W64))</f>
        <v>--</v>
      </c>
      <c r="AA64" s="13" t="e">
        <f>_xll.qlRateHelperEarliestDate(W64,Trigger)</f>
        <v>#VALUE!</v>
      </c>
      <c r="AB64" s="13" t="e">
        <f>_xll.qlRateHelperPillarDate(W64,Trigger)</f>
        <v>#VALUE!</v>
      </c>
      <c r="AC64" s="144" t="e">
        <v>#N/A</v>
      </c>
    </row>
    <row r="65" spans="1:29" ht="11.25" customHeight="1" x14ac:dyDescent="0.2">
      <c r="A65" s="89" t="s">
        <v>38</v>
      </c>
      <c r="B65" s="90" t="s">
        <v>159</v>
      </c>
      <c r="C65" s="91" t="s">
        <v>14</v>
      </c>
      <c r="D65" s="91" t="s">
        <v>16</v>
      </c>
      <c r="E65" s="91" t="s">
        <v>15</v>
      </c>
      <c r="F65" s="91" t="s">
        <v>41</v>
      </c>
      <c r="G65" s="91" t="str">
        <f>PROPER(Currency)&amp;FamilyName&amp;$G$1</f>
        <v>UsdLibor3M</v>
      </c>
      <c r="H65" s="89" t="str">
        <f>Currency&amp;$G$48&amp;$H$48&amp;$B65&amp;"_Quote"</f>
        <v>USDAM3L13Y_Quote</v>
      </c>
      <c r="I65" s="201">
        <v>0</v>
      </c>
      <c r="J65" s="96"/>
      <c r="L65" s="107" t="str">
        <f t="shared" si="7"/>
        <v>Sw</v>
      </c>
      <c r="M65" s="215" t="str">
        <f t="shared" si="8"/>
        <v>--</v>
      </c>
      <c r="N65" s="223" t="str">
        <f>IFERROR(_xll.qlRateHelperQuoteName(M65,Trigger),"--")</f>
        <v>--</v>
      </c>
      <c r="O65" s="216" t="str">
        <f>IFERROR(_xll.qlRateHelperQuoteValue($M65,Trigger),"--")</f>
        <v>--</v>
      </c>
      <c r="P65" s="215" t="b">
        <v>0</v>
      </c>
      <c r="Q65" s="215">
        <v>50</v>
      </c>
      <c r="R65" s="215">
        <v>1</v>
      </c>
      <c r="S65" s="217" t="str">
        <f>IFERROR(_xll.qlRateHelperEarliestDate(M65,Trigger),"--")</f>
        <v>--</v>
      </c>
      <c r="T65" s="217" t="str">
        <f>IFERROR(_xll.qlRateHelperPillarDate(M65,Trigger),"--")</f>
        <v>--</v>
      </c>
      <c r="V65" s="12" t="e">
        <f>IFERROR(INDEX($L$3:$L$88,MATCH(X65,$N$3:$N$88,1),1),NA())</f>
        <v>#N/A</v>
      </c>
      <c r="W65" s="12" t="e">
        <v>#N/A</v>
      </c>
      <c r="X65" s="12" t="e">
        <f>_xll.qlRateHelperQuoteName(W65,Trigger)</f>
        <v>#VALUE!</v>
      </c>
      <c r="Y65" s="106" t="e">
        <f>_xll.qlRateHelperRate(W65,Trigger)</f>
        <v>#VALUE!</v>
      </c>
      <c r="Z65" s="176" t="str">
        <f>IF(ISERROR(_xll.qlSwapRateHelperSpread($W65)),IF(ISERROR(_xll.qlFuturesRateHelperConvexityAdjustment($W65)),"--",_xll.qlFuturesRateHelperConvexityAdjustment($W65)),_xll.qlSwapRateHelperSpread($W65))</f>
        <v>--</v>
      </c>
      <c r="AA65" s="13" t="e">
        <f>_xll.qlRateHelperEarliestDate(W65,Trigger)</f>
        <v>#VALUE!</v>
      </c>
      <c r="AB65" s="13" t="e">
        <f>_xll.qlRateHelperPillarDate(W65,Trigger)</f>
        <v>#VALUE!</v>
      </c>
      <c r="AC65" s="144" t="e">
        <v>#N/A</v>
      </c>
    </row>
    <row r="66" spans="1:29" ht="11.25" customHeight="1" x14ac:dyDescent="0.2">
      <c r="A66" s="89" t="s">
        <v>38</v>
      </c>
      <c r="B66" s="90" t="s">
        <v>160</v>
      </c>
      <c r="C66" s="91" t="s">
        <v>14</v>
      </c>
      <c r="D66" s="91" t="s">
        <v>16</v>
      </c>
      <c r="E66" s="91" t="s">
        <v>15</v>
      </c>
      <c r="F66" s="91" t="s">
        <v>41</v>
      </c>
      <c r="G66" s="91" t="str">
        <f>PROPER(Currency)&amp;FamilyName&amp;$G$1</f>
        <v>UsdLibor3M</v>
      </c>
      <c r="H66" s="89" t="str">
        <f>Currency&amp;$G$48&amp;$H$48&amp;$B66&amp;"_Quote"</f>
        <v>USDAM3L14Y_Quote</v>
      </c>
      <c r="I66" s="201">
        <v>0</v>
      </c>
      <c r="J66" s="96"/>
      <c r="L66" s="107" t="str">
        <f t="shared" si="7"/>
        <v>Sw</v>
      </c>
      <c r="M66" s="215" t="str">
        <f t="shared" si="8"/>
        <v>obj_00483#0007</v>
      </c>
      <c r="N66" s="223" t="str">
        <f>IFERROR(_xll.qlRateHelperQuoteName(M66,Trigger),"--")</f>
        <v>USDAM3L20Y_Quote</v>
      </c>
      <c r="O66" s="216">
        <f>IFERROR(_xll.qlRateHelperQuoteValue($M66,Trigger),"--")</f>
        <v>2.8510000000000001E-2</v>
      </c>
      <c r="P66" s="215" t="b">
        <v>1</v>
      </c>
      <c r="Q66" s="215">
        <v>50</v>
      </c>
      <c r="R66" s="215">
        <v>1</v>
      </c>
      <c r="S66" s="217">
        <f>IFERROR(_xll.qlRateHelperEarliestDate(M66,Trigger),"--")</f>
        <v>42184</v>
      </c>
      <c r="T66" s="217">
        <f>IFERROR(_xll.qlRateHelperPillarDate(M66,Trigger),"--")</f>
        <v>49489</v>
      </c>
      <c r="V66" s="12" t="e">
        <f>IFERROR(INDEX($L$3:$L$88,MATCH(X66,$N$3:$N$88,1),1),NA())</f>
        <v>#N/A</v>
      </c>
      <c r="W66" s="12" t="e">
        <v>#N/A</v>
      </c>
      <c r="X66" s="12" t="e">
        <f>_xll.qlRateHelperQuoteName(W66,Trigger)</f>
        <v>#VALUE!</v>
      </c>
      <c r="Y66" s="106" t="e">
        <f>_xll.qlRateHelperRate(W66,Trigger)</f>
        <v>#VALUE!</v>
      </c>
      <c r="Z66" s="176" t="str">
        <f>IF(ISERROR(_xll.qlSwapRateHelperSpread($W66)),IF(ISERROR(_xll.qlFuturesRateHelperConvexityAdjustment($W66)),"--",_xll.qlFuturesRateHelperConvexityAdjustment($W66)),_xll.qlSwapRateHelperSpread($W66))</f>
        <v>--</v>
      </c>
      <c r="AA66" s="13" t="e">
        <f>_xll.qlRateHelperEarliestDate(W66,Trigger)</f>
        <v>#VALUE!</v>
      </c>
      <c r="AB66" s="13" t="e">
        <f>_xll.qlRateHelperPillarDate(W66,Trigger)</f>
        <v>#VALUE!</v>
      </c>
      <c r="AC66" s="144" t="e">
        <v>#N/A</v>
      </c>
    </row>
    <row r="67" spans="1:29" ht="11.25" customHeight="1" x14ac:dyDescent="0.2">
      <c r="A67" s="89" t="s">
        <v>38</v>
      </c>
      <c r="B67" s="90" t="s">
        <v>116</v>
      </c>
      <c r="C67" s="91" t="s">
        <v>14</v>
      </c>
      <c r="D67" s="91" t="s">
        <v>16</v>
      </c>
      <c r="E67" s="91" t="s">
        <v>15</v>
      </c>
      <c r="F67" s="91" t="s">
        <v>41</v>
      </c>
      <c r="G67" s="91" t="str">
        <f>PROPER(Currency)&amp;FamilyName&amp;$G$1</f>
        <v>UsdLibor3M</v>
      </c>
      <c r="H67" s="89" t="str">
        <f>Currency&amp;$G$48&amp;$H$48&amp;$B67&amp;"_Quote"</f>
        <v>USDAM3L15Y_Quote</v>
      </c>
      <c r="I67" s="201">
        <v>0</v>
      </c>
      <c r="J67" s="96" t="str">
        <f>_xll.qlSwapRateHelper2(,H67,,B67,JoinCalendar,USD3M!D67,USD3M!E67,USD3M!F67,USD3M!G67,USD3M!I67,USD3M!C67,Discounting,PillarDate,,Permanent,Trigger,ObjectOverwrite)</f>
        <v>obj_003da#0008</v>
      </c>
      <c r="L67" s="107" t="str">
        <f t="shared" si="7"/>
        <v>Sw</v>
      </c>
      <c r="M67" s="215" t="str">
        <f t="shared" si="8"/>
        <v>--</v>
      </c>
      <c r="N67" s="223" t="str">
        <f>IFERROR(_xll.qlRateHelperQuoteName(M67,Trigger),"--")</f>
        <v>--</v>
      </c>
      <c r="O67" s="216" t="str">
        <f>IFERROR(_xll.qlRateHelperQuoteValue($M67,Trigger),"--")</f>
        <v>--</v>
      </c>
      <c r="P67" s="215" t="b">
        <v>0</v>
      </c>
      <c r="Q67" s="215">
        <v>50</v>
      </c>
      <c r="R67" s="215">
        <v>1</v>
      </c>
      <c r="S67" s="217" t="str">
        <f>IFERROR(_xll.qlRateHelperEarliestDate(M67,Trigger),"--")</f>
        <v>--</v>
      </c>
      <c r="T67" s="217" t="str">
        <f>IFERROR(_xll.qlRateHelperPillarDate(M67,Trigger),"--")</f>
        <v>--</v>
      </c>
      <c r="V67" s="12" t="e">
        <f>IFERROR(INDEX($L$3:$L$88,MATCH(X67,$N$3:$N$88,1),1),NA())</f>
        <v>#N/A</v>
      </c>
      <c r="W67" s="12" t="e">
        <v>#N/A</v>
      </c>
      <c r="X67" s="12" t="e">
        <f>_xll.qlRateHelperQuoteName(W67,Trigger)</f>
        <v>#VALUE!</v>
      </c>
      <c r="Y67" s="106" t="e">
        <f>_xll.qlRateHelperRate(W67,Trigger)</f>
        <v>#VALUE!</v>
      </c>
      <c r="Z67" s="176" t="str">
        <f>IF(ISERROR(_xll.qlSwapRateHelperSpread($W67)),IF(ISERROR(_xll.qlFuturesRateHelperConvexityAdjustment($W67)),"--",_xll.qlFuturesRateHelperConvexityAdjustment($W67)),_xll.qlSwapRateHelperSpread($W67))</f>
        <v>--</v>
      </c>
      <c r="AA67" s="13" t="e">
        <f>_xll.qlRateHelperEarliestDate(W67,Trigger)</f>
        <v>#VALUE!</v>
      </c>
      <c r="AB67" s="13" t="e">
        <f>_xll.qlRateHelperPillarDate(W67,Trigger)</f>
        <v>#VALUE!</v>
      </c>
      <c r="AC67" s="144" t="e">
        <v>#N/A</v>
      </c>
    </row>
    <row r="68" spans="1:29" ht="11.25" customHeight="1" x14ac:dyDescent="0.2">
      <c r="A68" s="89" t="s">
        <v>38</v>
      </c>
      <c r="B68" s="90" t="s">
        <v>161</v>
      </c>
      <c r="C68" s="91" t="s">
        <v>14</v>
      </c>
      <c r="D68" s="91" t="s">
        <v>16</v>
      </c>
      <c r="E68" s="91" t="s">
        <v>15</v>
      </c>
      <c r="F68" s="91" t="s">
        <v>41</v>
      </c>
      <c r="G68" s="91" t="str">
        <f>PROPER(Currency)&amp;FamilyName&amp;$G$1</f>
        <v>UsdLibor3M</v>
      </c>
      <c r="H68" s="89" t="str">
        <f>Currency&amp;$G$48&amp;$H$48&amp;$B68&amp;"_Quote"</f>
        <v>USDAM3L16Y_Quote</v>
      </c>
      <c r="I68" s="201">
        <v>0</v>
      </c>
      <c r="J68" s="96"/>
      <c r="L68" s="107" t="str">
        <f t="shared" si="7"/>
        <v>Sw</v>
      </c>
      <c r="M68" s="215" t="str">
        <f t="shared" si="8"/>
        <v>--</v>
      </c>
      <c r="N68" s="223" t="str">
        <f>IFERROR(_xll.qlRateHelperQuoteName(M68,Trigger),"--")</f>
        <v>--</v>
      </c>
      <c r="O68" s="216" t="str">
        <f>IFERROR(_xll.qlRateHelperQuoteValue($M68,Trigger),"--")</f>
        <v>--</v>
      </c>
      <c r="P68" s="215" t="b">
        <v>0</v>
      </c>
      <c r="Q68" s="215">
        <v>50</v>
      </c>
      <c r="R68" s="215">
        <v>1</v>
      </c>
      <c r="S68" s="217" t="str">
        <f>IFERROR(_xll.qlRateHelperEarliestDate(M68,Trigger),"--")</f>
        <v>--</v>
      </c>
      <c r="T68" s="217" t="str">
        <f>IFERROR(_xll.qlRateHelperPillarDate(M68,Trigger),"--")</f>
        <v>--</v>
      </c>
      <c r="V68" s="12" t="e">
        <f t="shared" ref="V68:V88" si="9">IFERROR(INDEX($L$3:$L$88,MATCH(X68,$N$3:$N$88,1),1),NA())</f>
        <v>#N/A</v>
      </c>
      <c r="W68" s="12" t="e">
        <v>#N/A</v>
      </c>
      <c r="X68" s="12" t="e">
        <f>_xll.qlRateHelperQuoteName(W68,Trigger)</f>
        <v>#VALUE!</v>
      </c>
      <c r="Y68" s="106" t="e">
        <f>_xll.qlRateHelperRate(W68,Trigger)</f>
        <v>#VALUE!</v>
      </c>
      <c r="Z68" s="176" t="str">
        <f>IF(ISERROR(_xll.qlSwapRateHelperSpread($W68)),IF(ISERROR(_xll.qlFuturesRateHelperConvexityAdjustment($W68)),"--",_xll.qlFuturesRateHelperConvexityAdjustment($W68)),_xll.qlSwapRateHelperSpread($W68))</f>
        <v>--</v>
      </c>
      <c r="AA68" s="13" t="e">
        <f>_xll.qlRateHelperEarliestDate(W68,Trigger)</f>
        <v>#VALUE!</v>
      </c>
      <c r="AB68" s="13" t="e">
        <f>_xll.qlRateHelperPillarDate(W68,Trigger)</f>
        <v>#VALUE!</v>
      </c>
      <c r="AC68" s="144" t="e">
        <v>#N/A</v>
      </c>
    </row>
    <row r="69" spans="1:29" ht="11.25" customHeight="1" x14ac:dyDescent="0.2">
      <c r="A69" s="89" t="s">
        <v>38</v>
      </c>
      <c r="B69" s="90" t="s">
        <v>162</v>
      </c>
      <c r="C69" s="91" t="s">
        <v>14</v>
      </c>
      <c r="D69" s="91" t="s">
        <v>16</v>
      </c>
      <c r="E69" s="91" t="s">
        <v>15</v>
      </c>
      <c r="F69" s="91" t="s">
        <v>41</v>
      </c>
      <c r="G69" s="91" t="str">
        <f>PROPER(Currency)&amp;FamilyName&amp;$G$1</f>
        <v>UsdLibor3M</v>
      </c>
      <c r="H69" s="89" t="str">
        <f>Currency&amp;$G$48&amp;$H$48&amp;$B69&amp;"_Quote"</f>
        <v>USDAM3L17Y_Quote</v>
      </c>
      <c r="I69" s="201">
        <v>0</v>
      </c>
      <c r="J69" s="96"/>
      <c r="L69" s="107" t="str">
        <f t="shared" si="7"/>
        <v>Sw</v>
      </c>
      <c r="M69" s="215" t="str">
        <f t="shared" si="8"/>
        <v>--</v>
      </c>
      <c r="N69" s="223" t="str">
        <f>IFERROR(_xll.qlRateHelperQuoteName(M69,Trigger),"--")</f>
        <v>--</v>
      </c>
      <c r="O69" s="216" t="str">
        <f>IFERROR(_xll.qlRateHelperQuoteValue($M69,Trigger),"--")</f>
        <v>--</v>
      </c>
      <c r="P69" s="215" t="b">
        <v>0</v>
      </c>
      <c r="Q69" s="215">
        <v>50</v>
      </c>
      <c r="R69" s="215">
        <v>1</v>
      </c>
      <c r="S69" s="217" t="str">
        <f>IFERROR(_xll.qlRateHelperEarliestDate(M69,Trigger),"--")</f>
        <v>--</v>
      </c>
      <c r="T69" s="217" t="str">
        <f>IFERROR(_xll.qlRateHelperPillarDate(M69,Trigger),"--")</f>
        <v>--</v>
      </c>
      <c r="V69" s="12" t="e">
        <f t="shared" si="9"/>
        <v>#N/A</v>
      </c>
      <c r="W69" s="12" t="e">
        <v>#N/A</v>
      </c>
      <c r="X69" s="12" t="e">
        <f>_xll.qlRateHelperQuoteName(W69,Trigger)</f>
        <v>#VALUE!</v>
      </c>
      <c r="Y69" s="106" t="e">
        <f>_xll.qlRateHelperRate(W69,Trigger)</f>
        <v>#VALUE!</v>
      </c>
      <c r="Z69" s="176" t="str">
        <f>IF(ISERROR(_xll.qlSwapRateHelperSpread($W69)),IF(ISERROR(_xll.qlFuturesRateHelperConvexityAdjustment($W69)),"--",_xll.qlFuturesRateHelperConvexityAdjustment($W69)),_xll.qlSwapRateHelperSpread($W69))</f>
        <v>--</v>
      </c>
      <c r="AA69" s="13" t="e">
        <f>_xll.qlRateHelperEarliestDate(W69,Trigger)</f>
        <v>#VALUE!</v>
      </c>
      <c r="AB69" s="13" t="e">
        <f>_xll.qlRateHelperPillarDate(W69,Trigger)</f>
        <v>#VALUE!</v>
      </c>
      <c r="AC69" s="144" t="e">
        <v>#N/A</v>
      </c>
    </row>
    <row r="70" spans="1:29" ht="11.25" customHeight="1" x14ac:dyDescent="0.2">
      <c r="A70" s="89" t="s">
        <v>38</v>
      </c>
      <c r="B70" s="90" t="s">
        <v>163</v>
      </c>
      <c r="C70" s="91" t="s">
        <v>14</v>
      </c>
      <c r="D70" s="91" t="s">
        <v>16</v>
      </c>
      <c r="E70" s="91" t="s">
        <v>15</v>
      </c>
      <c r="F70" s="91" t="s">
        <v>41</v>
      </c>
      <c r="G70" s="91" t="str">
        <f>PROPER(Currency)&amp;FamilyName&amp;$G$1</f>
        <v>UsdLibor3M</v>
      </c>
      <c r="H70" s="89" t="str">
        <f>Currency&amp;$G$48&amp;$H$48&amp;$B70&amp;"_Quote"</f>
        <v>USDAM3L18Y_Quote</v>
      </c>
      <c r="I70" s="201">
        <v>0</v>
      </c>
      <c r="J70" s="96"/>
      <c r="L70" s="107" t="str">
        <f t="shared" si="7"/>
        <v>Sw</v>
      </c>
      <c r="M70" s="215" t="str">
        <f t="shared" si="8"/>
        <v>--</v>
      </c>
      <c r="N70" s="223" t="str">
        <f>IFERROR(_xll.qlRateHelperQuoteName(M70,Trigger),"--")</f>
        <v>--</v>
      </c>
      <c r="O70" s="216" t="str">
        <f>IFERROR(_xll.qlRateHelperQuoteValue($M70,Trigger),"--")</f>
        <v>--</v>
      </c>
      <c r="P70" s="215" t="b">
        <v>0</v>
      </c>
      <c r="Q70" s="215">
        <v>50</v>
      </c>
      <c r="R70" s="215">
        <v>1</v>
      </c>
      <c r="S70" s="217" t="str">
        <f>IFERROR(_xll.qlRateHelperEarliestDate(M70,Trigger),"--")</f>
        <v>--</v>
      </c>
      <c r="T70" s="217" t="str">
        <f>IFERROR(_xll.qlRateHelperPillarDate(M70,Trigger),"--")</f>
        <v>--</v>
      </c>
      <c r="V70" s="12" t="e">
        <f t="shared" si="9"/>
        <v>#N/A</v>
      </c>
      <c r="W70" s="12" t="e">
        <v>#N/A</v>
      </c>
      <c r="X70" s="12" t="e">
        <f>_xll.qlRateHelperQuoteName(W70,Trigger)</f>
        <v>#VALUE!</v>
      </c>
      <c r="Y70" s="106" t="e">
        <f>_xll.qlRateHelperRate(W70,Trigger)</f>
        <v>#VALUE!</v>
      </c>
      <c r="Z70" s="176" t="str">
        <f>IF(ISERROR(_xll.qlSwapRateHelperSpread($W70)),IF(ISERROR(_xll.qlFuturesRateHelperConvexityAdjustment($W70)),"--",_xll.qlFuturesRateHelperConvexityAdjustment($W70)),_xll.qlSwapRateHelperSpread($W70))</f>
        <v>--</v>
      </c>
      <c r="AA70" s="13" t="e">
        <f>_xll.qlRateHelperEarliestDate(W70,Trigger)</f>
        <v>#VALUE!</v>
      </c>
      <c r="AB70" s="13" t="e">
        <f>_xll.qlRateHelperPillarDate(W70,Trigger)</f>
        <v>#VALUE!</v>
      </c>
      <c r="AC70" s="144" t="e">
        <v>#N/A</v>
      </c>
    </row>
    <row r="71" spans="1:29" ht="11.25" customHeight="1" x14ac:dyDescent="0.2">
      <c r="A71" s="89" t="s">
        <v>38</v>
      </c>
      <c r="B71" s="90" t="s">
        <v>164</v>
      </c>
      <c r="C71" s="91" t="s">
        <v>14</v>
      </c>
      <c r="D71" s="91" t="s">
        <v>16</v>
      </c>
      <c r="E71" s="91" t="s">
        <v>15</v>
      </c>
      <c r="F71" s="91" t="s">
        <v>41</v>
      </c>
      <c r="G71" s="91" t="str">
        <f>PROPER(Currency)&amp;FamilyName&amp;$G$1</f>
        <v>UsdLibor3M</v>
      </c>
      <c r="H71" s="89" t="str">
        <f>Currency&amp;$G$48&amp;$H$48&amp;$B71&amp;"_Quote"</f>
        <v>USDAM3L19Y_Quote</v>
      </c>
      <c r="I71" s="201">
        <v>0</v>
      </c>
      <c r="J71" s="96"/>
      <c r="L71" s="107" t="str">
        <f t="shared" si="7"/>
        <v>Sw</v>
      </c>
      <c r="M71" s="215" t="str">
        <f t="shared" si="8"/>
        <v>obj_0047e#0007</v>
      </c>
      <c r="N71" s="223" t="str">
        <f>IFERROR(_xll.qlRateHelperQuoteName(M71,Trigger),"--")</f>
        <v>USDAM3L25Y_Quote</v>
      </c>
      <c r="O71" s="216">
        <f>IFERROR(_xll.qlRateHelperQuoteValue($M71,Trigger),"--")</f>
        <v>2.9049999999999999E-2</v>
      </c>
      <c r="P71" s="215" t="b">
        <v>1</v>
      </c>
      <c r="Q71" s="215">
        <v>50</v>
      </c>
      <c r="R71" s="215">
        <v>1</v>
      </c>
      <c r="S71" s="217">
        <f>IFERROR(_xll.qlRateHelperEarliestDate(M71,Trigger),"--")</f>
        <v>42184</v>
      </c>
      <c r="T71" s="217">
        <f>IFERROR(_xll.qlRateHelperPillarDate(M71,Trigger),"--")</f>
        <v>51316</v>
      </c>
      <c r="V71" s="12" t="e">
        <f t="shared" si="9"/>
        <v>#N/A</v>
      </c>
      <c r="W71" s="12" t="e">
        <v>#N/A</v>
      </c>
      <c r="X71" s="12" t="e">
        <f>_xll.qlRateHelperQuoteName(W71,Trigger)</f>
        <v>#VALUE!</v>
      </c>
      <c r="Y71" s="106" t="e">
        <f>_xll.qlRateHelperRate(W71,Trigger)</f>
        <v>#VALUE!</v>
      </c>
      <c r="Z71" s="176" t="str">
        <f>IF(ISERROR(_xll.qlSwapRateHelperSpread($W71)),IF(ISERROR(_xll.qlFuturesRateHelperConvexityAdjustment($W71)),"--",_xll.qlFuturesRateHelperConvexityAdjustment($W71)),_xll.qlSwapRateHelperSpread($W71))</f>
        <v>--</v>
      </c>
      <c r="AA71" s="13" t="e">
        <f>_xll.qlRateHelperEarliestDate(W71,Trigger)</f>
        <v>#VALUE!</v>
      </c>
      <c r="AB71" s="13" t="e">
        <f>_xll.qlRateHelperPillarDate(W71,Trigger)</f>
        <v>#VALUE!</v>
      </c>
      <c r="AC71" s="144" t="e">
        <v>#N/A</v>
      </c>
    </row>
    <row r="72" spans="1:29" ht="11.25" customHeight="1" x14ac:dyDescent="0.2">
      <c r="A72" s="89" t="s">
        <v>38</v>
      </c>
      <c r="B72" s="90" t="s">
        <v>117</v>
      </c>
      <c r="C72" s="91" t="s">
        <v>14</v>
      </c>
      <c r="D72" s="91" t="s">
        <v>16</v>
      </c>
      <c r="E72" s="91" t="s">
        <v>15</v>
      </c>
      <c r="F72" s="91" t="s">
        <v>41</v>
      </c>
      <c r="G72" s="91" t="str">
        <f>PROPER(Currency)&amp;FamilyName&amp;$G$1</f>
        <v>UsdLibor3M</v>
      </c>
      <c r="H72" s="89" t="str">
        <f>Currency&amp;$G$48&amp;$H$48&amp;$B72&amp;"_Quote"</f>
        <v>USDAM3L20Y_Quote</v>
      </c>
      <c r="I72" s="201">
        <v>0</v>
      </c>
      <c r="J72" s="96" t="str">
        <f>_xll.qlSwapRateHelper2(,H72,,B72,JoinCalendar,USD3M!D72,USD3M!E72,USD3M!F72,USD3M!G72,USD3M!I72,USD3M!C72,Discounting,PillarDate,,Permanent,Trigger,ObjectOverwrite)</f>
        <v>obj_00483#0007</v>
      </c>
      <c r="L72" s="107" t="str">
        <f t="shared" si="7"/>
        <v>Sw</v>
      </c>
      <c r="M72" s="215" t="str">
        <f t="shared" si="8"/>
        <v>--</v>
      </c>
      <c r="N72" s="223" t="str">
        <f>IFERROR(_xll.qlRateHelperQuoteName(M72,Trigger),"--")</f>
        <v>--</v>
      </c>
      <c r="O72" s="216" t="str">
        <f>IFERROR(_xll.qlRateHelperQuoteValue($M72,Trigger),"--")</f>
        <v>--</v>
      </c>
      <c r="P72" s="215" t="b">
        <v>0</v>
      </c>
      <c r="Q72" s="215">
        <v>50</v>
      </c>
      <c r="R72" s="215">
        <v>1</v>
      </c>
      <c r="S72" s="217" t="str">
        <f>IFERROR(_xll.qlRateHelperEarliestDate(M72,Trigger),"--")</f>
        <v>--</v>
      </c>
      <c r="T72" s="217" t="str">
        <f>IFERROR(_xll.qlRateHelperPillarDate(M72,Trigger),"--")</f>
        <v>--</v>
      </c>
      <c r="V72" s="12" t="e">
        <f t="shared" si="9"/>
        <v>#N/A</v>
      </c>
      <c r="W72" s="12" t="e">
        <v>#N/A</v>
      </c>
      <c r="X72" s="12" t="e">
        <f>_xll.qlRateHelperQuoteName(W72,Trigger)</f>
        <v>#VALUE!</v>
      </c>
      <c r="Y72" s="106" t="e">
        <f>_xll.qlRateHelperRate(W72,Trigger)</f>
        <v>#VALUE!</v>
      </c>
      <c r="Z72" s="176" t="str">
        <f>IF(ISERROR(_xll.qlSwapRateHelperSpread($W72)),IF(ISERROR(_xll.qlFuturesRateHelperConvexityAdjustment($W72)),"--",_xll.qlFuturesRateHelperConvexityAdjustment($W72)),_xll.qlSwapRateHelperSpread($W72))</f>
        <v>--</v>
      </c>
      <c r="AA72" s="13" t="e">
        <f>_xll.qlRateHelperEarliestDate(W72,Trigger)</f>
        <v>#VALUE!</v>
      </c>
      <c r="AB72" s="13" t="e">
        <f>_xll.qlRateHelperPillarDate(W72,Trigger)</f>
        <v>#VALUE!</v>
      </c>
      <c r="AC72" s="144" t="e">
        <v>#N/A</v>
      </c>
    </row>
    <row r="73" spans="1:29" ht="11.25" customHeight="1" x14ac:dyDescent="0.2">
      <c r="A73" s="89" t="s">
        <v>38</v>
      </c>
      <c r="B73" s="90" t="s">
        <v>165</v>
      </c>
      <c r="C73" s="91" t="s">
        <v>14</v>
      </c>
      <c r="D73" s="91" t="s">
        <v>16</v>
      </c>
      <c r="E73" s="91" t="s">
        <v>15</v>
      </c>
      <c r="F73" s="91" t="s">
        <v>41</v>
      </c>
      <c r="G73" s="91" t="str">
        <f>PROPER(Currency)&amp;FamilyName&amp;$G$1</f>
        <v>UsdLibor3M</v>
      </c>
      <c r="H73" s="89" t="str">
        <f>Currency&amp;$G$48&amp;$H$48&amp;$B73&amp;"_Quote"</f>
        <v>USDAM3L21Y_Quote</v>
      </c>
      <c r="I73" s="201">
        <v>0</v>
      </c>
      <c r="J73" s="96"/>
      <c r="L73" s="107" t="str">
        <f t="shared" si="7"/>
        <v>Sw</v>
      </c>
      <c r="M73" s="215" t="str">
        <f t="shared" si="8"/>
        <v>--</v>
      </c>
      <c r="N73" s="223" t="str">
        <f>IFERROR(_xll.qlRateHelperQuoteName(M73,Trigger),"--")</f>
        <v>--</v>
      </c>
      <c r="O73" s="216" t="str">
        <f>IFERROR(_xll.qlRateHelperQuoteValue($M73,Trigger),"--")</f>
        <v>--</v>
      </c>
      <c r="P73" s="215" t="b">
        <v>0</v>
      </c>
      <c r="Q73" s="215">
        <v>50</v>
      </c>
      <c r="R73" s="215">
        <v>1</v>
      </c>
      <c r="S73" s="217" t="str">
        <f>IFERROR(_xll.qlRateHelperEarliestDate(M73,Trigger),"--")</f>
        <v>--</v>
      </c>
      <c r="T73" s="217" t="str">
        <f>IFERROR(_xll.qlRateHelperPillarDate(M73,Trigger),"--")</f>
        <v>--</v>
      </c>
      <c r="V73" s="12" t="e">
        <f t="shared" si="9"/>
        <v>#N/A</v>
      </c>
      <c r="W73" s="12" t="e">
        <v>#N/A</v>
      </c>
      <c r="X73" s="12" t="e">
        <f>_xll.qlRateHelperQuoteName(W73,Trigger)</f>
        <v>#VALUE!</v>
      </c>
      <c r="Y73" s="106" t="e">
        <f>_xll.qlRateHelperRate(W73,Trigger)</f>
        <v>#VALUE!</v>
      </c>
      <c r="Z73" s="176" t="str">
        <f>IF(ISERROR(_xll.qlSwapRateHelperSpread($W73)),IF(ISERROR(_xll.qlFuturesRateHelperConvexityAdjustment($W73)),"--",_xll.qlFuturesRateHelperConvexityAdjustment($W73)),_xll.qlSwapRateHelperSpread($W73))</f>
        <v>--</v>
      </c>
      <c r="AA73" s="13" t="e">
        <f>_xll.qlRateHelperEarliestDate(W73,Trigger)</f>
        <v>#VALUE!</v>
      </c>
      <c r="AB73" s="13" t="e">
        <f>_xll.qlRateHelperPillarDate(W73,Trigger)</f>
        <v>#VALUE!</v>
      </c>
      <c r="AC73" s="144" t="e">
        <v>#N/A</v>
      </c>
    </row>
    <row r="74" spans="1:29" ht="11.25" customHeight="1" x14ac:dyDescent="0.2">
      <c r="A74" s="89" t="s">
        <v>38</v>
      </c>
      <c r="B74" s="90" t="s">
        <v>166</v>
      </c>
      <c r="C74" s="91" t="s">
        <v>14</v>
      </c>
      <c r="D74" s="91" t="s">
        <v>16</v>
      </c>
      <c r="E74" s="91" t="s">
        <v>15</v>
      </c>
      <c r="F74" s="91" t="s">
        <v>41</v>
      </c>
      <c r="G74" s="91" t="str">
        <f>PROPER(Currency)&amp;FamilyName&amp;$G$1</f>
        <v>UsdLibor3M</v>
      </c>
      <c r="H74" s="89" t="str">
        <f>Currency&amp;$G$48&amp;$H$48&amp;$B74&amp;"_Quote"</f>
        <v>USDAM3L22Y_Quote</v>
      </c>
      <c r="I74" s="201">
        <v>0</v>
      </c>
      <c r="J74" s="96"/>
      <c r="L74" s="107" t="str">
        <f t="shared" si="7"/>
        <v>Sw</v>
      </c>
      <c r="M74" s="215" t="str">
        <f t="shared" si="8"/>
        <v>--</v>
      </c>
      <c r="N74" s="223" t="str">
        <f>IFERROR(_xll.qlRateHelperQuoteName(M74,Trigger),"--")</f>
        <v>--</v>
      </c>
      <c r="O74" s="216" t="str">
        <f>IFERROR(_xll.qlRateHelperQuoteValue($M74,Trigger),"--")</f>
        <v>--</v>
      </c>
      <c r="P74" s="215" t="b">
        <v>0</v>
      </c>
      <c r="Q74" s="215">
        <v>50</v>
      </c>
      <c r="R74" s="215">
        <v>1</v>
      </c>
      <c r="S74" s="217" t="str">
        <f>IFERROR(_xll.qlRateHelperEarliestDate(M74,Trigger),"--")</f>
        <v>--</v>
      </c>
      <c r="T74" s="217" t="str">
        <f>IFERROR(_xll.qlRateHelperPillarDate(M74,Trigger),"--")</f>
        <v>--</v>
      </c>
      <c r="V74" s="12" t="e">
        <f t="shared" si="9"/>
        <v>#N/A</v>
      </c>
      <c r="W74" s="12" t="e">
        <v>#N/A</v>
      </c>
      <c r="X74" s="12" t="e">
        <f>_xll.qlRateHelperQuoteName(W74,Trigger)</f>
        <v>#VALUE!</v>
      </c>
      <c r="Y74" s="106" t="e">
        <f>_xll.qlRateHelperRate(W74,Trigger)</f>
        <v>#VALUE!</v>
      </c>
      <c r="Z74" s="176" t="str">
        <f>IF(ISERROR(_xll.qlSwapRateHelperSpread($W74)),IF(ISERROR(_xll.qlFuturesRateHelperConvexityAdjustment($W74)),"--",_xll.qlFuturesRateHelperConvexityAdjustment($W74)),_xll.qlSwapRateHelperSpread($W74))</f>
        <v>--</v>
      </c>
      <c r="AA74" s="13" t="e">
        <f>_xll.qlRateHelperEarliestDate(W74,Trigger)</f>
        <v>#VALUE!</v>
      </c>
      <c r="AB74" s="13" t="e">
        <f>_xll.qlRateHelperPillarDate(W74,Trigger)</f>
        <v>#VALUE!</v>
      </c>
      <c r="AC74" s="144" t="e">
        <v>#N/A</v>
      </c>
    </row>
    <row r="75" spans="1:29" ht="11.25" customHeight="1" x14ac:dyDescent="0.2">
      <c r="A75" s="89" t="s">
        <v>38</v>
      </c>
      <c r="B75" s="90" t="s">
        <v>167</v>
      </c>
      <c r="C75" s="91" t="s">
        <v>14</v>
      </c>
      <c r="D75" s="91" t="s">
        <v>16</v>
      </c>
      <c r="E75" s="91" t="s">
        <v>15</v>
      </c>
      <c r="F75" s="91" t="s">
        <v>41</v>
      </c>
      <c r="G75" s="91" t="str">
        <f>PROPER(Currency)&amp;FamilyName&amp;$G$1</f>
        <v>UsdLibor3M</v>
      </c>
      <c r="H75" s="89" t="str">
        <f>Currency&amp;$G$48&amp;$H$48&amp;$B75&amp;"_Quote"</f>
        <v>USDAM3L23Y_Quote</v>
      </c>
      <c r="I75" s="201">
        <v>0</v>
      </c>
      <c r="J75" s="96"/>
      <c r="L75" s="107" t="str">
        <f t="shared" si="7"/>
        <v>Sw</v>
      </c>
      <c r="M75" s="215" t="str">
        <f t="shared" si="8"/>
        <v>--</v>
      </c>
      <c r="N75" s="223" t="str">
        <f>IFERROR(_xll.qlRateHelperQuoteName(M75,Trigger),"--")</f>
        <v>--</v>
      </c>
      <c r="O75" s="216" t="str">
        <f>IFERROR(_xll.qlRateHelperQuoteValue($M75,Trigger),"--")</f>
        <v>--</v>
      </c>
      <c r="P75" s="215" t="b">
        <v>0</v>
      </c>
      <c r="Q75" s="215">
        <v>50</v>
      </c>
      <c r="R75" s="215">
        <v>1</v>
      </c>
      <c r="S75" s="217" t="str">
        <f>IFERROR(_xll.qlRateHelperEarliestDate(M75,Trigger),"--")</f>
        <v>--</v>
      </c>
      <c r="T75" s="217" t="str">
        <f>IFERROR(_xll.qlRateHelperPillarDate(M75,Trigger),"--")</f>
        <v>--</v>
      </c>
      <c r="V75" s="12" t="e">
        <f t="shared" si="9"/>
        <v>#N/A</v>
      </c>
      <c r="W75" s="12" t="e">
        <v>#N/A</v>
      </c>
      <c r="X75" s="12" t="e">
        <f>_xll.qlRateHelperQuoteName(W75,Trigger)</f>
        <v>#VALUE!</v>
      </c>
      <c r="Y75" s="106" t="e">
        <f>_xll.qlRateHelperRate(W75,Trigger)</f>
        <v>#VALUE!</v>
      </c>
      <c r="Z75" s="176" t="str">
        <f>IF(ISERROR(_xll.qlSwapRateHelperSpread($W75)),IF(ISERROR(_xll.qlFuturesRateHelperConvexityAdjustment($W75)),"--",_xll.qlFuturesRateHelperConvexityAdjustment($W75)),_xll.qlSwapRateHelperSpread($W75))</f>
        <v>--</v>
      </c>
      <c r="AA75" s="13" t="e">
        <f>_xll.qlRateHelperEarliestDate(W75,Trigger)</f>
        <v>#VALUE!</v>
      </c>
      <c r="AB75" s="13" t="e">
        <f>_xll.qlRateHelperPillarDate(W75,Trigger)</f>
        <v>#VALUE!</v>
      </c>
      <c r="AC75" s="144" t="e">
        <v>#N/A</v>
      </c>
    </row>
    <row r="76" spans="1:29" ht="11.25" customHeight="1" x14ac:dyDescent="0.2">
      <c r="A76" s="89" t="s">
        <v>38</v>
      </c>
      <c r="B76" s="90" t="s">
        <v>168</v>
      </c>
      <c r="C76" s="91" t="s">
        <v>14</v>
      </c>
      <c r="D76" s="91" t="s">
        <v>16</v>
      </c>
      <c r="E76" s="91" t="s">
        <v>15</v>
      </c>
      <c r="F76" s="91" t="s">
        <v>41</v>
      </c>
      <c r="G76" s="91" t="str">
        <f>PROPER(Currency)&amp;FamilyName&amp;$G$1</f>
        <v>UsdLibor3M</v>
      </c>
      <c r="H76" s="89" t="str">
        <f>Currency&amp;$G$48&amp;$H$48&amp;$B76&amp;"_Quote"</f>
        <v>USDAM3L24Y_Quote</v>
      </c>
      <c r="I76" s="201">
        <v>0</v>
      </c>
      <c r="J76" s="96"/>
      <c r="L76" s="107" t="str">
        <f t="shared" si="7"/>
        <v>Sw</v>
      </c>
      <c r="M76" s="215" t="str">
        <f t="shared" si="8"/>
        <v>obj_00479#0008</v>
      </c>
      <c r="N76" s="223" t="str">
        <f>IFERROR(_xll.qlRateHelperQuoteName(M76,Trigger),"--")</f>
        <v>USDAM3L30Y_Quote</v>
      </c>
      <c r="O76" s="216">
        <f>IFERROR(_xll.qlRateHelperQuoteValue($M76,Trigger),"--")</f>
        <v>2.9360000000000001E-2</v>
      </c>
      <c r="P76" s="215" t="b">
        <v>1</v>
      </c>
      <c r="Q76" s="215">
        <v>50</v>
      </c>
      <c r="R76" s="215">
        <v>1</v>
      </c>
      <c r="S76" s="217">
        <f>IFERROR(_xll.qlRateHelperEarliestDate(M76,Trigger),"--")</f>
        <v>42184</v>
      </c>
      <c r="T76" s="217">
        <f>IFERROR(_xll.qlRateHelperPillarDate(M76,Trigger),"--")</f>
        <v>53142</v>
      </c>
      <c r="V76" s="12" t="e">
        <f t="shared" si="9"/>
        <v>#N/A</v>
      </c>
      <c r="W76" s="12" t="e">
        <v>#N/A</v>
      </c>
      <c r="X76" s="12" t="e">
        <f>_xll.qlRateHelperQuoteName(W76,Trigger)</f>
        <v>#VALUE!</v>
      </c>
      <c r="Y76" s="106" t="e">
        <f>_xll.qlRateHelperRate(W76,Trigger)</f>
        <v>#VALUE!</v>
      </c>
      <c r="Z76" s="176" t="str">
        <f>IF(ISERROR(_xll.qlSwapRateHelperSpread($W76)),IF(ISERROR(_xll.qlFuturesRateHelperConvexityAdjustment($W76)),"--",_xll.qlFuturesRateHelperConvexityAdjustment($W76)),_xll.qlSwapRateHelperSpread($W76))</f>
        <v>--</v>
      </c>
      <c r="AA76" s="13" t="e">
        <f>_xll.qlRateHelperEarliestDate(W76,Trigger)</f>
        <v>#VALUE!</v>
      </c>
      <c r="AB76" s="13" t="e">
        <f>_xll.qlRateHelperPillarDate(W76,Trigger)</f>
        <v>#VALUE!</v>
      </c>
      <c r="AC76" s="144" t="e">
        <v>#N/A</v>
      </c>
    </row>
    <row r="77" spans="1:29" ht="11.25" customHeight="1" x14ac:dyDescent="0.2">
      <c r="A77" s="89" t="s">
        <v>38</v>
      </c>
      <c r="B77" s="90" t="s">
        <v>118</v>
      </c>
      <c r="C77" s="91" t="s">
        <v>14</v>
      </c>
      <c r="D77" s="91" t="s">
        <v>16</v>
      </c>
      <c r="E77" s="91" t="s">
        <v>15</v>
      </c>
      <c r="F77" s="91" t="s">
        <v>41</v>
      </c>
      <c r="G77" s="91" t="str">
        <f>PROPER(Currency)&amp;FamilyName&amp;$G$1</f>
        <v>UsdLibor3M</v>
      </c>
      <c r="H77" s="89" t="str">
        <f>Currency&amp;$G$48&amp;$H$48&amp;$B77&amp;"_Quote"</f>
        <v>USDAM3L25Y_Quote</v>
      </c>
      <c r="I77" s="201">
        <v>0</v>
      </c>
      <c r="J77" s="96" t="str">
        <f>_xll.qlSwapRateHelper2(,H77,,B77,JoinCalendar,USD3M!D77,USD3M!E77,USD3M!F77,USD3M!G77,USD3M!I77,USD3M!C77,Discounting,PillarDate,,Permanent,Trigger,ObjectOverwrite)</f>
        <v>obj_0047e#0007</v>
      </c>
      <c r="L77" s="107" t="str">
        <f t="shared" si="7"/>
        <v>Sw</v>
      </c>
      <c r="M77" s="215" t="str">
        <f t="shared" si="8"/>
        <v>--</v>
      </c>
      <c r="N77" s="223" t="str">
        <f>IFERROR(_xll.qlRateHelperQuoteName(M77,Trigger),"--")</f>
        <v>--</v>
      </c>
      <c r="O77" s="216" t="str">
        <f>IFERROR(_xll.qlRateHelperQuoteValue($M77,Trigger),"--")</f>
        <v>--</v>
      </c>
      <c r="P77" s="215" t="b">
        <v>0</v>
      </c>
      <c r="Q77" s="215">
        <v>50</v>
      </c>
      <c r="R77" s="215">
        <v>1</v>
      </c>
      <c r="S77" s="217" t="str">
        <f>IFERROR(_xll.qlRateHelperEarliestDate(M77,Trigger),"--")</f>
        <v>--</v>
      </c>
      <c r="T77" s="217" t="str">
        <f>IFERROR(_xll.qlRateHelperPillarDate(M77,Trigger),"--")</f>
        <v>--</v>
      </c>
      <c r="V77" s="12" t="e">
        <f t="shared" si="9"/>
        <v>#N/A</v>
      </c>
      <c r="W77" s="12" t="e">
        <v>#N/A</v>
      </c>
      <c r="X77" s="12" t="e">
        <f>_xll.qlRateHelperQuoteName(W77,Trigger)</f>
        <v>#VALUE!</v>
      </c>
      <c r="Y77" s="106" t="e">
        <f>_xll.qlRateHelperRate(W77,Trigger)</f>
        <v>#VALUE!</v>
      </c>
      <c r="Z77" s="176" t="str">
        <f>IF(ISERROR(_xll.qlSwapRateHelperSpread($W77)),IF(ISERROR(_xll.qlFuturesRateHelperConvexityAdjustment($W77)),"--",_xll.qlFuturesRateHelperConvexityAdjustment($W77)),_xll.qlSwapRateHelperSpread($W77))</f>
        <v>--</v>
      </c>
      <c r="AA77" s="13" t="e">
        <f>_xll.qlRateHelperEarliestDate(W77,Trigger)</f>
        <v>#VALUE!</v>
      </c>
      <c r="AB77" s="13" t="e">
        <f>_xll.qlRateHelperPillarDate(W77,Trigger)</f>
        <v>#VALUE!</v>
      </c>
      <c r="AC77" s="144" t="e">
        <v>#N/A</v>
      </c>
    </row>
    <row r="78" spans="1:29" ht="11.25" customHeight="1" x14ac:dyDescent="0.2">
      <c r="A78" s="89" t="s">
        <v>38</v>
      </c>
      <c r="B78" s="90" t="s">
        <v>169</v>
      </c>
      <c r="C78" s="91" t="s">
        <v>14</v>
      </c>
      <c r="D78" s="91" t="s">
        <v>16</v>
      </c>
      <c r="E78" s="91" t="s">
        <v>15</v>
      </c>
      <c r="F78" s="91" t="s">
        <v>41</v>
      </c>
      <c r="G78" s="91" t="str">
        <f>PROPER(Currency)&amp;FamilyName&amp;$G$1</f>
        <v>UsdLibor3M</v>
      </c>
      <c r="H78" s="89" t="str">
        <f>Currency&amp;$G$48&amp;$H$48&amp;$B78&amp;"_Quote"</f>
        <v>USDAM3L26Y_Quote</v>
      </c>
      <c r="I78" s="201">
        <v>0</v>
      </c>
      <c r="J78" s="96"/>
      <c r="L78" s="107" t="str">
        <f t="shared" si="7"/>
        <v>Sw</v>
      </c>
      <c r="M78" s="215" t="str">
        <f t="shared" si="8"/>
        <v>obj_003e9#0008</v>
      </c>
      <c r="N78" s="223" t="str">
        <f>IFERROR(_xll.qlRateHelperQuoteName(M78,Trigger),"--")</f>
        <v>USDAM3L40Y_Quote</v>
      </c>
      <c r="O78" s="216">
        <f>IFERROR(_xll.qlRateHelperQuoteValue($M78,Trigger),"--")</f>
        <v>2.954E-2</v>
      </c>
      <c r="P78" s="215" t="b">
        <f>NOT(ISERROR(O78))</f>
        <v>1</v>
      </c>
      <c r="Q78" s="215">
        <v>50</v>
      </c>
      <c r="R78" s="215">
        <v>1</v>
      </c>
      <c r="S78" s="217">
        <f>IFERROR(_xll.qlRateHelperEarliestDate(M78,Trigger),"--")</f>
        <v>42184</v>
      </c>
      <c r="T78" s="217">
        <f>IFERROR(_xll.qlRateHelperPillarDate(M78,Trigger),"--")</f>
        <v>56794</v>
      </c>
      <c r="V78" s="12" t="e">
        <f t="shared" si="9"/>
        <v>#N/A</v>
      </c>
      <c r="W78" s="12" t="e">
        <v>#N/A</v>
      </c>
      <c r="X78" s="12" t="e">
        <f>_xll.qlRateHelperQuoteName(W78,Trigger)</f>
        <v>#VALUE!</v>
      </c>
      <c r="Y78" s="106" t="e">
        <f>_xll.qlRateHelperRate(W78,Trigger)</f>
        <v>#VALUE!</v>
      </c>
      <c r="Z78" s="176" t="str">
        <f>IF(ISERROR(_xll.qlSwapRateHelperSpread($W78)),IF(ISERROR(_xll.qlFuturesRateHelperConvexityAdjustment($W78)),"--",_xll.qlFuturesRateHelperConvexityAdjustment($W78)),_xll.qlSwapRateHelperSpread($W78))</f>
        <v>--</v>
      </c>
      <c r="AA78" s="13" t="e">
        <f>_xll.qlRateHelperEarliestDate(W78,Trigger)</f>
        <v>#VALUE!</v>
      </c>
      <c r="AB78" s="13" t="e">
        <f>_xll.qlRateHelperPillarDate(W78,Trigger)</f>
        <v>#VALUE!</v>
      </c>
      <c r="AC78" s="144" t="e">
        <v>#N/A</v>
      </c>
    </row>
    <row r="79" spans="1:29" ht="11.25" customHeight="1" x14ac:dyDescent="0.2">
      <c r="A79" s="89" t="s">
        <v>38</v>
      </c>
      <c r="B79" s="90" t="s">
        <v>119</v>
      </c>
      <c r="C79" s="91" t="s">
        <v>14</v>
      </c>
      <c r="D79" s="91" t="s">
        <v>16</v>
      </c>
      <c r="E79" s="91" t="s">
        <v>15</v>
      </c>
      <c r="F79" s="91" t="s">
        <v>41</v>
      </c>
      <c r="G79" s="91" t="str">
        <f>PROPER(Currency)&amp;FamilyName&amp;$G$1</f>
        <v>UsdLibor3M</v>
      </c>
      <c r="H79" s="89" t="str">
        <f>Currency&amp;$G$48&amp;$H$48&amp;$B79&amp;"_Quote"</f>
        <v>USDAM3L27Y_Quote</v>
      </c>
      <c r="I79" s="201">
        <v>0</v>
      </c>
      <c r="J79" s="96"/>
      <c r="L79" s="107" t="str">
        <f t="shared" si="7"/>
        <v>Sw</v>
      </c>
      <c r="M79" s="215" t="str">
        <f t="shared" si="8"/>
        <v>--</v>
      </c>
      <c r="N79" s="223" t="str">
        <f>IFERROR(_xll.qlRateHelperQuoteName(M79,Trigger),"--")</f>
        <v>--</v>
      </c>
      <c r="O79" s="216" t="str">
        <f>IFERROR(_xll.qlRateHelperQuoteValue($M79,Trigger),"--")</f>
        <v>--</v>
      </c>
      <c r="P79" s="215" t="b">
        <v>0</v>
      </c>
      <c r="Q79" s="215">
        <v>50</v>
      </c>
      <c r="R79" s="215">
        <v>1</v>
      </c>
      <c r="S79" s="217" t="str">
        <f>IFERROR(_xll.qlRateHelperEarliestDate(M79,Trigger),"--")</f>
        <v>--</v>
      </c>
      <c r="T79" s="217" t="str">
        <f>IFERROR(_xll.qlRateHelperPillarDate(M79,Trigger),"--")</f>
        <v>--</v>
      </c>
      <c r="V79" s="12" t="e">
        <f t="shared" si="9"/>
        <v>#N/A</v>
      </c>
      <c r="W79" s="12" t="e">
        <v>#N/A</v>
      </c>
      <c r="X79" s="12" t="e">
        <f>_xll.qlRateHelperQuoteName(W79,Trigger)</f>
        <v>#VALUE!</v>
      </c>
      <c r="Y79" s="106" t="e">
        <f>_xll.qlRateHelperRate(W79,Trigger)</f>
        <v>#VALUE!</v>
      </c>
      <c r="Z79" s="176" t="str">
        <f>IF(ISERROR(_xll.qlSwapRateHelperSpread($W79)),IF(ISERROR(_xll.qlFuturesRateHelperConvexityAdjustment($W79)),"--",_xll.qlFuturesRateHelperConvexityAdjustment($W79)),_xll.qlSwapRateHelperSpread($W79))</f>
        <v>--</v>
      </c>
      <c r="AA79" s="13" t="e">
        <f>_xll.qlRateHelperEarliestDate(W79,Trigger)</f>
        <v>#VALUE!</v>
      </c>
      <c r="AB79" s="13" t="e">
        <f>_xll.qlRateHelperPillarDate(W79,Trigger)</f>
        <v>#VALUE!</v>
      </c>
      <c r="AC79" s="144" t="e">
        <v>#N/A</v>
      </c>
    </row>
    <row r="80" spans="1:29" ht="11.25" customHeight="1" x14ac:dyDescent="0.2">
      <c r="A80" s="89" t="s">
        <v>38</v>
      </c>
      <c r="B80" s="90" t="s">
        <v>170</v>
      </c>
      <c r="C80" s="91" t="s">
        <v>14</v>
      </c>
      <c r="D80" s="91" t="s">
        <v>16</v>
      </c>
      <c r="E80" s="91" t="s">
        <v>15</v>
      </c>
      <c r="F80" s="91" t="s">
        <v>41</v>
      </c>
      <c r="G80" s="91" t="str">
        <f>PROPER(Currency)&amp;FamilyName&amp;$G$1</f>
        <v>UsdLibor3M</v>
      </c>
      <c r="H80" s="89" t="str">
        <f>Currency&amp;$G$48&amp;$H$48&amp;$B80&amp;"_Quote"</f>
        <v>USDAM3L28Y_Quote</v>
      </c>
      <c r="I80" s="201">
        <v>0</v>
      </c>
      <c r="J80" s="96"/>
      <c r="L80" s="107" t="str">
        <f t="shared" si="7"/>
        <v>Sw</v>
      </c>
      <c r="M80" s="215" t="str">
        <f t="shared" si="8"/>
        <v>obj_00480#0007</v>
      </c>
      <c r="N80" s="223" t="str">
        <f>IFERROR(_xll.qlRateHelperQuoteName(M80,Trigger),"--")</f>
        <v>USDAM3L50Y_Quote</v>
      </c>
      <c r="O80" s="216">
        <f>IFERROR(_xll.qlRateHelperQuoteValue($M80,Trigger),"--")</f>
        <v>2.9380000000000003E-2</v>
      </c>
      <c r="P80" s="215" t="b">
        <f>NOT(ISERROR(O80))</f>
        <v>1</v>
      </c>
      <c r="Q80" s="215">
        <v>50</v>
      </c>
      <c r="R80" s="215">
        <v>1</v>
      </c>
      <c r="S80" s="217">
        <f>IFERROR(_xll.qlRateHelperEarliestDate(M80,Trigger),"--")</f>
        <v>42184</v>
      </c>
      <c r="T80" s="217">
        <f>IFERROR(_xll.qlRateHelperPillarDate(M80,Trigger),"--")</f>
        <v>60447</v>
      </c>
      <c r="V80" s="12" t="e">
        <f t="shared" si="9"/>
        <v>#N/A</v>
      </c>
      <c r="W80" s="12" t="e">
        <v>#N/A</v>
      </c>
      <c r="X80" s="12" t="e">
        <f>_xll.qlRateHelperQuoteName(W80,Trigger)</f>
        <v>#VALUE!</v>
      </c>
      <c r="Y80" s="106" t="e">
        <f>_xll.qlRateHelperRate(W80,Trigger)</f>
        <v>#VALUE!</v>
      </c>
      <c r="Z80" s="176" t="str">
        <f>IF(ISERROR(_xll.qlSwapRateHelperSpread($W80)),IF(ISERROR(_xll.qlFuturesRateHelperConvexityAdjustment($W80)),"--",_xll.qlFuturesRateHelperConvexityAdjustment($W80)),_xll.qlSwapRateHelperSpread($W80))</f>
        <v>--</v>
      </c>
      <c r="AA80" s="13" t="e">
        <f>_xll.qlRateHelperEarliestDate(W80,Trigger)</f>
        <v>#VALUE!</v>
      </c>
      <c r="AB80" s="13" t="e">
        <f>_xll.qlRateHelperPillarDate(W80,Trigger)</f>
        <v>#VALUE!</v>
      </c>
      <c r="AC80" s="144" t="e">
        <v>#N/A</v>
      </c>
    </row>
    <row r="81" spans="1:29" x14ac:dyDescent="0.2">
      <c r="A81" s="89" t="s">
        <v>38</v>
      </c>
      <c r="B81" s="90" t="s">
        <v>171</v>
      </c>
      <c r="C81" s="91" t="s">
        <v>14</v>
      </c>
      <c r="D81" s="91" t="s">
        <v>16</v>
      </c>
      <c r="E81" s="91" t="s">
        <v>15</v>
      </c>
      <c r="F81" s="91" t="s">
        <v>41</v>
      </c>
      <c r="G81" s="91" t="str">
        <f>PROPER(Currency)&amp;FamilyName&amp;$G$1</f>
        <v>UsdLibor3M</v>
      </c>
      <c r="H81" s="89" t="str">
        <f>Currency&amp;$G$48&amp;$H$48&amp;$B81&amp;"_Quote"</f>
        <v>USDAM3L29Y_Quote</v>
      </c>
      <c r="I81" s="201">
        <v>0</v>
      </c>
      <c r="J81" s="96"/>
      <c r="L81" s="108" t="str">
        <f t="shared" si="7"/>
        <v>Sw</v>
      </c>
      <c r="M81" s="218" t="str">
        <f t="shared" si="8"/>
        <v>obj_00484#0007</v>
      </c>
      <c r="N81" s="223" t="str">
        <f>IFERROR(_xll.qlRateHelperQuoteName(M81,Trigger),"--")</f>
        <v>USDAM3L60Y_Quote</v>
      </c>
      <c r="O81" s="231" t="str">
        <f>IFERROR(_xll.qlRateHelperQuoteValue($M81,Trigger),"--")</f>
        <v>--</v>
      </c>
      <c r="P81" s="218" t="b">
        <v>0</v>
      </c>
      <c r="Q81" s="218">
        <v>50</v>
      </c>
      <c r="R81" s="218">
        <v>1</v>
      </c>
      <c r="S81" s="217">
        <f>IFERROR(_xll.qlRateHelperEarliestDate(M81,Trigger),"--")</f>
        <v>42184</v>
      </c>
      <c r="T81" s="217">
        <f>IFERROR(_xll.qlRateHelperPillarDate(M81,Trigger),"--")</f>
        <v>64098</v>
      </c>
      <c r="V81" s="12" t="e">
        <f t="shared" si="9"/>
        <v>#N/A</v>
      </c>
      <c r="W81" s="12" t="e">
        <v>#N/A</v>
      </c>
      <c r="X81" s="12" t="e">
        <f>_xll.qlRateHelperQuoteName(W81,Trigger)</f>
        <v>#VALUE!</v>
      </c>
      <c r="Y81" s="106" t="e">
        <f>_xll.qlRateHelperRate(W81,Trigger)</f>
        <v>#VALUE!</v>
      </c>
      <c r="Z81" s="176" t="str">
        <f>IF(ISERROR(_xll.qlSwapRateHelperSpread($W81)),IF(ISERROR(_xll.qlFuturesRateHelperConvexityAdjustment($W81)),"--",_xll.qlFuturesRateHelperConvexityAdjustment($W81)),_xll.qlSwapRateHelperSpread($W81))</f>
        <v>--</v>
      </c>
      <c r="AA81" s="13" t="e">
        <f>_xll.qlRateHelperEarliestDate(W81,Trigger)</f>
        <v>#VALUE!</v>
      </c>
      <c r="AB81" s="13" t="e">
        <f>_xll.qlRateHelperPillarDate(W81,Trigger)</f>
        <v>#VALUE!</v>
      </c>
      <c r="AC81" s="144" t="e">
        <v>#N/A</v>
      </c>
    </row>
    <row r="82" spans="1:29" x14ac:dyDescent="0.2">
      <c r="A82" s="89" t="s">
        <v>38</v>
      </c>
      <c r="B82" s="90" t="s">
        <v>120</v>
      </c>
      <c r="C82" s="91" t="s">
        <v>14</v>
      </c>
      <c r="D82" s="91" t="s">
        <v>16</v>
      </c>
      <c r="E82" s="91" t="s">
        <v>15</v>
      </c>
      <c r="F82" s="91" t="s">
        <v>41</v>
      </c>
      <c r="G82" s="91" t="str">
        <f>PROPER(Currency)&amp;FamilyName&amp;$G$1</f>
        <v>UsdLibor3M</v>
      </c>
      <c r="H82" s="89" t="str">
        <f>Currency&amp;$G$48&amp;$H$48&amp;$B82&amp;"_Quote"</f>
        <v>USDAM3L30Y_Quote</v>
      </c>
      <c r="I82" s="201">
        <v>0</v>
      </c>
      <c r="J82" s="96" t="str">
        <f>_xll.qlSwapRateHelper2(,H82,,B82,JoinCalendar,USD3M!D82,USD3M!E82,USD3M!F82,USD3M!G82,USD3M!I82,USD3M!C82,Discounting,PillarDate,,Permanent,Trigger,ObjectOverwrite)</f>
        <v>obj_00479#0008</v>
      </c>
      <c r="L82" s="209" t="str">
        <f>A90</f>
        <v>Sw</v>
      </c>
      <c r="M82" s="211" t="str">
        <f>IF(ISBLANK(J90),"--",J90)</f>
        <v>qlSwapRateHelper2(,I90,,C90&amp;"M",JoinCalendar,USD3M!E90,USD3M!F90,USD3M!G90,USD3M!H90,USD3M!J90,USD3M!D90,Discounting,PillarDate,,Permanent,Trigger,ObjectOverwrite)</v>
      </c>
      <c r="N82" s="222" t="str">
        <f>IFERROR(_xll.qlRateHelperQuoteName(M82,Trigger),"--")</f>
        <v>--</v>
      </c>
      <c r="O82" s="212" t="str">
        <f>IFERROR(_xll.qlRateHelperQuoteValue($M82,Trigger),"--")</f>
        <v>--</v>
      </c>
      <c r="P82" s="211" t="b">
        <v>0</v>
      </c>
      <c r="Q82" s="211">
        <v>40</v>
      </c>
      <c r="R82" s="211">
        <v>1</v>
      </c>
      <c r="S82" s="213" t="str">
        <f>IFERROR(_xll.qlRateHelperEarliestDate(M82,Trigger),"--")</f>
        <v>--</v>
      </c>
      <c r="T82" s="213" t="str">
        <f>IFERROR(_xll.qlRateHelperPillarDate(M82,Trigger),"--")</f>
        <v>--</v>
      </c>
      <c r="V82" s="12" t="e">
        <f t="shared" si="9"/>
        <v>#N/A</v>
      </c>
      <c r="W82" s="12" t="e">
        <v>#N/A</v>
      </c>
      <c r="X82" s="12" t="e">
        <f>_xll.qlRateHelperQuoteName(W82,Trigger)</f>
        <v>#VALUE!</v>
      </c>
      <c r="Y82" s="106" t="e">
        <f>_xll.qlRateHelperRate(W82,Trigger)</f>
        <v>#VALUE!</v>
      </c>
      <c r="Z82" s="176" t="str">
        <f>IF(ISERROR(_xll.qlSwapRateHelperSpread($W82)),IF(ISERROR(_xll.qlFuturesRateHelperConvexityAdjustment($W82)),"--",_xll.qlFuturesRateHelperConvexityAdjustment($W82)),_xll.qlSwapRateHelperSpread($W82))</f>
        <v>--</v>
      </c>
      <c r="AA82" s="13" t="e">
        <f>_xll.qlRateHelperEarliestDate(W82,Trigger)</f>
        <v>#VALUE!</v>
      </c>
      <c r="AB82" s="13" t="e">
        <f>_xll.qlRateHelperPillarDate(W82,Trigger)</f>
        <v>#VALUE!</v>
      </c>
      <c r="AC82" s="144" t="e">
        <v>#N/A</v>
      </c>
    </row>
    <row r="83" spans="1:29" x14ac:dyDescent="0.2">
      <c r="A83" s="89" t="s">
        <v>38</v>
      </c>
      <c r="B83" s="90" t="s">
        <v>121</v>
      </c>
      <c r="C83" s="91" t="s">
        <v>14</v>
      </c>
      <c r="D83" s="91" t="s">
        <v>16</v>
      </c>
      <c r="E83" s="91" t="s">
        <v>15</v>
      </c>
      <c r="F83" s="91" t="s">
        <v>41</v>
      </c>
      <c r="G83" s="91" t="str">
        <f>PROPER(Currency)&amp;FamilyName&amp;$G$1</f>
        <v>UsdLibor3M</v>
      </c>
      <c r="H83" s="89" t="str">
        <f>Currency&amp;$G$48&amp;$H$48&amp;$B83&amp;"_Quote"</f>
        <v>USDAM3L35Y_Quote</v>
      </c>
      <c r="I83" s="201">
        <v>0</v>
      </c>
      <c r="J83" s="96"/>
      <c r="L83" s="107" t="str">
        <f t="shared" ref="L83:L90" si="10">A91</f>
        <v>Sw</v>
      </c>
      <c r="M83" s="215" t="str">
        <f t="shared" ref="M83:M88" si="11">IF(ISBLANK(J91),"--",J91)</f>
        <v>--</v>
      </c>
      <c r="N83" s="223" t="str">
        <f>IFERROR(_xll.qlRateHelperQuoteName(M83,Trigger),"--")</f>
        <v>--</v>
      </c>
      <c r="O83" s="216" t="str">
        <f>IFERROR(_xll.qlRateHelperQuoteValue($M83,Trigger),"--")</f>
        <v>--</v>
      </c>
      <c r="P83" s="215" t="b">
        <v>0</v>
      </c>
      <c r="Q83" s="215">
        <v>40</v>
      </c>
      <c r="R83" s="215">
        <v>1</v>
      </c>
      <c r="S83" s="217" t="str">
        <f>IFERROR(_xll.qlRateHelperEarliestDate(M83,Trigger),"--")</f>
        <v>--</v>
      </c>
      <c r="T83" s="217" t="str">
        <f>IFERROR(_xll.qlRateHelperPillarDate(M83,Trigger),"--")</f>
        <v>--</v>
      </c>
      <c r="V83" s="12" t="e">
        <f t="shared" si="9"/>
        <v>#N/A</v>
      </c>
      <c r="W83" s="12" t="e">
        <v>#N/A</v>
      </c>
      <c r="X83" s="12" t="e">
        <f>_xll.qlRateHelperQuoteName(W83,Trigger)</f>
        <v>#VALUE!</v>
      </c>
      <c r="Y83" s="106" t="e">
        <f>_xll.qlRateHelperRate(W83,Trigger)</f>
        <v>#VALUE!</v>
      </c>
      <c r="Z83" s="176" t="str">
        <f>IF(ISERROR(_xll.qlSwapRateHelperSpread($W83)),IF(ISERROR(_xll.qlFuturesRateHelperConvexityAdjustment($W83)),"--",_xll.qlFuturesRateHelperConvexityAdjustment($W83)),_xll.qlSwapRateHelperSpread($W83))</f>
        <v>--</v>
      </c>
      <c r="AA83" s="13" t="e">
        <f>_xll.qlRateHelperEarliestDate(W83,Trigger)</f>
        <v>#VALUE!</v>
      </c>
      <c r="AB83" s="13" t="e">
        <f>_xll.qlRateHelperPillarDate(W83,Trigger)</f>
        <v>#VALUE!</v>
      </c>
      <c r="AC83" s="144" t="e">
        <v>#N/A</v>
      </c>
    </row>
    <row r="84" spans="1:29" x14ac:dyDescent="0.2">
      <c r="A84" s="89" t="s">
        <v>38</v>
      </c>
      <c r="B84" s="90" t="s">
        <v>122</v>
      </c>
      <c r="C84" s="91" t="s">
        <v>14</v>
      </c>
      <c r="D84" s="91" t="s">
        <v>16</v>
      </c>
      <c r="E84" s="91" t="s">
        <v>15</v>
      </c>
      <c r="F84" s="91" t="s">
        <v>41</v>
      </c>
      <c r="G84" s="91" t="str">
        <f>PROPER(Currency)&amp;FamilyName&amp;$G$1</f>
        <v>UsdLibor3M</v>
      </c>
      <c r="H84" s="89" t="str">
        <f>Currency&amp;$G$48&amp;$H$48&amp;$B84&amp;"_Quote"</f>
        <v>USDAM3L40Y_Quote</v>
      </c>
      <c r="I84" s="199">
        <v>0</v>
      </c>
      <c r="J84" s="96" t="str">
        <f>_xll.qlSwapRateHelper2(,H84,,B84,JoinCalendar,USD3M!D84,USD3M!E84,USD3M!F84,USD3M!G84,USD3M!I84,USD3M!C84,Discounting,PillarDate,,Permanent,Trigger,ObjectOverwrite)</f>
        <v>obj_003e9#0008</v>
      </c>
      <c r="L84" s="107" t="str">
        <f t="shared" si="10"/>
        <v>Sw</v>
      </c>
      <c r="M84" s="215" t="str">
        <f t="shared" si="11"/>
        <v>--</v>
      </c>
      <c r="N84" s="223" t="str">
        <f>IFERROR(_xll.qlRateHelperQuoteName(M84,Trigger),"--")</f>
        <v>--</v>
      </c>
      <c r="O84" s="216" t="str">
        <f>IFERROR(_xll.qlRateHelperQuoteValue($M84,Trigger),"--")</f>
        <v>--</v>
      </c>
      <c r="P84" s="215" t="b">
        <v>0</v>
      </c>
      <c r="Q84" s="215">
        <v>40</v>
      </c>
      <c r="R84" s="215">
        <v>1</v>
      </c>
      <c r="S84" s="217" t="str">
        <f>IFERROR(_xll.qlRateHelperEarliestDate(M84,Trigger),"--")</f>
        <v>--</v>
      </c>
      <c r="T84" s="217" t="str">
        <f>IFERROR(_xll.qlRateHelperPillarDate(M84,Trigger),"--")</f>
        <v>--</v>
      </c>
      <c r="V84" s="12" t="e">
        <f t="shared" si="9"/>
        <v>#N/A</v>
      </c>
      <c r="W84" s="12" t="e">
        <v>#N/A</v>
      </c>
      <c r="X84" s="12" t="e">
        <f>_xll.qlRateHelperQuoteName(W84,Trigger)</f>
        <v>#VALUE!</v>
      </c>
      <c r="Y84" s="106" t="e">
        <f>_xll.qlRateHelperRate(W84,Trigger)</f>
        <v>#VALUE!</v>
      </c>
      <c r="Z84" s="176" t="str">
        <f>IF(ISERROR(_xll.qlSwapRateHelperSpread($W84)),IF(ISERROR(_xll.qlFuturesRateHelperConvexityAdjustment($W84)),"--",_xll.qlFuturesRateHelperConvexityAdjustment($W84)),_xll.qlSwapRateHelperSpread($W84))</f>
        <v>--</v>
      </c>
      <c r="AA84" s="13" t="e">
        <f>_xll.qlRateHelperEarliestDate(W84,Trigger)</f>
        <v>#VALUE!</v>
      </c>
      <c r="AB84" s="13" t="e">
        <f>_xll.qlRateHelperPillarDate(W84,Trigger)</f>
        <v>#VALUE!</v>
      </c>
      <c r="AC84" s="144" t="e">
        <v>#N/A</v>
      </c>
    </row>
    <row r="85" spans="1:29" x14ac:dyDescent="0.2">
      <c r="A85" s="89" t="s">
        <v>38</v>
      </c>
      <c r="B85" s="90" t="s">
        <v>123</v>
      </c>
      <c r="C85" s="91" t="s">
        <v>14</v>
      </c>
      <c r="D85" s="91" t="s">
        <v>16</v>
      </c>
      <c r="E85" s="91" t="s">
        <v>15</v>
      </c>
      <c r="F85" s="91" t="s">
        <v>41</v>
      </c>
      <c r="G85" s="91" t="str">
        <f>PROPER(Currency)&amp;FamilyName&amp;$G$1</f>
        <v>UsdLibor3M</v>
      </c>
      <c r="H85" s="89" t="str">
        <f>Currency&amp;$G$48&amp;$H$48&amp;$B85&amp;"_Quote"</f>
        <v>USDAM3L45Y_Quote</v>
      </c>
      <c r="I85" s="199">
        <v>0</v>
      </c>
      <c r="J85" s="96"/>
      <c r="L85" s="107" t="str">
        <f t="shared" si="10"/>
        <v>Sw</v>
      </c>
      <c r="M85" s="215" t="str">
        <f t="shared" si="11"/>
        <v>--</v>
      </c>
      <c r="N85" s="223" t="str">
        <f>IFERROR(_xll.qlRateHelperQuoteName(M85,Trigger),"--")</f>
        <v>--</v>
      </c>
      <c r="O85" s="216" t="str">
        <f>IFERROR(_xll.qlRateHelperQuoteValue($M85,Trigger),"--")</f>
        <v>--</v>
      </c>
      <c r="P85" s="215" t="b">
        <v>0</v>
      </c>
      <c r="Q85" s="215">
        <v>40</v>
      </c>
      <c r="R85" s="215">
        <v>1</v>
      </c>
      <c r="S85" s="217" t="str">
        <f>IFERROR(_xll.qlRateHelperEarliestDate(M85,Trigger),"--")</f>
        <v>--</v>
      </c>
      <c r="T85" s="217" t="str">
        <f>IFERROR(_xll.qlRateHelperPillarDate(M85,Trigger),"--")</f>
        <v>--</v>
      </c>
      <c r="V85" s="12" t="e">
        <f t="shared" si="9"/>
        <v>#N/A</v>
      </c>
      <c r="W85" s="12" t="e">
        <v>#N/A</v>
      </c>
      <c r="X85" s="12" t="e">
        <f>_xll.qlRateHelperQuoteName(W85,Trigger)</f>
        <v>#VALUE!</v>
      </c>
      <c r="Y85" s="106" t="e">
        <f>_xll.qlRateHelperRate(W85,Trigger)</f>
        <v>#VALUE!</v>
      </c>
      <c r="Z85" s="176" t="str">
        <f>IF(ISERROR(_xll.qlSwapRateHelperSpread($W85)),IF(ISERROR(_xll.qlFuturesRateHelperConvexityAdjustment($W85)),"--",_xll.qlFuturesRateHelperConvexityAdjustment($W85)),_xll.qlSwapRateHelperSpread($W85))</f>
        <v>--</v>
      </c>
      <c r="AA85" s="13" t="e">
        <f>_xll.qlRateHelperEarliestDate(W85,Trigger)</f>
        <v>#VALUE!</v>
      </c>
      <c r="AB85" s="13" t="e">
        <f>_xll.qlRateHelperPillarDate(W85,Trigger)</f>
        <v>#VALUE!</v>
      </c>
      <c r="AC85" s="144" t="e">
        <v>#N/A</v>
      </c>
    </row>
    <row r="86" spans="1:29" x14ac:dyDescent="0.2">
      <c r="A86" s="89" t="s">
        <v>38</v>
      </c>
      <c r="B86" s="90" t="s">
        <v>124</v>
      </c>
      <c r="C86" s="91" t="s">
        <v>14</v>
      </c>
      <c r="D86" s="91" t="s">
        <v>16</v>
      </c>
      <c r="E86" s="91" t="s">
        <v>15</v>
      </c>
      <c r="F86" s="91" t="s">
        <v>41</v>
      </c>
      <c r="G86" s="91" t="str">
        <f>PROPER(Currency)&amp;FamilyName&amp;$G$1</f>
        <v>UsdLibor3M</v>
      </c>
      <c r="H86" s="89" t="str">
        <f>Currency&amp;$G$48&amp;$H$48&amp;$B86&amp;"_Quote"</f>
        <v>USDAM3L50Y_Quote</v>
      </c>
      <c r="I86" s="199">
        <v>0</v>
      </c>
      <c r="J86" s="96" t="str">
        <f>_xll.qlSwapRateHelper2(,H86,,B86,JoinCalendar,USD3M!D86,USD3M!E86,USD3M!F86,USD3M!G86,USD3M!I86,USD3M!C86,Discounting,PillarDate,,Permanent,Trigger,ObjectOverwrite)</f>
        <v>obj_00480#0007</v>
      </c>
      <c r="L86" s="107" t="str">
        <f t="shared" si="10"/>
        <v>Sw</v>
      </c>
      <c r="M86" s="215" t="str">
        <f t="shared" si="11"/>
        <v>--</v>
      </c>
      <c r="N86" s="223" t="str">
        <f>IFERROR(_xll.qlRateHelperQuoteName(M86,Trigger),"--")</f>
        <v>--</v>
      </c>
      <c r="O86" s="216" t="str">
        <f>IFERROR(_xll.qlRateHelperQuoteValue($M86,Trigger),"--")</f>
        <v>--</v>
      </c>
      <c r="P86" s="215" t="b">
        <v>0</v>
      </c>
      <c r="Q86" s="215">
        <v>40</v>
      </c>
      <c r="R86" s="215">
        <v>1</v>
      </c>
      <c r="S86" s="217" t="str">
        <f>IFERROR(_xll.qlRateHelperEarliestDate(M86,Trigger),"--")</f>
        <v>--</v>
      </c>
      <c r="T86" s="217" t="str">
        <f>IFERROR(_xll.qlRateHelperPillarDate(M86,Trigger),"--")</f>
        <v>--</v>
      </c>
      <c r="V86" s="12" t="e">
        <f t="shared" si="9"/>
        <v>#N/A</v>
      </c>
      <c r="W86" s="12" t="e">
        <v>#N/A</v>
      </c>
      <c r="X86" s="12" t="e">
        <f>_xll.qlRateHelperQuoteName(W86,Trigger)</f>
        <v>#VALUE!</v>
      </c>
      <c r="Y86" s="106" t="e">
        <f>_xll.qlRateHelperRate(W86,Trigger)</f>
        <v>#VALUE!</v>
      </c>
      <c r="Z86" s="176" t="str">
        <f>IF(ISERROR(_xll.qlSwapRateHelperSpread($W86)),IF(ISERROR(_xll.qlFuturesRateHelperConvexityAdjustment($W86)),"--",_xll.qlFuturesRateHelperConvexityAdjustment($W86)),_xll.qlSwapRateHelperSpread($W86))</f>
        <v>--</v>
      </c>
      <c r="AA86" s="13" t="e">
        <f>_xll.qlRateHelperEarliestDate(W86,Trigger)</f>
        <v>#VALUE!</v>
      </c>
      <c r="AB86" s="13" t="e">
        <f>_xll.qlRateHelperPillarDate(W86,Trigger)</f>
        <v>#VALUE!</v>
      </c>
      <c r="AC86" s="144" t="e">
        <v>#N/A</v>
      </c>
    </row>
    <row r="87" spans="1:29" x14ac:dyDescent="0.2">
      <c r="A87" s="3" t="s">
        <v>38</v>
      </c>
      <c r="B87" s="18" t="s">
        <v>172</v>
      </c>
      <c r="C87" s="16" t="s">
        <v>14</v>
      </c>
      <c r="D87" s="16" t="s">
        <v>16</v>
      </c>
      <c r="E87" s="16" t="s">
        <v>15</v>
      </c>
      <c r="F87" s="16" t="s">
        <v>41</v>
      </c>
      <c r="G87" s="16" t="str">
        <f>PROPER(Currency)&amp;FamilyName&amp;$G$1</f>
        <v>UsdLibor3M</v>
      </c>
      <c r="H87" s="3" t="str">
        <f>Currency&amp;$G$48&amp;$H$48&amp;$B87&amp;"_Quote"</f>
        <v>USDAM3L60Y_Quote</v>
      </c>
      <c r="I87" s="202">
        <v>0</v>
      </c>
      <c r="J87" s="6" t="str">
        <f>_xll.qlSwapRateHelper2(,H87,,B87,JoinCalendar,USD3M!D87,USD3M!E87,USD3M!F87,USD3M!G87,USD3M!I87,USD3M!C87,Discounting,PillarDate,,Permanent,Trigger,ObjectOverwrite)</f>
        <v>obj_00484#0007</v>
      </c>
      <c r="L87" s="107" t="str">
        <f t="shared" si="10"/>
        <v>Sw</v>
      </c>
      <c r="M87" s="215" t="str">
        <f t="shared" si="11"/>
        <v>--</v>
      </c>
      <c r="N87" s="223" t="str">
        <f>IFERROR(_xll.qlRateHelperQuoteName(M87,Trigger),"--")</f>
        <v>--</v>
      </c>
      <c r="O87" s="216" t="str">
        <f>IFERROR(_xll.qlRateHelperQuoteValue($M87,Trigger),"--")</f>
        <v>--</v>
      </c>
      <c r="P87" s="215" t="b">
        <v>0</v>
      </c>
      <c r="Q87" s="215">
        <v>40</v>
      </c>
      <c r="R87" s="215">
        <v>1</v>
      </c>
      <c r="S87" s="217" t="str">
        <f>IFERROR(_xll.qlRateHelperEarliestDate(M87,Trigger),"--")</f>
        <v>--</v>
      </c>
      <c r="T87" s="217" t="str">
        <f>IFERROR(_xll.qlRateHelperPillarDate(M87,Trigger),"--")</f>
        <v>--</v>
      </c>
      <c r="V87" s="12" t="e">
        <f t="shared" si="9"/>
        <v>#N/A</v>
      </c>
      <c r="W87" s="12" t="e">
        <v>#N/A</v>
      </c>
      <c r="X87" s="12" t="e">
        <f>_xll.qlRateHelperQuoteName(W87,Trigger)</f>
        <v>#VALUE!</v>
      </c>
      <c r="Y87" s="106" t="e">
        <f>_xll.qlRateHelperRate(W87,Trigger)</f>
        <v>#VALUE!</v>
      </c>
      <c r="Z87" s="176" t="str">
        <f>IF(ISERROR(_xll.qlSwapRateHelperSpread($W87)),IF(ISERROR(_xll.qlFuturesRateHelperConvexityAdjustment($W87)),"--",_xll.qlFuturesRateHelperConvexityAdjustment($W87)),_xll.qlSwapRateHelperSpread($W87))</f>
        <v>--</v>
      </c>
      <c r="AA87" s="13" t="e">
        <f>_xll.qlRateHelperEarliestDate(W87,Trigger)</f>
        <v>#VALUE!</v>
      </c>
      <c r="AB87" s="13" t="e">
        <f>_xll.qlRateHelperPillarDate(W87,Trigger)</f>
        <v>#VALUE!</v>
      </c>
      <c r="AC87" s="144" t="e">
        <v>#N/A</v>
      </c>
    </row>
    <row r="88" spans="1:29" x14ac:dyDescent="0.2">
      <c r="L88" s="108" t="str">
        <f t="shared" si="10"/>
        <v>Sw</v>
      </c>
      <c r="M88" s="218" t="str">
        <f t="shared" si="11"/>
        <v>--</v>
      </c>
      <c r="N88" s="230" t="str">
        <f>IFERROR(_xll.qlRateHelperQuoteName(M88,Trigger),"--")</f>
        <v>--</v>
      </c>
      <c r="O88" s="231" t="str">
        <f>IFERROR(_xll.qlRateHelperQuoteValue($M88,Trigger),"--")</f>
        <v>--</v>
      </c>
      <c r="P88" s="218" t="b">
        <v>0</v>
      </c>
      <c r="Q88" s="218">
        <v>40</v>
      </c>
      <c r="R88" s="218">
        <v>1</v>
      </c>
      <c r="S88" s="227" t="str">
        <f>IFERROR(_xll.qlRateHelperEarliestDate(M88,Trigger),"--")</f>
        <v>--</v>
      </c>
      <c r="T88" s="227" t="str">
        <f>IFERROR(_xll.qlRateHelperPillarDate(M88,Trigger),"--")</f>
        <v>--</v>
      </c>
      <c r="V88" s="14" t="e">
        <f t="shared" si="9"/>
        <v>#N/A</v>
      </c>
      <c r="W88" s="14" t="e">
        <v>#N/A</v>
      </c>
      <c r="X88" s="14" t="e">
        <f>_xll.qlRateHelperQuoteName(W88,Trigger)</f>
        <v>#VALUE!</v>
      </c>
      <c r="Y88" s="146" t="e">
        <f>_xll.qlRateHelperRate(W88,Trigger)</f>
        <v>#VALUE!</v>
      </c>
      <c r="Z88" s="177" t="str">
        <f>IF(ISERROR(_xll.qlSwapRateHelperSpread($W88)),IF(ISERROR(_xll.qlFuturesRateHelperConvexityAdjustment($W88)),"--",_xll.qlFuturesRateHelperConvexityAdjustment($W88)),_xll.qlSwapRateHelperSpread($W88))</f>
        <v>--</v>
      </c>
      <c r="AA88" s="25" t="e">
        <f>_xll.qlRateHelperEarliestDate(W88,Trigger)</f>
        <v>#VALUE!</v>
      </c>
      <c r="AB88" s="25" t="e">
        <f>_xll.qlRateHelperPillarDate(W88,Trigger)</f>
        <v>#VALUE!</v>
      </c>
      <c r="AC88" s="145" t="e">
        <v>#N/A</v>
      </c>
    </row>
    <row r="89" spans="1:29" x14ac:dyDescent="0.2">
      <c r="A89" s="97" t="s">
        <v>18</v>
      </c>
      <c r="B89" s="97" t="s">
        <v>44</v>
      </c>
      <c r="C89" s="97" t="s">
        <v>176</v>
      </c>
      <c r="D89" s="97" t="s">
        <v>12</v>
      </c>
      <c r="E89" s="97" t="s">
        <v>53</v>
      </c>
      <c r="F89" s="97" t="s">
        <v>177</v>
      </c>
      <c r="G89" s="97" t="s">
        <v>9</v>
      </c>
      <c r="H89" s="97" t="s">
        <v>5</v>
      </c>
      <c r="I89" s="97" t="s">
        <v>173</v>
      </c>
      <c r="J89" s="97" t="s">
        <v>36</v>
      </c>
    </row>
    <row r="90" spans="1:29" x14ac:dyDescent="0.2">
      <c r="A90" s="81" t="s">
        <v>38</v>
      </c>
      <c r="B90" s="187">
        <v>12</v>
      </c>
      <c r="C90" s="83" t="s">
        <v>14</v>
      </c>
      <c r="D90" s="91" t="s">
        <v>16</v>
      </c>
      <c r="E90" s="91" t="s">
        <v>15</v>
      </c>
      <c r="F90" s="91" t="s">
        <v>41</v>
      </c>
      <c r="G90" s="91" t="str">
        <f>PROPER(Currency)&amp;FamilyName&amp;$G$1</f>
        <v>UsdLibor3M</v>
      </c>
      <c r="H90" s="89" t="e">
        <f>Currency&amp;#REF!&amp;"S"&amp;$B90&amp;"_Quote"</f>
        <v>#REF!</v>
      </c>
      <c r="I90" s="200">
        <v>0</v>
      </c>
      <c r="J90" s="88" t="s">
        <v>178</v>
      </c>
      <c r="K90" s="64" t="s">
        <v>66</v>
      </c>
    </row>
    <row r="91" spans="1:29" x14ac:dyDescent="0.2">
      <c r="A91" s="89" t="s">
        <v>38</v>
      </c>
      <c r="B91" s="188">
        <v>12</v>
      </c>
      <c r="C91" s="91" t="s">
        <v>14</v>
      </c>
      <c r="D91" s="91" t="s">
        <v>16</v>
      </c>
      <c r="E91" s="91" t="s">
        <v>15</v>
      </c>
      <c r="F91" s="91" t="s">
        <v>41</v>
      </c>
      <c r="G91" s="91" t="str">
        <f>PROPER(Currency)&amp;FamilyName&amp;$G$1</f>
        <v>UsdLibor3M</v>
      </c>
      <c r="H91" s="89" t="e">
        <f>Currency&amp;#REF!&amp;"S"&amp;$B91&amp;"_Quote"</f>
        <v>#REF!</v>
      </c>
      <c r="I91" s="201">
        <v>0</v>
      </c>
      <c r="J91" s="96"/>
    </row>
    <row r="92" spans="1:29" x14ac:dyDescent="0.2">
      <c r="A92" s="89" t="s">
        <v>38</v>
      </c>
      <c r="B92" s="188">
        <v>12</v>
      </c>
      <c r="C92" s="91" t="s">
        <v>14</v>
      </c>
      <c r="D92" s="91" t="s">
        <v>16</v>
      </c>
      <c r="E92" s="91" t="s">
        <v>15</v>
      </c>
      <c r="F92" s="91" t="s">
        <v>41</v>
      </c>
      <c r="G92" s="91" t="str">
        <f>PROPER(Currency)&amp;FamilyName&amp;$G$1</f>
        <v>UsdLibor3M</v>
      </c>
      <c r="H92" s="89" t="e">
        <f>Currency&amp;#REF!&amp;"S"&amp;$B92&amp;"_Quote"</f>
        <v>#REF!</v>
      </c>
      <c r="I92" s="201">
        <v>0</v>
      </c>
      <c r="J92" s="96"/>
    </row>
    <row r="93" spans="1:29" x14ac:dyDescent="0.2">
      <c r="A93" s="89" t="s">
        <v>38</v>
      </c>
      <c r="B93" s="188">
        <v>12</v>
      </c>
      <c r="C93" s="91" t="s">
        <v>14</v>
      </c>
      <c r="D93" s="91" t="s">
        <v>16</v>
      </c>
      <c r="E93" s="91" t="s">
        <v>15</v>
      </c>
      <c r="F93" s="91" t="s">
        <v>41</v>
      </c>
      <c r="G93" s="91" t="str">
        <f>PROPER(Currency)&amp;FamilyName&amp;$G$1</f>
        <v>UsdLibor3M</v>
      </c>
      <c r="H93" s="89" t="e">
        <f>Currency&amp;#REF!&amp;"S"&amp;$B93&amp;"_Quote"</f>
        <v>#REF!</v>
      </c>
      <c r="I93" s="201">
        <v>0</v>
      </c>
      <c r="J93" s="96"/>
    </row>
    <row r="94" spans="1:29" x14ac:dyDescent="0.2">
      <c r="A94" s="89" t="s">
        <v>38</v>
      </c>
      <c r="B94" s="188">
        <v>24</v>
      </c>
      <c r="C94" s="91" t="s">
        <v>14</v>
      </c>
      <c r="D94" s="91" t="s">
        <v>16</v>
      </c>
      <c r="E94" s="91" t="s">
        <v>15</v>
      </c>
      <c r="F94" s="91" t="s">
        <v>41</v>
      </c>
      <c r="G94" s="91" t="str">
        <f>PROPER(Currency)&amp;FamilyName&amp;$G$1</f>
        <v>UsdLibor3M</v>
      </c>
      <c r="H94" s="89" t="e">
        <f>Currency&amp;#REF!&amp;"S"&amp;$B94&amp;"_Quote"</f>
        <v>#REF!</v>
      </c>
      <c r="I94" s="201">
        <v>0</v>
      </c>
      <c r="J94" s="96"/>
    </row>
    <row r="95" spans="1:29" x14ac:dyDescent="0.2">
      <c r="A95" s="89" t="s">
        <v>38</v>
      </c>
      <c r="B95" s="188">
        <v>24</v>
      </c>
      <c r="C95" s="91" t="s">
        <v>14</v>
      </c>
      <c r="D95" s="91" t="s">
        <v>16</v>
      </c>
      <c r="E95" s="91" t="s">
        <v>15</v>
      </c>
      <c r="F95" s="91" t="s">
        <v>41</v>
      </c>
      <c r="G95" s="91" t="str">
        <f>PROPER(Currency)&amp;FamilyName&amp;$G$1</f>
        <v>UsdLibor3M</v>
      </c>
      <c r="H95" s="89" t="e">
        <f>Currency&amp;#REF!&amp;"S"&amp;$B95&amp;"_Quote"</f>
        <v>#REF!</v>
      </c>
      <c r="I95" s="201">
        <v>0</v>
      </c>
      <c r="J95" s="96"/>
    </row>
    <row r="96" spans="1:29" x14ac:dyDescent="0.2">
      <c r="A96" s="3" t="s">
        <v>38</v>
      </c>
      <c r="B96" s="189">
        <v>36</v>
      </c>
      <c r="C96" s="16" t="s">
        <v>14</v>
      </c>
      <c r="D96" s="16" t="s">
        <v>16</v>
      </c>
      <c r="E96" s="16" t="s">
        <v>15</v>
      </c>
      <c r="F96" s="16" t="s">
        <v>41</v>
      </c>
      <c r="G96" s="16" t="str">
        <f>PROPER(Currency)&amp;FamilyName&amp;$G$1</f>
        <v>UsdLibor3M</v>
      </c>
      <c r="H96" s="3" t="e">
        <f>Currency&amp;#REF!&amp;"S"&amp;$B96&amp;"_Quote"</f>
        <v>#REF!</v>
      </c>
      <c r="I96" s="204">
        <v>0</v>
      </c>
      <c r="J96" s="6"/>
    </row>
  </sheetData>
  <mergeCells count="1">
    <mergeCell ref="AE2:AF2"/>
  </mergeCells>
  <dataValidations count="4">
    <dataValidation type="list" allowBlank="1" showInputMessage="1" showErrorMessage="1" sqref="D50:D87 D90:D96">
      <formula1>"Annual,Semiannual,EveryFourthMonth,Quarterly,Bimonthly,Monthly,Biweekly,Weekly,Daily,Once,NoFrequency"</formula1>
    </dataValidation>
    <dataValidation type="list" allowBlank="1" showInputMessage="1" showErrorMessage="1" sqref="E50:E87 E90:E96">
      <formula1>"Following,Modified Following,Preceding,Modified Preceding,Unadjusted,Half-Month Modified Following"</formula1>
    </dataValidation>
    <dataValidation type="list" allowBlank="1" showInputMessage="1" showErrorMessage="1" sqref="F50:F87 F90:F9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V89"/>
  <sheetViews>
    <sheetView showGridLines="0" topLeftCell="K1" zoomScaleNormal="100" workbookViewId="0">
      <selection activeCell="W1" sqref="W1"/>
    </sheetView>
  </sheetViews>
  <sheetFormatPr defaultRowHeight="11.25" outlineLevelCol="2" x14ac:dyDescent="0.2"/>
  <cols>
    <col min="1" max="1" width="5" style="64" hidden="1" customWidth="1" outlineLevel="1"/>
    <col min="2" max="2" width="5" style="64" hidden="1" customWidth="1" outlineLevel="2"/>
    <col min="3" max="3" width="7" style="78" hidden="1" customWidth="1" outlineLevel="1" collapsed="1"/>
    <col min="4" max="4" width="8.28515625" style="77" hidden="1" customWidth="1" outlineLevel="1"/>
    <col min="5" max="5" width="19.42578125" style="79" hidden="1" customWidth="1" outlineLevel="1"/>
    <col min="6" max="6" width="7" style="64" hidden="1" customWidth="1" outlineLevel="1"/>
    <col min="7" max="7" width="20.28515625" style="64" hidden="1" customWidth="1" outlineLevel="1"/>
    <col min="8" max="8" width="11.28515625" style="64" hidden="1" customWidth="1" outlineLevel="1"/>
    <col min="9" max="9" width="15.140625" style="64" hidden="1" customWidth="1" outlineLevel="1"/>
    <col min="10" max="10" width="9" style="77" hidden="1" customWidth="1" outlineLevel="1"/>
    <col min="11" max="11" width="2.7109375" style="64" customWidth="1" collapsed="1"/>
    <col min="12" max="12" width="5" style="64" hidden="1" customWidth="1" outlineLevel="1"/>
    <col min="13" max="13" width="6" style="64" hidden="1" customWidth="1" outlineLevel="1"/>
    <col min="14" max="14" width="15.140625" style="64" hidden="1" customWidth="1" outlineLevel="1"/>
    <col min="15" max="15" width="6" style="64" hidden="1" customWidth="1" outlineLevel="1"/>
    <col min="16" max="16" width="5" style="64" bestFit="1" customWidth="1" collapsed="1"/>
    <col min="17" max="17" width="6" style="64" customWidth="1"/>
    <col min="18" max="18" width="15.140625" style="64" hidden="1" customWidth="1" outlineLevel="1"/>
    <col min="19" max="19" width="9" style="64" bestFit="1" customWidth="1" collapsed="1"/>
    <col min="20" max="21" width="17.28515625" style="64" bestFit="1" customWidth="1"/>
    <col min="22" max="22" width="12" style="64" bestFit="1" customWidth="1"/>
    <col min="23" max="23" width="15.140625" style="64" bestFit="1" customWidth="1"/>
    <col min="24" max="24" width="9" style="64" bestFit="1" customWidth="1"/>
    <col min="25" max="16384" width="9.140625" style="64"/>
  </cols>
  <sheetData>
    <row r="1" spans="1:22" ht="21" customHeight="1" x14ac:dyDescent="0.2">
      <c r="B1" s="67"/>
      <c r="C1" s="68"/>
      <c r="D1" s="69"/>
      <c r="E1" s="70"/>
      <c r="F1" s="71"/>
      <c r="J1" s="69"/>
      <c r="L1" s="98"/>
      <c r="M1" s="99"/>
      <c r="N1" s="99"/>
      <c r="O1" s="100"/>
      <c r="P1" s="136" t="s">
        <v>47</v>
      </c>
      <c r="Q1" s="99"/>
      <c r="R1" s="99"/>
      <c r="S1" s="104"/>
      <c r="T1" s="99"/>
      <c r="U1" s="99"/>
      <c r="V1" s="135" t="s">
        <v>51</v>
      </c>
    </row>
    <row r="2" spans="1:22" ht="21" customHeight="1" x14ac:dyDescent="0.2">
      <c r="A2" s="97" t="s">
        <v>18</v>
      </c>
      <c r="B2" s="97"/>
      <c r="C2" s="97" t="s">
        <v>1</v>
      </c>
      <c r="D2" s="97" t="s">
        <v>2</v>
      </c>
      <c r="E2" s="97" t="s">
        <v>13</v>
      </c>
      <c r="F2" s="97" t="s">
        <v>3</v>
      </c>
      <c r="G2" s="97" t="s">
        <v>4</v>
      </c>
      <c r="H2" s="97" t="s">
        <v>5</v>
      </c>
      <c r="I2" s="97" t="s">
        <v>36</v>
      </c>
      <c r="J2" s="97" t="s">
        <v>40</v>
      </c>
      <c r="L2" s="132" t="s">
        <v>18</v>
      </c>
      <c r="M2" s="132"/>
      <c r="N2" s="132" t="s">
        <v>36</v>
      </c>
      <c r="O2" s="132"/>
      <c r="P2" s="132" t="s">
        <v>18</v>
      </c>
      <c r="Q2" s="132" t="s">
        <v>44</v>
      </c>
      <c r="R2" s="132" t="s">
        <v>36</v>
      </c>
      <c r="S2" s="133" t="s">
        <v>35</v>
      </c>
      <c r="T2" s="132" t="s">
        <v>33</v>
      </c>
      <c r="U2" s="132" t="s">
        <v>34</v>
      </c>
      <c r="V2" s="143" t="e">
        <f t="array" ref="V2:V71">_xll.qlPiecewiseYieldCurveData(YieldCurve_1M,Trigger)</f>
        <v>#VALUE!</v>
      </c>
    </row>
    <row r="3" spans="1:22" ht="11.25" customHeight="1" x14ac:dyDescent="0.2">
      <c r="A3" s="81" t="s">
        <v>39</v>
      </c>
      <c r="B3" s="81" t="e">
        <f t="array" ref="B3:B18">_xll.ohFilter(#REF!,#REF!="Dp")</f>
        <v>#NUM!</v>
      </c>
      <c r="C3" s="82" t="e">
        <f>IF(LEFT(B3,1)="#","9M",B3)</f>
        <v>#NUM!</v>
      </c>
      <c r="D3" s="83" t="e">
        <f>IF(C3="O/N",0,IF(C3="T/N",1,2))</f>
        <v>#NUM!</v>
      </c>
      <c r="E3" s="82" t="e">
        <f t="shared" ref="E3:E18" si="0">IF(RIGHT(C3,1)="M","Modified Following","Following")</f>
        <v>#NUM!</v>
      </c>
      <c r="F3" s="85" t="e">
        <f t="shared" ref="F3:F18" si="1">IF(RIGHT(C3,1)="M","TRUE","FALSE")</f>
        <v>#NUM!</v>
      </c>
      <c r="G3" s="86" t="s">
        <v>41</v>
      </c>
      <c r="H3" s="87" t="e">
        <f t="array" ref="H3:H18">_xll.ohFilter(#REF!,#REF!="Dp")/100</f>
        <v>#NUM!</v>
      </c>
      <c r="I3" s="88" t="e">
        <f>_xll.qlDepositRateHelper2(,H3,IF(RIGHT(C3,1)="N","1D",C3),D3,Calendar,E3,F3,G3,,Trigger)</f>
        <v>#VALUE!</v>
      </c>
      <c r="J3" s="83" t="b">
        <f t="shared" ref="J3:J17" si="2">IF(ISERROR(I3),FALSE,TRUE)</f>
        <v>0</v>
      </c>
      <c r="L3" s="21" t="str">
        <f>A3</f>
        <v>Dp</v>
      </c>
      <c r="M3" s="21" t="e">
        <f>C3</f>
        <v>#NUM!</v>
      </c>
      <c r="N3" s="12" t="e">
        <f>I3</f>
        <v>#VALUE!</v>
      </c>
      <c r="O3" s="12" t="b">
        <f>J3</f>
        <v>0</v>
      </c>
      <c r="P3" s="12">
        <f t="array" ref="P3:P71">_xll.ohPack(_xll.ohFilter(L3:L82,O3:O82),Trigger)</f>
        <v>0</v>
      </c>
      <c r="Q3" s="12">
        <f t="array" ref="Q3:Q71">_xll.ohPack(_xll.ohFilter(M3:M82,O3:O82),Trigger)</f>
        <v>0</v>
      </c>
      <c r="R3" s="12">
        <f t="array" ref="R3:R71">_xll.ohPack(_xll.ohFilter(N3:N82,O3:O82))</f>
        <v>0</v>
      </c>
      <c r="S3" s="106" t="e">
        <f>_xll.qlRateHelperRate(R3,Trigger)</f>
        <v>#NUM!</v>
      </c>
      <c r="T3" s="13" t="e">
        <f>_xll.qlRateHelperEarliestDate(R3,Trigger)</f>
        <v>#NUM!</v>
      </c>
      <c r="U3" s="13" t="e">
        <f ca="1">_xll.qlRateHelperLatestDate(R3,Trigger)</f>
        <v>#NAME?</v>
      </c>
      <c r="V3" s="144" t="e">
        <v>#VALUE!</v>
      </c>
    </row>
    <row r="4" spans="1:22" ht="11.25" customHeight="1" x14ac:dyDescent="0.2">
      <c r="A4" s="89" t="s">
        <v>39</v>
      </c>
      <c r="B4" s="89" t="e">
        <v>#NUM!</v>
      </c>
      <c r="C4" s="90" t="e">
        <f t="shared" ref="C4:C18" si="3">IF(LEFT(B4,1)="#","9M",B4)</f>
        <v>#NUM!</v>
      </c>
      <c r="D4" s="91" t="e">
        <f t="shared" ref="D4:D18" si="4">IF(C4="O/N",0,IF(C4="T/N",1,2))</f>
        <v>#NUM!</v>
      </c>
      <c r="E4" s="90" t="e">
        <f t="shared" si="0"/>
        <v>#NUM!</v>
      </c>
      <c r="F4" s="93" t="e">
        <f t="shared" si="1"/>
        <v>#NUM!</v>
      </c>
      <c r="G4" s="94" t="s">
        <v>41</v>
      </c>
      <c r="H4" s="95" t="e">
        <v>#NUM!</v>
      </c>
      <c r="I4" s="96" t="e">
        <f>_xll.qlDepositRateHelper2(,H4,IF(RIGHT(C4,1)="N","1D",C4),D4,Calendar,E4,F4,G4,,Trigger)</f>
        <v>#VALUE!</v>
      </c>
      <c r="J4" s="91" t="b">
        <f t="shared" si="2"/>
        <v>0</v>
      </c>
      <c r="L4" s="21" t="str">
        <f t="shared" ref="L4:L18" si="5">A4</f>
        <v>Dp</v>
      </c>
      <c r="M4" s="21" t="e">
        <f t="shared" ref="M4:M18" si="6">C4</f>
        <v>#NUM!</v>
      </c>
      <c r="N4" s="12" t="e">
        <f t="shared" ref="N4:O18" si="7">I4</f>
        <v>#VALUE!</v>
      </c>
      <c r="O4" s="12" t="b">
        <f t="shared" si="7"/>
        <v>0</v>
      </c>
      <c r="P4" s="12">
        <v>0</v>
      </c>
      <c r="Q4" s="12">
        <v>0</v>
      </c>
      <c r="R4" s="12">
        <v>0</v>
      </c>
      <c r="S4" s="106" t="e">
        <f>_xll.qlRateHelperRate(R4,Trigger)</f>
        <v>#NUM!</v>
      </c>
      <c r="T4" s="13" t="e">
        <f>_xll.qlRateHelperEarliestDate(R4,Trigger)</f>
        <v>#NUM!</v>
      </c>
      <c r="U4" s="13" t="e">
        <f ca="1">_xll.qlRateHelperLatestDate(R4,Trigger)</f>
        <v>#NAME?</v>
      </c>
      <c r="V4" s="144" t="e">
        <v>#VALUE!</v>
      </c>
    </row>
    <row r="5" spans="1:22" ht="11.25" customHeight="1" x14ac:dyDescent="0.2">
      <c r="A5" s="89" t="s">
        <v>39</v>
      </c>
      <c r="B5" s="89" t="e">
        <v>#NUM!</v>
      </c>
      <c r="C5" s="90" t="e">
        <f t="shared" si="3"/>
        <v>#NUM!</v>
      </c>
      <c r="D5" s="91" t="e">
        <f t="shared" si="4"/>
        <v>#NUM!</v>
      </c>
      <c r="E5" s="90" t="e">
        <f t="shared" si="0"/>
        <v>#NUM!</v>
      </c>
      <c r="F5" s="93" t="e">
        <f t="shared" si="1"/>
        <v>#NUM!</v>
      </c>
      <c r="G5" s="94" t="s">
        <v>41</v>
      </c>
      <c r="H5" s="95" t="e">
        <v>#NUM!</v>
      </c>
      <c r="I5" s="96" t="e">
        <f>_xll.qlDepositRateHelper2(,H5,IF(RIGHT(C5,1)="N","1D",C5),D5,Calendar,E5,F5,G5,,Trigger)</f>
        <v>#VALUE!</v>
      </c>
      <c r="J5" s="91" t="b">
        <f t="shared" si="2"/>
        <v>0</v>
      </c>
      <c r="L5" s="21" t="str">
        <f t="shared" si="5"/>
        <v>Dp</v>
      </c>
      <c r="M5" s="21" t="e">
        <f t="shared" si="6"/>
        <v>#NUM!</v>
      </c>
      <c r="N5" s="12" t="e">
        <f t="shared" si="7"/>
        <v>#VALUE!</v>
      </c>
      <c r="O5" s="12" t="b">
        <f t="shared" si="7"/>
        <v>0</v>
      </c>
      <c r="P5" s="12">
        <v>0</v>
      </c>
      <c r="Q5" s="12">
        <v>0</v>
      </c>
      <c r="R5" s="12">
        <v>0</v>
      </c>
      <c r="S5" s="106" t="e">
        <f>_xll.qlRateHelperRate(R5,Trigger)</f>
        <v>#NUM!</v>
      </c>
      <c r="T5" s="13" t="e">
        <f>_xll.qlRateHelperEarliestDate(R5,Trigger)</f>
        <v>#NUM!</v>
      </c>
      <c r="U5" s="13" t="e">
        <f ca="1">_xll.qlRateHelperLatestDate(R5,Trigger)</f>
        <v>#NAME?</v>
      </c>
      <c r="V5" s="144" t="e">
        <v>#VALUE!</v>
      </c>
    </row>
    <row r="6" spans="1:22" ht="11.25" customHeight="1" x14ac:dyDescent="0.2">
      <c r="A6" s="89" t="s">
        <v>39</v>
      </c>
      <c r="B6" s="89" t="e">
        <v>#NUM!</v>
      </c>
      <c r="C6" s="90" t="e">
        <f t="shared" si="3"/>
        <v>#NUM!</v>
      </c>
      <c r="D6" s="91" t="e">
        <f t="shared" si="4"/>
        <v>#NUM!</v>
      </c>
      <c r="E6" s="90" t="e">
        <f t="shared" si="0"/>
        <v>#NUM!</v>
      </c>
      <c r="F6" s="93" t="e">
        <f t="shared" si="1"/>
        <v>#NUM!</v>
      </c>
      <c r="G6" s="94" t="s">
        <v>41</v>
      </c>
      <c r="H6" s="95" t="e">
        <v>#NUM!</v>
      </c>
      <c r="I6" s="96" t="e">
        <f>_xll.qlDepositRateHelper2(,H6,IF(RIGHT(C6,1)="N","1D",C6),D6,Calendar,E6,F6,G6,,Trigger)</f>
        <v>#VALUE!</v>
      </c>
      <c r="J6" s="91" t="b">
        <f t="shared" si="2"/>
        <v>0</v>
      </c>
      <c r="L6" s="21" t="str">
        <f t="shared" si="5"/>
        <v>Dp</v>
      </c>
      <c r="M6" s="21" t="e">
        <f t="shared" si="6"/>
        <v>#NUM!</v>
      </c>
      <c r="N6" s="12" t="e">
        <f t="shared" si="7"/>
        <v>#VALUE!</v>
      </c>
      <c r="O6" s="12" t="b">
        <f t="shared" si="7"/>
        <v>0</v>
      </c>
      <c r="P6" s="12">
        <v>0</v>
      </c>
      <c r="Q6" s="12">
        <v>0</v>
      </c>
      <c r="R6" s="12">
        <v>0</v>
      </c>
      <c r="S6" s="106" t="e">
        <f>_xll.qlRateHelperRate(R6,Trigger)</f>
        <v>#NUM!</v>
      </c>
      <c r="T6" s="13" t="e">
        <f>_xll.qlRateHelperEarliestDate(R6,Trigger)</f>
        <v>#NUM!</v>
      </c>
      <c r="U6" s="13" t="e">
        <f ca="1">_xll.qlRateHelperLatestDate(R6,Trigger)</f>
        <v>#NAME?</v>
      </c>
      <c r="V6" s="144" t="e">
        <v>#VALUE!</v>
      </c>
    </row>
    <row r="7" spans="1:22" ht="11.25" customHeight="1" x14ac:dyDescent="0.2">
      <c r="A7" s="89" t="s">
        <v>39</v>
      </c>
      <c r="B7" s="89" t="e">
        <v>#NUM!</v>
      </c>
      <c r="C7" s="90" t="e">
        <f t="shared" si="3"/>
        <v>#NUM!</v>
      </c>
      <c r="D7" s="91" t="e">
        <f t="shared" si="4"/>
        <v>#NUM!</v>
      </c>
      <c r="E7" s="90" t="e">
        <f t="shared" si="0"/>
        <v>#NUM!</v>
      </c>
      <c r="F7" s="93" t="e">
        <f t="shared" si="1"/>
        <v>#NUM!</v>
      </c>
      <c r="G7" s="94" t="s">
        <v>41</v>
      </c>
      <c r="H7" s="95" t="e">
        <v>#NUM!</v>
      </c>
      <c r="I7" s="96" t="e">
        <f>_xll.qlDepositRateHelper2(,H7,IF(RIGHT(C7,1)="N","1D",C7),D7,Calendar,E7,F7,G7,,Trigger)</f>
        <v>#VALUE!</v>
      </c>
      <c r="J7" s="91" t="b">
        <f t="shared" si="2"/>
        <v>0</v>
      </c>
      <c r="L7" s="21" t="str">
        <f t="shared" si="5"/>
        <v>Dp</v>
      </c>
      <c r="M7" s="21" t="e">
        <f t="shared" si="6"/>
        <v>#NUM!</v>
      </c>
      <c r="N7" s="12" t="e">
        <f t="shared" si="7"/>
        <v>#VALUE!</v>
      </c>
      <c r="O7" s="12" t="b">
        <f t="shared" si="7"/>
        <v>0</v>
      </c>
      <c r="P7" s="12">
        <v>0</v>
      </c>
      <c r="Q7" s="12">
        <v>0</v>
      </c>
      <c r="R7" s="12">
        <v>0</v>
      </c>
      <c r="S7" s="106" t="e">
        <f>_xll.qlRateHelperRate(R7,Trigger)</f>
        <v>#NUM!</v>
      </c>
      <c r="T7" s="13" t="e">
        <f>_xll.qlRateHelperEarliestDate(R7,Trigger)</f>
        <v>#NUM!</v>
      </c>
      <c r="U7" s="13" t="e">
        <f ca="1">_xll.qlRateHelperLatestDate(R7,Trigger)</f>
        <v>#NAME?</v>
      </c>
      <c r="V7" s="144" t="e">
        <v>#VALUE!</v>
      </c>
    </row>
    <row r="8" spans="1:22" ht="11.25" customHeight="1" x14ac:dyDescent="0.2">
      <c r="A8" s="89" t="s">
        <v>39</v>
      </c>
      <c r="B8" s="89" t="e">
        <v>#NUM!</v>
      </c>
      <c r="C8" s="90" t="e">
        <f t="shared" si="3"/>
        <v>#NUM!</v>
      </c>
      <c r="D8" s="91" t="e">
        <f t="shared" si="4"/>
        <v>#NUM!</v>
      </c>
      <c r="E8" s="90" t="e">
        <f t="shared" si="0"/>
        <v>#NUM!</v>
      </c>
      <c r="F8" s="93" t="e">
        <f t="shared" si="1"/>
        <v>#NUM!</v>
      </c>
      <c r="G8" s="94" t="s">
        <v>41</v>
      </c>
      <c r="H8" s="95" t="e">
        <v>#NUM!</v>
      </c>
      <c r="I8" s="96" t="e">
        <f>_xll.qlDepositRateHelper2(,H8,IF(RIGHT(C8,1)="N","1D",C8),D8,Calendar,E8,F8,G8,,Trigger)</f>
        <v>#VALUE!</v>
      </c>
      <c r="J8" s="91" t="b">
        <f t="shared" si="2"/>
        <v>0</v>
      </c>
      <c r="L8" s="21" t="str">
        <f t="shared" si="5"/>
        <v>Dp</v>
      </c>
      <c r="M8" s="21" t="e">
        <f t="shared" si="6"/>
        <v>#NUM!</v>
      </c>
      <c r="N8" s="12" t="e">
        <f t="shared" si="7"/>
        <v>#VALUE!</v>
      </c>
      <c r="O8" s="12" t="b">
        <f t="shared" si="7"/>
        <v>0</v>
      </c>
      <c r="P8" s="12">
        <v>0</v>
      </c>
      <c r="Q8" s="12">
        <v>0</v>
      </c>
      <c r="R8" s="12">
        <v>0</v>
      </c>
      <c r="S8" s="106" t="e">
        <f>_xll.qlRateHelperRate(R8,Trigger)</f>
        <v>#NUM!</v>
      </c>
      <c r="T8" s="13" t="e">
        <f>_xll.qlRateHelperEarliestDate(R8,Trigger)</f>
        <v>#NUM!</v>
      </c>
      <c r="U8" s="13" t="e">
        <f ca="1">_xll.qlRateHelperLatestDate(R8,Trigger)</f>
        <v>#NAME?</v>
      </c>
      <c r="V8" s="144" t="e">
        <v>#VALUE!</v>
      </c>
    </row>
    <row r="9" spans="1:22" ht="11.25" customHeight="1" x14ac:dyDescent="0.2">
      <c r="A9" s="89" t="s">
        <v>39</v>
      </c>
      <c r="B9" s="89" t="e">
        <v>#NUM!</v>
      </c>
      <c r="C9" s="90" t="e">
        <f t="shared" si="3"/>
        <v>#NUM!</v>
      </c>
      <c r="D9" s="91" t="e">
        <f t="shared" si="4"/>
        <v>#NUM!</v>
      </c>
      <c r="E9" s="90" t="e">
        <f t="shared" si="0"/>
        <v>#NUM!</v>
      </c>
      <c r="F9" s="93" t="e">
        <f t="shared" si="1"/>
        <v>#NUM!</v>
      </c>
      <c r="G9" s="94" t="s">
        <v>41</v>
      </c>
      <c r="H9" s="95" t="e">
        <v>#NUM!</v>
      </c>
      <c r="I9" s="96" t="e">
        <f>_xll.qlDepositRateHelper2(,H9,IF(RIGHT(C9,1)="N","1D",C9),D9,Calendar,E9,F9,G9,,Trigger)</f>
        <v>#VALUE!</v>
      </c>
      <c r="J9" s="91" t="b">
        <f t="shared" si="2"/>
        <v>0</v>
      </c>
      <c r="L9" s="21" t="str">
        <f t="shared" si="5"/>
        <v>Dp</v>
      </c>
      <c r="M9" s="21" t="e">
        <f t="shared" si="6"/>
        <v>#NUM!</v>
      </c>
      <c r="N9" s="12" t="e">
        <f t="shared" si="7"/>
        <v>#VALUE!</v>
      </c>
      <c r="O9" s="12" t="b">
        <f t="shared" si="7"/>
        <v>0</v>
      </c>
      <c r="P9" s="12">
        <v>0</v>
      </c>
      <c r="Q9" s="12">
        <v>0</v>
      </c>
      <c r="R9" s="12">
        <v>0</v>
      </c>
      <c r="S9" s="106" t="e">
        <f>_xll.qlRateHelperRate(R9,Trigger)</f>
        <v>#NUM!</v>
      </c>
      <c r="T9" s="13" t="e">
        <f>_xll.qlRateHelperEarliestDate(R9,Trigger)</f>
        <v>#NUM!</v>
      </c>
      <c r="U9" s="13" t="e">
        <f ca="1">_xll.qlRateHelperLatestDate(R9,Trigger)</f>
        <v>#NAME?</v>
      </c>
      <c r="V9" s="144" t="e">
        <v>#VALUE!</v>
      </c>
    </row>
    <row r="10" spans="1:22" ht="11.25" customHeight="1" x14ac:dyDescent="0.2">
      <c r="A10" s="89" t="s">
        <v>39</v>
      </c>
      <c r="B10" s="89" t="e">
        <v>#NUM!</v>
      </c>
      <c r="C10" s="90" t="e">
        <f t="shared" si="3"/>
        <v>#NUM!</v>
      </c>
      <c r="D10" s="91" t="e">
        <f t="shared" si="4"/>
        <v>#NUM!</v>
      </c>
      <c r="E10" s="90" t="e">
        <f t="shared" si="0"/>
        <v>#NUM!</v>
      </c>
      <c r="F10" s="93" t="e">
        <f t="shared" si="1"/>
        <v>#NUM!</v>
      </c>
      <c r="G10" s="94" t="s">
        <v>41</v>
      </c>
      <c r="H10" s="95" t="e">
        <v>#NUM!</v>
      </c>
      <c r="I10" s="96" t="e">
        <f>_xll.qlDepositRateHelper2(,H10,IF(RIGHT(C10,1)="N","1D",C10),D10,Calendar,E10,F10,G10,,Trigger)</f>
        <v>#VALUE!</v>
      </c>
      <c r="J10" s="91" t="b">
        <f t="shared" si="2"/>
        <v>0</v>
      </c>
      <c r="L10" s="21" t="str">
        <f t="shared" si="5"/>
        <v>Dp</v>
      </c>
      <c r="M10" s="21" t="e">
        <f t="shared" si="6"/>
        <v>#NUM!</v>
      </c>
      <c r="N10" s="12" t="e">
        <f t="shared" si="7"/>
        <v>#VALUE!</v>
      </c>
      <c r="O10" s="12" t="b">
        <f t="shared" si="7"/>
        <v>0</v>
      </c>
      <c r="P10" s="12">
        <v>0</v>
      </c>
      <c r="Q10" s="12">
        <v>0</v>
      </c>
      <c r="R10" s="12">
        <v>0</v>
      </c>
      <c r="S10" s="106" t="e">
        <f>_xll.qlRateHelperRate(R10,Trigger)</f>
        <v>#NUM!</v>
      </c>
      <c r="T10" s="13" t="e">
        <f>_xll.qlRateHelperEarliestDate(R10,Trigger)</f>
        <v>#NUM!</v>
      </c>
      <c r="U10" s="13" t="e">
        <f ca="1">_xll.qlRateHelperLatestDate(R10,Trigger)</f>
        <v>#NAME?</v>
      </c>
      <c r="V10" s="144" t="e">
        <v>#VALUE!</v>
      </c>
    </row>
    <row r="11" spans="1:22" ht="11.25" customHeight="1" x14ac:dyDescent="0.2">
      <c r="A11" s="89" t="s">
        <v>39</v>
      </c>
      <c r="B11" s="89" t="e">
        <v>#NUM!</v>
      </c>
      <c r="C11" s="90" t="e">
        <f t="shared" si="3"/>
        <v>#NUM!</v>
      </c>
      <c r="D11" s="91" t="e">
        <f t="shared" si="4"/>
        <v>#NUM!</v>
      </c>
      <c r="E11" s="90" t="e">
        <f t="shared" si="0"/>
        <v>#NUM!</v>
      </c>
      <c r="F11" s="93" t="e">
        <f t="shared" si="1"/>
        <v>#NUM!</v>
      </c>
      <c r="G11" s="94" t="s">
        <v>41</v>
      </c>
      <c r="H11" s="95" t="e">
        <v>#NUM!</v>
      </c>
      <c r="I11" s="96" t="e">
        <f>_xll.qlDepositRateHelper2(,H11,IF(RIGHT(C11,1)="N","1D",C11),D11,Calendar,E11,F11,G11,,Trigger)</f>
        <v>#VALUE!</v>
      </c>
      <c r="J11" s="91" t="b">
        <f t="shared" si="2"/>
        <v>0</v>
      </c>
      <c r="L11" s="21" t="str">
        <f t="shared" si="5"/>
        <v>Dp</v>
      </c>
      <c r="M11" s="21" t="e">
        <f t="shared" si="6"/>
        <v>#NUM!</v>
      </c>
      <c r="N11" s="12" t="e">
        <f t="shared" si="7"/>
        <v>#VALUE!</v>
      </c>
      <c r="O11" s="12" t="b">
        <f t="shared" si="7"/>
        <v>0</v>
      </c>
      <c r="P11" s="12">
        <v>0</v>
      </c>
      <c r="Q11" s="12">
        <v>0</v>
      </c>
      <c r="R11" s="12">
        <v>0</v>
      </c>
      <c r="S11" s="106" t="e">
        <f>_xll.qlRateHelperRate(R11,Trigger)</f>
        <v>#NUM!</v>
      </c>
      <c r="T11" s="13" t="e">
        <f>_xll.qlRateHelperEarliestDate(R11,Trigger)</f>
        <v>#NUM!</v>
      </c>
      <c r="U11" s="13" t="e">
        <f ca="1">_xll.qlRateHelperLatestDate(R11,Trigger)</f>
        <v>#NAME?</v>
      </c>
      <c r="V11" s="144" t="e">
        <v>#VALUE!</v>
      </c>
    </row>
    <row r="12" spans="1:22" ht="11.25" customHeight="1" x14ac:dyDescent="0.2">
      <c r="A12" s="89" t="s">
        <v>39</v>
      </c>
      <c r="B12" s="89" t="e">
        <v>#NUM!</v>
      </c>
      <c r="C12" s="90" t="e">
        <f t="shared" si="3"/>
        <v>#NUM!</v>
      </c>
      <c r="D12" s="91" t="e">
        <f t="shared" si="4"/>
        <v>#NUM!</v>
      </c>
      <c r="E12" s="90" t="e">
        <f t="shared" si="0"/>
        <v>#NUM!</v>
      </c>
      <c r="F12" s="93" t="e">
        <f t="shared" si="1"/>
        <v>#NUM!</v>
      </c>
      <c r="G12" s="94" t="s">
        <v>41</v>
      </c>
      <c r="H12" s="95" t="e">
        <v>#NUM!</v>
      </c>
      <c r="I12" s="96" t="e">
        <f>_xll.qlDepositRateHelper2(,H12,IF(RIGHT(C12,1)="N","1D",C12),D12,Calendar,E12,F12,G12,,Trigger)</f>
        <v>#VALUE!</v>
      </c>
      <c r="J12" s="91" t="b">
        <f t="shared" si="2"/>
        <v>0</v>
      </c>
      <c r="L12" s="21" t="str">
        <f t="shared" si="5"/>
        <v>Dp</v>
      </c>
      <c r="M12" s="21" t="e">
        <f t="shared" si="6"/>
        <v>#NUM!</v>
      </c>
      <c r="N12" s="12" t="e">
        <f t="shared" si="7"/>
        <v>#VALUE!</v>
      </c>
      <c r="O12" s="12" t="b">
        <f t="shared" si="7"/>
        <v>0</v>
      </c>
      <c r="P12" s="12">
        <v>0</v>
      </c>
      <c r="Q12" s="12">
        <v>0</v>
      </c>
      <c r="R12" s="12">
        <v>0</v>
      </c>
      <c r="S12" s="106" t="e">
        <f>_xll.qlRateHelperRate(R12,Trigger)</f>
        <v>#NUM!</v>
      </c>
      <c r="T12" s="13" t="e">
        <f>_xll.qlRateHelperEarliestDate(R12,Trigger)</f>
        <v>#NUM!</v>
      </c>
      <c r="U12" s="13" t="e">
        <f ca="1">_xll.qlRateHelperLatestDate(R12,Trigger)</f>
        <v>#NAME?</v>
      </c>
      <c r="V12" s="144" t="e">
        <v>#VALUE!</v>
      </c>
    </row>
    <row r="13" spans="1:22" ht="11.25" customHeight="1" x14ac:dyDescent="0.2">
      <c r="A13" s="89" t="s">
        <v>39</v>
      </c>
      <c r="B13" s="89" t="e">
        <v>#NUM!</v>
      </c>
      <c r="C13" s="90" t="e">
        <f t="shared" si="3"/>
        <v>#NUM!</v>
      </c>
      <c r="D13" s="91" t="e">
        <f t="shared" si="4"/>
        <v>#NUM!</v>
      </c>
      <c r="E13" s="90" t="e">
        <f t="shared" si="0"/>
        <v>#NUM!</v>
      </c>
      <c r="F13" s="93" t="e">
        <f t="shared" si="1"/>
        <v>#NUM!</v>
      </c>
      <c r="G13" s="94" t="s">
        <v>41</v>
      </c>
      <c r="H13" s="95" t="e">
        <v>#NUM!</v>
      </c>
      <c r="I13" s="96" t="e">
        <f>_xll.qlDepositRateHelper2(,H13,IF(RIGHT(C13,1)="N","1D",C13),D13,Calendar,E13,F13,G13,,Trigger)</f>
        <v>#VALUE!</v>
      </c>
      <c r="J13" s="91" t="b">
        <f t="shared" si="2"/>
        <v>0</v>
      </c>
      <c r="L13" s="21" t="str">
        <f t="shared" si="5"/>
        <v>Dp</v>
      </c>
      <c r="M13" s="21" t="e">
        <f t="shared" si="6"/>
        <v>#NUM!</v>
      </c>
      <c r="N13" s="12" t="e">
        <f t="shared" si="7"/>
        <v>#VALUE!</v>
      </c>
      <c r="O13" s="12" t="b">
        <f t="shared" si="7"/>
        <v>0</v>
      </c>
      <c r="P13" s="12">
        <v>0</v>
      </c>
      <c r="Q13" s="12">
        <v>0</v>
      </c>
      <c r="R13" s="12">
        <v>0</v>
      </c>
      <c r="S13" s="106" t="e">
        <f>_xll.qlRateHelperRate(R13,Trigger)</f>
        <v>#NUM!</v>
      </c>
      <c r="T13" s="13" t="e">
        <f>_xll.qlRateHelperEarliestDate(R13,Trigger)</f>
        <v>#NUM!</v>
      </c>
      <c r="U13" s="13" t="e">
        <f ca="1">_xll.qlRateHelperLatestDate(R13,Trigger)</f>
        <v>#NAME?</v>
      </c>
      <c r="V13" s="144" t="e">
        <v>#VALUE!</v>
      </c>
    </row>
    <row r="14" spans="1:22" ht="11.25" customHeight="1" x14ac:dyDescent="0.2">
      <c r="A14" s="89" t="s">
        <v>39</v>
      </c>
      <c r="B14" s="89" t="e">
        <v>#NUM!</v>
      </c>
      <c r="C14" s="90" t="e">
        <f t="shared" si="3"/>
        <v>#NUM!</v>
      </c>
      <c r="D14" s="91" t="e">
        <f t="shared" si="4"/>
        <v>#NUM!</v>
      </c>
      <c r="E14" s="90" t="e">
        <f t="shared" si="0"/>
        <v>#NUM!</v>
      </c>
      <c r="F14" s="93" t="e">
        <f t="shared" si="1"/>
        <v>#NUM!</v>
      </c>
      <c r="G14" s="94" t="s">
        <v>41</v>
      </c>
      <c r="H14" s="95" t="e">
        <v>#NUM!</v>
      </c>
      <c r="I14" s="96" t="e">
        <f>_xll.qlDepositRateHelper2(,H14,IF(RIGHT(C14,1)="N","1D",C14),D14,Calendar,E14,F14,G14,,Trigger)</f>
        <v>#VALUE!</v>
      </c>
      <c r="J14" s="91" t="b">
        <f t="shared" si="2"/>
        <v>0</v>
      </c>
      <c r="L14" s="21" t="str">
        <f t="shared" si="5"/>
        <v>Dp</v>
      </c>
      <c r="M14" s="21" t="e">
        <f t="shared" si="6"/>
        <v>#NUM!</v>
      </c>
      <c r="N14" s="12" t="e">
        <f t="shared" si="7"/>
        <v>#VALUE!</v>
      </c>
      <c r="O14" s="12" t="b">
        <f t="shared" si="7"/>
        <v>0</v>
      </c>
      <c r="P14" s="12">
        <v>0</v>
      </c>
      <c r="Q14" s="12">
        <v>0</v>
      </c>
      <c r="R14" s="12">
        <v>0</v>
      </c>
      <c r="S14" s="106" t="e">
        <f>_xll.qlRateHelperRate(R14,Trigger)</f>
        <v>#NUM!</v>
      </c>
      <c r="T14" s="13" t="e">
        <f>_xll.qlRateHelperEarliestDate(R14,Trigger)</f>
        <v>#NUM!</v>
      </c>
      <c r="U14" s="13" t="e">
        <f ca="1">_xll.qlRateHelperLatestDate(R14,Trigger)</f>
        <v>#NAME?</v>
      </c>
      <c r="V14" s="144" t="e">
        <v>#VALUE!</v>
      </c>
    </row>
    <row r="15" spans="1:22" ht="11.25" customHeight="1" x14ac:dyDescent="0.2">
      <c r="A15" s="89" t="s">
        <v>39</v>
      </c>
      <c r="B15" s="89" t="e">
        <v>#NUM!</v>
      </c>
      <c r="C15" s="90" t="e">
        <f t="shared" si="3"/>
        <v>#NUM!</v>
      </c>
      <c r="D15" s="91" t="e">
        <f t="shared" si="4"/>
        <v>#NUM!</v>
      </c>
      <c r="E15" s="90" t="e">
        <f t="shared" si="0"/>
        <v>#NUM!</v>
      </c>
      <c r="F15" s="93" t="e">
        <f t="shared" si="1"/>
        <v>#NUM!</v>
      </c>
      <c r="G15" s="94" t="s">
        <v>41</v>
      </c>
      <c r="H15" s="95" t="e">
        <v>#NUM!</v>
      </c>
      <c r="I15" s="96" t="e">
        <f>_xll.qlDepositRateHelper2(,H15,IF(RIGHT(C15,1)="N","1D",C15),D15,Calendar,E15,F15,G15,,Trigger)</f>
        <v>#VALUE!</v>
      </c>
      <c r="J15" s="91" t="b">
        <f t="shared" si="2"/>
        <v>0</v>
      </c>
      <c r="L15" s="21" t="str">
        <f t="shared" si="5"/>
        <v>Dp</v>
      </c>
      <c r="M15" s="21" t="e">
        <f t="shared" si="6"/>
        <v>#NUM!</v>
      </c>
      <c r="N15" s="12" t="e">
        <f t="shared" si="7"/>
        <v>#VALUE!</v>
      </c>
      <c r="O15" s="12" t="b">
        <f t="shared" si="7"/>
        <v>0</v>
      </c>
      <c r="P15" s="12">
        <v>0</v>
      </c>
      <c r="Q15" s="12">
        <v>0</v>
      </c>
      <c r="R15" s="12">
        <v>0</v>
      </c>
      <c r="S15" s="106" t="e">
        <f>_xll.qlRateHelperRate(R15,Trigger)</f>
        <v>#NUM!</v>
      </c>
      <c r="T15" s="13" t="e">
        <f>_xll.qlRateHelperEarliestDate(R15,Trigger)</f>
        <v>#NUM!</v>
      </c>
      <c r="U15" s="13" t="e">
        <f ca="1">_xll.qlRateHelperLatestDate(R15,Trigger)</f>
        <v>#NAME?</v>
      </c>
      <c r="V15" s="144" t="e">
        <v>#VALUE!</v>
      </c>
    </row>
    <row r="16" spans="1:22" ht="11.25" customHeight="1" x14ac:dyDescent="0.2">
      <c r="A16" s="89" t="s">
        <v>39</v>
      </c>
      <c r="B16" s="89" t="e">
        <v>#NUM!</v>
      </c>
      <c r="C16" s="90" t="e">
        <f t="shared" si="3"/>
        <v>#NUM!</v>
      </c>
      <c r="D16" s="91" t="e">
        <f t="shared" si="4"/>
        <v>#NUM!</v>
      </c>
      <c r="E16" s="90" t="e">
        <f t="shared" si="0"/>
        <v>#NUM!</v>
      </c>
      <c r="F16" s="93" t="e">
        <f t="shared" si="1"/>
        <v>#NUM!</v>
      </c>
      <c r="G16" s="94" t="s">
        <v>41</v>
      </c>
      <c r="H16" s="95" t="e">
        <v>#NUM!</v>
      </c>
      <c r="I16" s="96" t="e">
        <f>_xll.qlDepositRateHelper2(,H16,IF(RIGHT(C16,1)="N","1D",C16),D16,Calendar,E16,F16,G16,,Trigger)</f>
        <v>#VALUE!</v>
      </c>
      <c r="J16" s="91" t="b">
        <f t="shared" si="2"/>
        <v>0</v>
      </c>
      <c r="L16" s="21" t="str">
        <f t="shared" si="5"/>
        <v>Dp</v>
      </c>
      <c r="M16" s="21" t="e">
        <f t="shared" si="6"/>
        <v>#NUM!</v>
      </c>
      <c r="N16" s="12" t="e">
        <f t="shared" si="7"/>
        <v>#VALUE!</v>
      </c>
      <c r="O16" s="12" t="b">
        <f t="shared" si="7"/>
        <v>0</v>
      </c>
      <c r="P16" s="12">
        <v>0</v>
      </c>
      <c r="Q16" s="12">
        <v>0</v>
      </c>
      <c r="R16" s="12">
        <v>0</v>
      </c>
      <c r="S16" s="106" t="e">
        <f>_xll.qlRateHelperRate(R16,Trigger)</f>
        <v>#NUM!</v>
      </c>
      <c r="T16" s="13" t="e">
        <f>_xll.qlRateHelperEarliestDate(R16,Trigger)</f>
        <v>#NUM!</v>
      </c>
      <c r="U16" s="13" t="e">
        <f ca="1">_xll.qlRateHelperLatestDate(R16,Trigger)</f>
        <v>#NAME?</v>
      </c>
      <c r="V16" s="144" t="e">
        <v>#VALUE!</v>
      </c>
    </row>
    <row r="17" spans="1:22" ht="11.25" customHeight="1" x14ac:dyDescent="0.2">
      <c r="A17" s="89" t="s">
        <v>39</v>
      </c>
      <c r="B17" s="89" t="e">
        <v>#NUM!</v>
      </c>
      <c r="C17" s="90" t="e">
        <f t="shared" si="3"/>
        <v>#NUM!</v>
      </c>
      <c r="D17" s="91" t="e">
        <f t="shared" si="4"/>
        <v>#NUM!</v>
      </c>
      <c r="E17" s="90" t="e">
        <f t="shared" si="0"/>
        <v>#NUM!</v>
      </c>
      <c r="F17" s="93" t="e">
        <f t="shared" si="1"/>
        <v>#NUM!</v>
      </c>
      <c r="G17" s="94" t="s">
        <v>41</v>
      </c>
      <c r="H17" s="95" t="e">
        <v>#NUM!</v>
      </c>
      <c r="I17" s="96" t="e">
        <f>_xll.qlDepositRateHelper2(,H17,IF(RIGHT(C17,1)="N","1D",C17),D17,Calendar,E17,F17,G17,,Trigger)</f>
        <v>#VALUE!</v>
      </c>
      <c r="J17" s="91" t="b">
        <f t="shared" si="2"/>
        <v>0</v>
      </c>
      <c r="L17" s="21" t="str">
        <f t="shared" si="5"/>
        <v>Dp</v>
      </c>
      <c r="M17" s="21" t="e">
        <f t="shared" si="6"/>
        <v>#NUM!</v>
      </c>
      <c r="N17" s="12" t="e">
        <f t="shared" si="7"/>
        <v>#VALUE!</v>
      </c>
      <c r="O17" s="12" t="b">
        <f t="shared" si="7"/>
        <v>0</v>
      </c>
      <c r="P17" s="12">
        <v>0</v>
      </c>
      <c r="Q17" s="12">
        <v>0</v>
      </c>
      <c r="R17" s="12">
        <v>0</v>
      </c>
      <c r="S17" s="106" t="e">
        <f>_xll.qlRateHelperRate(R17,Trigger)</f>
        <v>#NUM!</v>
      </c>
      <c r="T17" s="13" t="e">
        <f>_xll.qlRateHelperEarliestDate(R17,Trigger)</f>
        <v>#NUM!</v>
      </c>
      <c r="U17" s="13" t="e">
        <f ca="1">_xll.qlRateHelperLatestDate(R17,Trigger)</f>
        <v>#NAME?</v>
      </c>
      <c r="V17" s="144" t="e">
        <v>#VALUE!</v>
      </c>
    </row>
    <row r="18" spans="1:22" ht="11.25" customHeight="1" x14ac:dyDescent="0.2">
      <c r="A18" s="3" t="s">
        <v>39</v>
      </c>
      <c r="B18" s="3" t="e">
        <v>#NUM!</v>
      </c>
      <c r="C18" s="18" t="e">
        <f t="shared" si="3"/>
        <v>#NUM!</v>
      </c>
      <c r="D18" s="16" t="e">
        <f t="shared" si="4"/>
        <v>#NUM!</v>
      </c>
      <c r="E18" s="18" t="e">
        <f t="shared" si="0"/>
        <v>#NUM!</v>
      </c>
      <c r="F18" s="19" t="e">
        <f t="shared" si="1"/>
        <v>#NUM!</v>
      </c>
      <c r="G18" s="4" t="s">
        <v>41</v>
      </c>
      <c r="H18" s="5" t="e">
        <v>#NUM!</v>
      </c>
      <c r="I18" s="6" t="e">
        <f>_xll.qlDepositRateHelper2(,H18,IF(RIGHT(C18,1)="N","1D",C18),D18,Calendar,E18,F18,G18,,Trigger)</f>
        <v>#VALUE!</v>
      </c>
      <c r="J18" s="16" t="b">
        <f>IF(ISERROR(I18),FALSE,TRUE)</f>
        <v>0</v>
      </c>
      <c r="L18" s="22" t="str">
        <f t="shared" si="5"/>
        <v>Dp</v>
      </c>
      <c r="M18" s="22" t="e">
        <f t="shared" si="6"/>
        <v>#NUM!</v>
      </c>
      <c r="N18" s="14" t="e">
        <f t="shared" si="7"/>
        <v>#VALUE!</v>
      </c>
      <c r="O18" s="14" t="b">
        <f t="shared" si="7"/>
        <v>0</v>
      </c>
      <c r="P18" s="12">
        <v>0</v>
      </c>
      <c r="Q18" s="12">
        <v>0</v>
      </c>
      <c r="R18" s="12">
        <v>0</v>
      </c>
      <c r="S18" s="106" t="e">
        <f>_xll.qlRateHelperRate(R18,Trigger)</f>
        <v>#NUM!</v>
      </c>
      <c r="T18" s="13" t="e">
        <f>_xll.qlRateHelperEarliestDate(R18,Trigger)</f>
        <v>#NUM!</v>
      </c>
      <c r="U18" s="13" t="e">
        <f ca="1">_xll.qlRateHelperLatestDate(R18,Trigger)</f>
        <v>#NAME?</v>
      </c>
      <c r="V18" s="144" t="e">
        <v>#VALUE!</v>
      </c>
    </row>
    <row r="19" spans="1:22" ht="11.25" customHeight="1" x14ac:dyDescent="0.2">
      <c r="C19" s="64"/>
      <c r="D19" s="64"/>
      <c r="E19" s="64"/>
      <c r="L19" s="21" t="str">
        <f>A22</f>
        <v>Sw</v>
      </c>
      <c r="M19" s="21" t="e">
        <f>D22</f>
        <v>#NUM!</v>
      </c>
      <c r="N19" s="21" t="e">
        <f>I22</f>
        <v>#VALUE!</v>
      </c>
      <c r="O19" s="21" t="b">
        <f>J22</f>
        <v>0</v>
      </c>
      <c r="P19" s="12">
        <v>0</v>
      </c>
      <c r="Q19" s="12">
        <v>0</v>
      </c>
      <c r="R19" s="12">
        <v>0</v>
      </c>
      <c r="S19" s="106" t="e">
        <f>_xll.qlRateHelperRate(R19,Trigger)</f>
        <v>#NUM!</v>
      </c>
      <c r="T19" s="13" t="e">
        <f>_xll.qlRateHelperEarliestDate(R19,Trigger)</f>
        <v>#NUM!</v>
      </c>
      <c r="U19" s="13" t="e">
        <f ca="1">_xll.qlRateHelperLatestDate(R19,Trigger)</f>
        <v>#NAME?</v>
      </c>
      <c r="V19" s="144" t="e">
        <v>#VALUE!</v>
      </c>
    </row>
    <row r="20" spans="1:22" ht="11.25" customHeight="1" x14ac:dyDescent="0.2">
      <c r="C20" s="64"/>
      <c r="D20" s="64"/>
      <c r="E20" s="64"/>
      <c r="G20" s="80" t="s">
        <v>6</v>
      </c>
      <c r="H20" s="97" t="s">
        <v>9</v>
      </c>
      <c r="I20" s="24" t="str">
        <f>_xll.qlEuribor(,G20,,,Trigger)</f>
        <v>obj_00399#0010</v>
      </c>
      <c r="J20" s="64"/>
      <c r="L20" s="21" t="str">
        <f t="shared" ref="L20:L82" si="8">A23</f>
        <v>Sw</v>
      </c>
      <c r="M20" s="21" t="e">
        <f t="shared" ref="M20:M82" si="9">D23</f>
        <v>#NUM!</v>
      </c>
      <c r="N20" s="21" t="e">
        <f t="shared" ref="N20:N82" si="10">I23</f>
        <v>#VALUE!</v>
      </c>
      <c r="O20" s="21" t="b">
        <f t="shared" ref="O20:O82" si="11">J23</f>
        <v>0</v>
      </c>
      <c r="P20" s="12">
        <v>0</v>
      </c>
      <c r="Q20" s="12">
        <v>0</v>
      </c>
      <c r="R20" s="12">
        <v>0</v>
      </c>
      <c r="S20" s="106" t="e">
        <f>_xll.qlRateHelperRate(R20,Trigger)</f>
        <v>#NUM!</v>
      </c>
      <c r="T20" s="13" t="e">
        <f>_xll.qlRateHelperEarliestDate(R20,Trigger)</f>
        <v>#NUM!</v>
      </c>
      <c r="U20" s="13" t="e">
        <f ca="1">_xll.qlRateHelperLatestDate(R20,Trigger)</f>
        <v>#NAME?</v>
      </c>
      <c r="V20" s="144" t="e">
        <v>#VALUE!</v>
      </c>
    </row>
    <row r="21" spans="1:22" ht="11.25" customHeight="1" x14ac:dyDescent="0.2">
      <c r="A21" s="97" t="s">
        <v>18</v>
      </c>
      <c r="B21" s="97"/>
      <c r="C21" s="97" t="s">
        <v>11</v>
      </c>
      <c r="D21" s="97" t="s">
        <v>1</v>
      </c>
      <c r="E21" s="97" t="s">
        <v>13</v>
      </c>
      <c r="F21" s="97" t="s">
        <v>12</v>
      </c>
      <c r="G21" s="97" t="s">
        <v>4</v>
      </c>
      <c r="H21" s="97" t="s">
        <v>5</v>
      </c>
      <c r="I21" s="97" t="s">
        <v>36</v>
      </c>
      <c r="J21" s="97" t="s">
        <v>40</v>
      </c>
      <c r="L21" s="21" t="str">
        <f t="shared" si="8"/>
        <v>Sw</v>
      </c>
      <c r="M21" s="21" t="e">
        <f t="shared" si="9"/>
        <v>#NUM!</v>
      </c>
      <c r="N21" s="21" t="e">
        <f t="shared" si="10"/>
        <v>#VALUE!</v>
      </c>
      <c r="O21" s="21" t="b">
        <f t="shared" si="11"/>
        <v>0</v>
      </c>
      <c r="P21" s="12">
        <v>0</v>
      </c>
      <c r="Q21" s="12">
        <v>0</v>
      </c>
      <c r="R21" s="12">
        <v>0</v>
      </c>
      <c r="S21" s="106" t="e">
        <f>_xll.qlRateHelperRate(R21,Trigger)</f>
        <v>#NUM!</v>
      </c>
      <c r="T21" s="13" t="e">
        <f>_xll.qlRateHelperEarliestDate(R21,Trigger)</f>
        <v>#NUM!</v>
      </c>
      <c r="U21" s="13" t="e">
        <f ca="1">_xll.qlRateHelperLatestDate(R21,Trigger)</f>
        <v>#NAME?</v>
      </c>
      <c r="V21" s="144" t="e">
        <v>#VALUE!</v>
      </c>
    </row>
    <row r="22" spans="1:22" ht="11.25" customHeight="1" x14ac:dyDescent="0.2">
      <c r="A22" s="88" t="s">
        <v>38</v>
      </c>
      <c r="B22" s="123"/>
      <c r="C22" s="123" t="s">
        <v>14</v>
      </c>
      <c r="D22" s="124" t="e">
        <f t="array" ref="D22:D85">_xll.ohFilter(#REF!,#REF!="Sw")</f>
        <v>#NUM!</v>
      </c>
      <c r="E22" s="112" t="s">
        <v>15</v>
      </c>
      <c r="F22" s="123" t="s">
        <v>16</v>
      </c>
      <c r="G22" s="112" t="s">
        <v>17</v>
      </c>
      <c r="H22" s="125" t="e">
        <f t="array" ref="H22:H85">_xll.ohFilter(#REF!,#REF!="Sw")/100</f>
        <v>#NUM!</v>
      </c>
      <c r="I22" s="86" t="e">
        <f>_xll.qlSwapRateHelper2(,$H22,,$D22,Calendar,$F22,$E22,$G22,$I$20,0,C22,Discounting,Permanent,Trigger,ObjectOverwrite)</f>
        <v>#VALUE!</v>
      </c>
      <c r="J22" s="115" t="b">
        <f t="shared" ref="J22:J66" si="12">IF(ISERROR(I22),FALSE,TRUE)</f>
        <v>0</v>
      </c>
      <c r="L22" s="21" t="str">
        <f t="shared" si="8"/>
        <v>Sw</v>
      </c>
      <c r="M22" s="21" t="e">
        <f t="shared" si="9"/>
        <v>#NUM!</v>
      </c>
      <c r="N22" s="21" t="e">
        <f t="shared" si="10"/>
        <v>#VALUE!</v>
      </c>
      <c r="O22" s="21" t="b">
        <f t="shared" si="11"/>
        <v>0</v>
      </c>
      <c r="P22" s="12">
        <v>0</v>
      </c>
      <c r="Q22" s="12">
        <v>0</v>
      </c>
      <c r="R22" s="12">
        <v>0</v>
      </c>
      <c r="S22" s="106" t="e">
        <f>_xll.qlRateHelperRate(R22,Trigger)</f>
        <v>#NUM!</v>
      </c>
      <c r="T22" s="13" t="e">
        <f>_xll.qlRateHelperEarliestDate(R22,Trigger)</f>
        <v>#NUM!</v>
      </c>
      <c r="U22" s="13" t="e">
        <f ca="1">_xll.qlRateHelperLatestDate(R22,Trigger)</f>
        <v>#NAME?</v>
      </c>
      <c r="V22" s="144" t="e">
        <v>#VALUE!</v>
      </c>
    </row>
    <row r="23" spans="1:22" ht="11.25" customHeight="1" x14ac:dyDescent="0.2">
      <c r="A23" s="96" t="s">
        <v>38</v>
      </c>
      <c r="B23" s="126"/>
      <c r="C23" s="126" t="s">
        <v>14</v>
      </c>
      <c r="D23" s="127" t="e">
        <v>#NUM!</v>
      </c>
      <c r="E23" s="119" t="s">
        <v>15</v>
      </c>
      <c r="F23" s="126" t="s">
        <v>16</v>
      </c>
      <c r="G23" s="119" t="s">
        <v>17</v>
      </c>
      <c r="H23" s="128" t="e">
        <v>#NUM!</v>
      </c>
      <c r="I23" s="94" t="e">
        <f>_xll.qlSwapRateHelper2(,$H23,,$D23,Calendar,$F23,$E23,$G23,$I$20,0,C23,Discounting,Permanent,Trigger,ObjectOverwrite)</f>
        <v>#VALUE!</v>
      </c>
      <c r="J23" s="122" t="b">
        <f t="shared" si="12"/>
        <v>0</v>
      </c>
      <c r="L23" s="21" t="str">
        <f t="shared" si="8"/>
        <v>Sw</v>
      </c>
      <c r="M23" s="21" t="e">
        <f t="shared" si="9"/>
        <v>#NUM!</v>
      </c>
      <c r="N23" s="21" t="e">
        <f t="shared" si="10"/>
        <v>#VALUE!</v>
      </c>
      <c r="O23" s="21" t="b">
        <f t="shared" si="11"/>
        <v>0</v>
      </c>
      <c r="P23" s="12">
        <v>0</v>
      </c>
      <c r="Q23" s="12">
        <v>0</v>
      </c>
      <c r="R23" s="12">
        <v>0</v>
      </c>
      <c r="S23" s="106" t="e">
        <f>_xll.qlRateHelperRate(R23,Trigger)</f>
        <v>#NUM!</v>
      </c>
      <c r="T23" s="13" t="e">
        <f>_xll.qlRateHelperEarliestDate(R23,Trigger)</f>
        <v>#NUM!</v>
      </c>
      <c r="U23" s="13" t="e">
        <f ca="1">_xll.qlRateHelperLatestDate(R23,Trigger)</f>
        <v>#NAME?</v>
      </c>
      <c r="V23" s="144" t="e">
        <v>#VALUE!</v>
      </c>
    </row>
    <row r="24" spans="1:22" ht="11.25" customHeight="1" x14ac:dyDescent="0.2">
      <c r="A24" s="96" t="s">
        <v>38</v>
      </c>
      <c r="B24" s="126"/>
      <c r="C24" s="126" t="s">
        <v>14</v>
      </c>
      <c r="D24" s="127" t="e">
        <v>#NUM!</v>
      </c>
      <c r="E24" s="119" t="s">
        <v>15</v>
      </c>
      <c r="F24" s="126" t="s">
        <v>16</v>
      </c>
      <c r="G24" s="119" t="s">
        <v>17</v>
      </c>
      <c r="H24" s="128" t="e">
        <v>#NUM!</v>
      </c>
      <c r="I24" s="94" t="e">
        <f>_xll.qlSwapRateHelper2(,$H24,,$D24,Calendar,$F24,$E24,$G24,$I$20,0,C24,Discounting,Permanent,Trigger,ObjectOverwrite)</f>
        <v>#VALUE!</v>
      </c>
      <c r="J24" s="122" t="b">
        <f t="shared" si="12"/>
        <v>0</v>
      </c>
      <c r="L24" s="21" t="str">
        <f t="shared" si="8"/>
        <v>Sw</v>
      </c>
      <c r="M24" s="21" t="e">
        <f t="shared" si="9"/>
        <v>#NUM!</v>
      </c>
      <c r="N24" s="21" t="e">
        <f t="shared" si="10"/>
        <v>#VALUE!</v>
      </c>
      <c r="O24" s="21" t="b">
        <f t="shared" si="11"/>
        <v>0</v>
      </c>
      <c r="P24" s="12">
        <v>0</v>
      </c>
      <c r="Q24" s="12">
        <v>0</v>
      </c>
      <c r="R24" s="12">
        <v>0</v>
      </c>
      <c r="S24" s="106" t="e">
        <f>_xll.qlRateHelperRate(R24,Trigger)</f>
        <v>#NUM!</v>
      </c>
      <c r="T24" s="13" t="e">
        <f>_xll.qlRateHelperEarliestDate(R24,Trigger)</f>
        <v>#NUM!</v>
      </c>
      <c r="U24" s="13" t="e">
        <f ca="1">_xll.qlRateHelperLatestDate(R24,Trigger)</f>
        <v>#NAME?</v>
      </c>
      <c r="V24" s="144" t="e">
        <v>#VALUE!</v>
      </c>
    </row>
    <row r="25" spans="1:22" ht="11.25" customHeight="1" x14ac:dyDescent="0.2">
      <c r="A25" s="96" t="s">
        <v>38</v>
      </c>
      <c r="B25" s="126"/>
      <c r="C25" s="126" t="s">
        <v>14</v>
      </c>
      <c r="D25" s="127" t="e">
        <v>#NUM!</v>
      </c>
      <c r="E25" s="119" t="s">
        <v>15</v>
      </c>
      <c r="F25" s="126" t="s">
        <v>16</v>
      </c>
      <c r="G25" s="119" t="s">
        <v>17</v>
      </c>
      <c r="H25" s="128" t="e">
        <v>#NUM!</v>
      </c>
      <c r="I25" s="94" t="e">
        <f>_xll.qlSwapRateHelper2(,$H25,,$D25,Calendar,$F25,$E25,$G25,$I$20,0,C25,Discounting,Permanent,Trigger,ObjectOverwrite)</f>
        <v>#VALUE!</v>
      </c>
      <c r="J25" s="122" t="b">
        <f t="shared" si="12"/>
        <v>0</v>
      </c>
      <c r="L25" s="21" t="str">
        <f t="shared" si="8"/>
        <v>Sw</v>
      </c>
      <c r="M25" s="21" t="e">
        <f t="shared" si="9"/>
        <v>#NUM!</v>
      </c>
      <c r="N25" s="21" t="e">
        <f t="shared" si="10"/>
        <v>#VALUE!</v>
      </c>
      <c r="O25" s="21" t="b">
        <f t="shared" si="11"/>
        <v>0</v>
      </c>
      <c r="P25" s="12">
        <v>0</v>
      </c>
      <c r="Q25" s="12">
        <v>0</v>
      </c>
      <c r="R25" s="12">
        <v>0</v>
      </c>
      <c r="S25" s="106" t="e">
        <f>_xll.qlRateHelperRate(R25,Trigger)</f>
        <v>#NUM!</v>
      </c>
      <c r="T25" s="13" t="e">
        <f>_xll.qlRateHelperEarliestDate(R25,Trigger)</f>
        <v>#NUM!</v>
      </c>
      <c r="U25" s="13" t="e">
        <f ca="1">_xll.qlRateHelperLatestDate(R25,Trigger)</f>
        <v>#NAME?</v>
      </c>
      <c r="V25" s="144" t="e">
        <v>#VALUE!</v>
      </c>
    </row>
    <row r="26" spans="1:22" ht="11.25" customHeight="1" x14ac:dyDescent="0.2">
      <c r="A26" s="96" t="s">
        <v>38</v>
      </c>
      <c r="B26" s="126"/>
      <c r="C26" s="126" t="s">
        <v>14</v>
      </c>
      <c r="D26" s="127" t="e">
        <v>#NUM!</v>
      </c>
      <c r="E26" s="119" t="s">
        <v>15</v>
      </c>
      <c r="F26" s="126" t="s">
        <v>16</v>
      </c>
      <c r="G26" s="119" t="s">
        <v>17</v>
      </c>
      <c r="H26" s="128" t="e">
        <v>#NUM!</v>
      </c>
      <c r="I26" s="94" t="e">
        <f>_xll.qlSwapRateHelper2(,$H26,,$D26,Calendar,$F26,$E26,$G26,$I$20,0,C26,Discounting,Permanent,Trigger,ObjectOverwrite)</f>
        <v>#VALUE!</v>
      </c>
      <c r="J26" s="122" t="b">
        <f t="shared" si="12"/>
        <v>0</v>
      </c>
      <c r="L26" s="21" t="str">
        <f t="shared" si="8"/>
        <v>Sw</v>
      </c>
      <c r="M26" s="21" t="e">
        <f t="shared" si="9"/>
        <v>#NUM!</v>
      </c>
      <c r="N26" s="21" t="e">
        <f t="shared" si="10"/>
        <v>#VALUE!</v>
      </c>
      <c r="O26" s="21" t="b">
        <f t="shared" si="11"/>
        <v>0</v>
      </c>
      <c r="P26" s="12">
        <v>0</v>
      </c>
      <c r="Q26" s="12">
        <v>0</v>
      </c>
      <c r="R26" s="12">
        <v>0</v>
      </c>
      <c r="S26" s="106" t="e">
        <f>_xll.qlRateHelperRate(R26,Trigger)</f>
        <v>#NUM!</v>
      </c>
      <c r="T26" s="13" t="e">
        <f>_xll.qlRateHelperEarliestDate(R26,Trigger)</f>
        <v>#NUM!</v>
      </c>
      <c r="U26" s="13" t="e">
        <f ca="1">_xll.qlRateHelperLatestDate(R26,Trigger)</f>
        <v>#NAME?</v>
      </c>
      <c r="V26" s="144" t="e">
        <v>#VALUE!</v>
      </c>
    </row>
    <row r="27" spans="1:22" ht="11.25" customHeight="1" x14ac:dyDescent="0.2">
      <c r="A27" s="96" t="s">
        <v>38</v>
      </c>
      <c r="B27" s="126"/>
      <c r="C27" s="126" t="s">
        <v>14</v>
      </c>
      <c r="D27" s="127" t="e">
        <v>#NUM!</v>
      </c>
      <c r="E27" s="119" t="s">
        <v>15</v>
      </c>
      <c r="F27" s="126" t="s">
        <v>16</v>
      </c>
      <c r="G27" s="119" t="s">
        <v>17</v>
      </c>
      <c r="H27" s="128" t="e">
        <v>#NUM!</v>
      </c>
      <c r="I27" s="94" t="e">
        <f>_xll.qlSwapRateHelper2(,$H27,,$D27,Calendar,$F27,$E27,$G27,$I$20,0,C27,Discounting,Permanent,Trigger,ObjectOverwrite)</f>
        <v>#VALUE!</v>
      </c>
      <c r="J27" s="122" t="b">
        <f t="shared" si="12"/>
        <v>0</v>
      </c>
      <c r="L27" s="21" t="str">
        <f t="shared" si="8"/>
        <v>Sw</v>
      </c>
      <c r="M27" s="21" t="e">
        <f t="shared" si="9"/>
        <v>#NUM!</v>
      </c>
      <c r="N27" s="21" t="e">
        <f t="shared" si="10"/>
        <v>#VALUE!</v>
      </c>
      <c r="O27" s="21" t="b">
        <f t="shared" si="11"/>
        <v>0</v>
      </c>
      <c r="P27" s="12">
        <v>0</v>
      </c>
      <c r="Q27" s="12">
        <v>0</v>
      </c>
      <c r="R27" s="12">
        <v>0</v>
      </c>
      <c r="S27" s="106" t="e">
        <f>_xll.qlRateHelperRate(R27,Trigger)</f>
        <v>#NUM!</v>
      </c>
      <c r="T27" s="13" t="e">
        <f>_xll.qlRateHelperEarliestDate(R27,Trigger)</f>
        <v>#NUM!</v>
      </c>
      <c r="U27" s="13" t="e">
        <f ca="1">_xll.qlRateHelperLatestDate(R27,Trigger)</f>
        <v>#NAME?</v>
      </c>
      <c r="V27" s="144" t="e">
        <v>#VALUE!</v>
      </c>
    </row>
    <row r="28" spans="1:22" ht="11.25" customHeight="1" x14ac:dyDescent="0.2">
      <c r="A28" s="96" t="s">
        <v>38</v>
      </c>
      <c r="B28" s="126"/>
      <c r="C28" s="126" t="s">
        <v>14</v>
      </c>
      <c r="D28" s="127" t="e">
        <v>#NUM!</v>
      </c>
      <c r="E28" s="119" t="s">
        <v>15</v>
      </c>
      <c r="F28" s="126" t="s">
        <v>16</v>
      </c>
      <c r="G28" s="119" t="s">
        <v>17</v>
      </c>
      <c r="H28" s="128" t="e">
        <v>#NUM!</v>
      </c>
      <c r="I28" s="94" t="e">
        <f>_xll.qlSwapRateHelper2(,$H28,,$D28,Calendar,$F28,$E28,$G28,$I$20,0,C28,Discounting,Permanent,Trigger,ObjectOverwrite)</f>
        <v>#VALUE!</v>
      </c>
      <c r="J28" s="122" t="b">
        <f t="shared" si="12"/>
        <v>0</v>
      </c>
      <c r="L28" s="21" t="str">
        <f t="shared" si="8"/>
        <v>Sw</v>
      </c>
      <c r="M28" s="21" t="e">
        <f t="shared" si="9"/>
        <v>#NUM!</v>
      </c>
      <c r="N28" s="21" t="e">
        <f t="shared" si="10"/>
        <v>#VALUE!</v>
      </c>
      <c r="O28" s="21" t="b">
        <f t="shared" si="11"/>
        <v>0</v>
      </c>
      <c r="P28" s="12">
        <v>0</v>
      </c>
      <c r="Q28" s="12">
        <v>0</v>
      </c>
      <c r="R28" s="12">
        <v>0</v>
      </c>
      <c r="S28" s="106" t="e">
        <f>_xll.qlRateHelperRate(R28,Trigger)</f>
        <v>#NUM!</v>
      </c>
      <c r="T28" s="13" t="e">
        <f>_xll.qlRateHelperEarliestDate(R28,Trigger)</f>
        <v>#NUM!</v>
      </c>
      <c r="U28" s="13" t="e">
        <f ca="1">_xll.qlRateHelperLatestDate(R28,Trigger)</f>
        <v>#NAME?</v>
      </c>
      <c r="V28" s="144" t="e">
        <v>#VALUE!</v>
      </c>
    </row>
    <row r="29" spans="1:22" ht="11.25" customHeight="1" x14ac:dyDescent="0.2">
      <c r="A29" s="96" t="s">
        <v>38</v>
      </c>
      <c r="B29" s="126"/>
      <c r="C29" s="126" t="s">
        <v>14</v>
      </c>
      <c r="D29" s="127" t="e">
        <v>#NUM!</v>
      </c>
      <c r="E29" s="119" t="s">
        <v>15</v>
      </c>
      <c r="F29" s="126" t="s">
        <v>16</v>
      </c>
      <c r="G29" s="119" t="s">
        <v>17</v>
      </c>
      <c r="H29" s="128" t="e">
        <v>#NUM!</v>
      </c>
      <c r="I29" s="94" t="e">
        <f>_xll.qlSwapRateHelper2(,$H29,,$D29,Calendar,$F29,$E29,$G29,$I$20,0,C29,Discounting,Permanent,Trigger,ObjectOverwrite)</f>
        <v>#VALUE!</v>
      </c>
      <c r="J29" s="122" t="b">
        <f t="shared" si="12"/>
        <v>0</v>
      </c>
      <c r="L29" s="21" t="str">
        <f t="shared" si="8"/>
        <v>Sw</v>
      </c>
      <c r="M29" s="21" t="e">
        <f t="shared" si="9"/>
        <v>#NUM!</v>
      </c>
      <c r="N29" s="21" t="e">
        <f t="shared" si="10"/>
        <v>#VALUE!</v>
      </c>
      <c r="O29" s="21" t="b">
        <f t="shared" si="11"/>
        <v>0</v>
      </c>
      <c r="P29" s="12">
        <v>0</v>
      </c>
      <c r="Q29" s="12">
        <v>0</v>
      </c>
      <c r="R29" s="12">
        <v>0</v>
      </c>
      <c r="S29" s="106" t="e">
        <f>_xll.qlRateHelperRate(R29,Trigger)</f>
        <v>#NUM!</v>
      </c>
      <c r="T29" s="13" t="e">
        <f>_xll.qlRateHelperEarliestDate(R29,Trigger)</f>
        <v>#NUM!</v>
      </c>
      <c r="U29" s="13" t="e">
        <f ca="1">_xll.qlRateHelperLatestDate(R29,Trigger)</f>
        <v>#NAME?</v>
      </c>
      <c r="V29" s="144" t="e">
        <v>#VALUE!</v>
      </c>
    </row>
    <row r="30" spans="1:22" ht="11.25" customHeight="1" x14ac:dyDescent="0.2">
      <c r="A30" s="96" t="s">
        <v>38</v>
      </c>
      <c r="B30" s="126"/>
      <c r="C30" s="126" t="s">
        <v>14</v>
      </c>
      <c r="D30" s="127" t="e">
        <v>#NUM!</v>
      </c>
      <c r="E30" s="119" t="s">
        <v>15</v>
      </c>
      <c r="F30" s="126" t="s">
        <v>16</v>
      </c>
      <c r="G30" s="119" t="s">
        <v>17</v>
      </c>
      <c r="H30" s="128" t="e">
        <v>#NUM!</v>
      </c>
      <c r="I30" s="94" t="e">
        <f>_xll.qlSwapRateHelper2(,$H30,,$D30,Calendar,$F30,$E30,$G30,$I$20,0,C30,Discounting,Permanent,Trigger,ObjectOverwrite)</f>
        <v>#VALUE!</v>
      </c>
      <c r="J30" s="122" t="b">
        <f t="shared" si="12"/>
        <v>0</v>
      </c>
      <c r="L30" s="21" t="str">
        <f t="shared" si="8"/>
        <v>Sw</v>
      </c>
      <c r="M30" s="21" t="e">
        <f t="shared" si="9"/>
        <v>#NUM!</v>
      </c>
      <c r="N30" s="21" t="e">
        <f t="shared" si="10"/>
        <v>#VALUE!</v>
      </c>
      <c r="O30" s="21" t="b">
        <f t="shared" si="11"/>
        <v>0</v>
      </c>
      <c r="P30" s="12">
        <v>0</v>
      </c>
      <c r="Q30" s="12">
        <v>0</v>
      </c>
      <c r="R30" s="12">
        <v>0</v>
      </c>
      <c r="S30" s="106" t="e">
        <f>_xll.qlRateHelperRate(R30,Trigger)</f>
        <v>#NUM!</v>
      </c>
      <c r="T30" s="13" t="e">
        <f>_xll.qlRateHelperEarliestDate(R30,Trigger)</f>
        <v>#NUM!</v>
      </c>
      <c r="U30" s="13" t="e">
        <f ca="1">_xll.qlRateHelperLatestDate(R30,Trigger)</f>
        <v>#NAME?</v>
      </c>
      <c r="V30" s="144" t="e">
        <v>#VALUE!</v>
      </c>
    </row>
    <row r="31" spans="1:22" ht="11.25" customHeight="1" x14ac:dyDescent="0.2">
      <c r="A31" s="96" t="s">
        <v>38</v>
      </c>
      <c r="B31" s="126"/>
      <c r="C31" s="126" t="s">
        <v>14</v>
      </c>
      <c r="D31" s="127" t="e">
        <v>#NUM!</v>
      </c>
      <c r="E31" s="119" t="s">
        <v>15</v>
      </c>
      <c r="F31" s="126" t="s">
        <v>16</v>
      </c>
      <c r="G31" s="119" t="s">
        <v>17</v>
      </c>
      <c r="H31" s="128" t="e">
        <v>#NUM!</v>
      </c>
      <c r="I31" s="94" t="e">
        <f>_xll.qlSwapRateHelper2(,$H31,,$D31,Calendar,$F31,$E31,$G31,$I$20,0,C31,Discounting,Permanent,Trigger,ObjectOverwrite)</f>
        <v>#VALUE!</v>
      </c>
      <c r="J31" s="122" t="b">
        <f t="shared" si="12"/>
        <v>0</v>
      </c>
      <c r="L31" s="21" t="str">
        <f t="shared" si="8"/>
        <v>Sw</v>
      </c>
      <c r="M31" s="21" t="e">
        <f t="shared" si="9"/>
        <v>#NUM!</v>
      </c>
      <c r="N31" s="21" t="e">
        <f t="shared" si="10"/>
        <v>#VALUE!</v>
      </c>
      <c r="O31" s="21" t="b">
        <f t="shared" si="11"/>
        <v>0</v>
      </c>
      <c r="P31" s="12">
        <v>0</v>
      </c>
      <c r="Q31" s="12">
        <v>0</v>
      </c>
      <c r="R31" s="12">
        <v>0</v>
      </c>
      <c r="S31" s="106" t="e">
        <f>_xll.qlRateHelperRate(R31,Trigger)</f>
        <v>#NUM!</v>
      </c>
      <c r="T31" s="13" t="e">
        <f>_xll.qlRateHelperEarliestDate(R31,Trigger)</f>
        <v>#NUM!</v>
      </c>
      <c r="U31" s="13" t="e">
        <f ca="1">_xll.qlRateHelperLatestDate(R31,Trigger)</f>
        <v>#NAME?</v>
      </c>
      <c r="V31" s="144" t="e">
        <v>#VALUE!</v>
      </c>
    </row>
    <row r="32" spans="1:22" ht="11.25" customHeight="1" x14ac:dyDescent="0.2">
      <c r="A32" s="96" t="s">
        <v>38</v>
      </c>
      <c r="B32" s="126"/>
      <c r="C32" s="126" t="s">
        <v>14</v>
      </c>
      <c r="D32" s="127" t="e">
        <v>#NUM!</v>
      </c>
      <c r="E32" s="119" t="s">
        <v>15</v>
      </c>
      <c r="F32" s="126" t="s">
        <v>16</v>
      </c>
      <c r="G32" s="119" t="s">
        <v>17</v>
      </c>
      <c r="H32" s="128" t="e">
        <v>#NUM!</v>
      </c>
      <c r="I32" s="94" t="e">
        <f>_xll.qlSwapRateHelper2(,$H32,,$D32,Calendar,$F32,$E32,$G32,$I$20,0,C32,Discounting,Permanent,Trigger,ObjectOverwrite)</f>
        <v>#VALUE!</v>
      </c>
      <c r="J32" s="122" t="b">
        <f t="shared" si="12"/>
        <v>0</v>
      </c>
      <c r="L32" s="21" t="str">
        <f t="shared" si="8"/>
        <v>Sw</v>
      </c>
      <c r="M32" s="21" t="e">
        <f t="shared" si="9"/>
        <v>#NUM!</v>
      </c>
      <c r="N32" s="21" t="e">
        <f t="shared" si="10"/>
        <v>#VALUE!</v>
      </c>
      <c r="O32" s="21" t="b">
        <f t="shared" si="11"/>
        <v>0</v>
      </c>
      <c r="P32" s="12">
        <v>0</v>
      </c>
      <c r="Q32" s="12">
        <v>0</v>
      </c>
      <c r="R32" s="12">
        <v>0</v>
      </c>
      <c r="S32" s="106" t="e">
        <f>_xll.qlRateHelperRate(R32,Trigger)</f>
        <v>#NUM!</v>
      </c>
      <c r="T32" s="13" t="e">
        <f>_xll.qlRateHelperEarliestDate(R32,Trigger)</f>
        <v>#NUM!</v>
      </c>
      <c r="U32" s="13" t="e">
        <f ca="1">_xll.qlRateHelperLatestDate(R32,Trigger)</f>
        <v>#NAME?</v>
      </c>
      <c r="V32" s="144" t="e">
        <v>#VALUE!</v>
      </c>
    </row>
    <row r="33" spans="1:22" ht="11.25" customHeight="1" x14ac:dyDescent="0.2">
      <c r="A33" s="96" t="s">
        <v>38</v>
      </c>
      <c r="B33" s="126"/>
      <c r="C33" s="126" t="s">
        <v>14</v>
      </c>
      <c r="D33" s="127" t="e">
        <v>#NUM!</v>
      </c>
      <c r="E33" s="119" t="s">
        <v>15</v>
      </c>
      <c r="F33" s="126" t="s">
        <v>16</v>
      </c>
      <c r="G33" s="119" t="s">
        <v>17</v>
      </c>
      <c r="H33" s="128" t="e">
        <v>#NUM!</v>
      </c>
      <c r="I33" s="94" t="e">
        <f>_xll.qlSwapRateHelper2(,$H33,,$D33,Calendar,$F33,$E33,$G33,$I$20,0,C33,Discounting,Permanent,Trigger,ObjectOverwrite)</f>
        <v>#VALUE!</v>
      </c>
      <c r="J33" s="122" t="b">
        <f t="shared" si="12"/>
        <v>0</v>
      </c>
      <c r="L33" s="21" t="str">
        <f t="shared" si="8"/>
        <v>Sw</v>
      </c>
      <c r="M33" s="21" t="e">
        <f t="shared" si="9"/>
        <v>#NUM!</v>
      </c>
      <c r="N33" s="21" t="e">
        <f t="shared" si="10"/>
        <v>#VALUE!</v>
      </c>
      <c r="O33" s="21" t="b">
        <f t="shared" si="11"/>
        <v>0</v>
      </c>
      <c r="P33" s="12">
        <v>0</v>
      </c>
      <c r="Q33" s="12">
        <v>0</v>
      </c>
      <c r="R33" s="12">
        <v>0</v>
      </c>
      <c r="S33" s="106" t="e">
        <f>_xll.qlRateHelperRate(R33,Trigger)</f>
        <v>#NUM!</v>
      </c>
      <c r="T33" s="13" t="e">
        <f>_xll.qlRateHelperEarliestDate(R33,Trigger)</f>
        <v>#NUM!</v>
      </c>
      <c r="U33" s="13" t="e">
        <f ca="1">_xll.qlRateHelperLatestDate(R33,Trigger)</f>
        <v>#NAME?</v>
      </c>
      <c r="V33" s="144" t="e">
        <v>#VALUE!</v>
      </c>
    </row>
    <row r="34" spans="1:22" ht="11.25" customHeight="1" x14ac:dyDescent="0.2">
      <c r="A34" s="96" t="s">
        <v>38</v>
      </c>
      <c r="B34" s="126"/>
      <c r="C34" s="126" t="s">
        <v>14</v>
      </c>
      <c r="D34" s="127" t="e">
        <v>#NUM!</v>
      </c>
      <c r="E34" s="119" t="s">
        <v>15</v>
      </c>
      <c r="F34" s="126" t="s">
        <v>16</v>
      </c>
      <c r="G34" s="119" t="s">
        <v>17</v>
      </c>
      <c r="H34" s="128" t="e">
        <v>#NUM!</v>
      </c>
      <c r="I34" s="94" t="e">
        <f>_xll.qlSwapRateHelper2(,$H34,,$D34,Calendar,$F34,$E34,$G34,$I$20,0,C34,Discounting,Permanent,Trigger,ObjectOverwrite)</f>
        <v>#VALUE!</v>
      </c>
      <c r="J34" s="122" t="b">
        <f t="shared" si="12"/>
        <v>0</v>
      </c>
      <c r="L34" s="21" t="str">
        <f t="shared" si="8"/>
        <v>Sw</v>
      </c>
      <c r="M34" s="21" t="e">
        <f t="shared" si="9"/>
        <v>#NUM!</v>
      </c>
      <c r="N34" s="21" t="e">
        <f t="shared" si="10"/>
        <v>#VALUE!</v>
      </c>
      <c r="O34" s="21" t="b">
        <f t="shared" si="11"/>
        <v>0</v>
      </c>
      <c r="P34" s="12">
        <v>0</v>
      </c>
      <c r="Q34" s="12">
        <v>0</v>
      </c>
      <c r="R34" s="12">
        <v>0</v>
      </c>
      <c r="S34" s="106" t="e">
        <f>_xll.qlRateHelperRate(R34,Trigger)</f>
        <v>#NUM!</v>
      </c>
      <c r="T34" s="13" t="e">
        <f>_xll.qlRateHelperEarliestDate(R34,Trigger)</f>
        <v>#NUM!</v>
      </c>
      <c r="U34" s="13" t="e">
        <f ca="1">_xll.qlRateHelperLatestDate(R34,Trigger)</f>
        <v>#NAME?</v>
      </c>
      <c r="V34" s="144" t="e">
        <v>#VALUE!</v>
      </c>
    </row>
    <row r="35" spans="1:22" ht="11.25" customHeight="1" x14ac:dyDescent="0.2">
      <c r="A35" s="96" t="s">
        <v>38</v>
      </c>
      <c r="B35" s="126"/>
      <c r="C35" s="126" t="s">
        <v>14</v>
      </c>
      <c r="D35" s="127" t="e">
        <v>#NUM!</v>
      </c>
      <c r="E35" s="119" t="s">
        <v>15</v>
      </c>
      <c r="F35" s="126" t="s">
        <v>16</v>
      </c>
      <c r="G35" s="119" t="s">
        <v>17</v>
      </c>
      <c r="H35" s="128" t="e">
        <v>#NUM!</v>
      </c>
      <c r="I35" s="94" t="e">
        <f>_xll.qlSwapRateHelper2(,$H35,,$D35,Calendar,$F35,$E35,$G35,$I$20,0,C35,Discounting,Permanent,Trigger,ObjectOverwrite)</f>
        <v>#VALUE!</v>
      </c>
      <c r="J35" s="122" t="b">
        <f t="shared" si="12"/>
        <v>0</v>
      </c>
      <c r="L35" s="21" t="str">
        <f t="shared" si="8"/>
        <v>Sw</v>
      </c>
      <c r="M35" s="21" t="e">
        <f t="shared" si="9"/>
        <v>#NUM!</v>
      </c>
      <c r="N35" s="21" t="e">
        <f t="shared" si="10"/>
        <v>#VALUE!</v>
      </c>
      <c r="O35" s="21" t="b">
        <f t="shared" si="11"/>
        <v>0</v>
      </c>
      <c r="P35" s="12">
        <v>0</v>
      </c>
      <c r="Q35" s="12">
        <v>0</v>
      </c>
      <c r="R35" s="12">
        <v>0</v>
      </c>
      <c r="S35" s="106" t="e">
        <f>_xll.qlRateHelperRate(R35,Trigger)</f>
        <v>#NUM!</v>
      </c>
      <c r="T35" s="13" t="e">
        <f>_xll.qlRateHelperEarliestDate(R35,Trigger)</f>
        <v>#NUM!</v>
      </c>
      <c r="U35" s="13" t="e">
        <f ca="1">_xll.qlRateHelperLatestDate(R35,Trigger)</f>
        <v>#NAME?</v>
      </c>
      <c r="V35" s="144" t="e">
        <v>#VALUE!</v>
      </c>
    </row>
    <row r="36" spans="1:22" ht="11.25" customHeight="1" x14ac:dyDescent="0.2">
      <c r="A36" s="96" t="s">
        <v>38</v>
      </c>
      <c r="B36" s="126"/>
      <c r="C36" s="126" t="s">
        <v>14</v>
      </c>
      <c r="D36" s="127" t="e">
        <v>#NUM!</v>
      </c>
      <c r="E36" s="119" t="s">
        <v>15</v>
      </c>
      <c r="F36" s="126" t="s">
        <v>16</v>
      </c>
      <c r="G36" s="119" t="s">
        <v>17</v>
      </c>
      <c r="H36" s="128" t="e">
        <v>#NUM!</v>
      </c>
      <c r="I36" s="94" t="e">
        <f>_xll.qlSwapRateHelper2(,$H36,,$D36,Calendar,$F36,$E36,$G36,$I$20,0,C36,Discounting,Permanent,Trigger,ObjectOverwrite)</f>
        <v>#VALUE!</v>
      </c>
      <c r="J36" s="122" t="b">
        <f t="shared" si="12"/>
        <v>0</v>
      </c>
      <c r="L36" s="21" t="str">
        <f t="shared" si="8"/>
        <v>Sw</v>
      </c>
      <c r="M36" s="21" t="e">
        <f t="shared" si="9"/>
        <v>#NUM!</v>
      </c>
      <c r="N36" s="21" t="e">
        <f t="shared" si="10"/>
        <v>#VALUE!</v>
      </c>
      <c r="O36" s="21" t="b">
        <f t="shared" si="11"/>
        <v>0</v>
      </c>
      <c r="P36" s="12">
        <v>0</v>
      </c>
      <c r="Q36" s="12">
        <v>0</v>
      </c>
      <c r="R36" s="12">
        <v>0</v>
      </c>
      <c r="S36" s="106" t="e">
        <f>_xll.qlRateHelperRate(R36,Trigger)</f>
        <v>#NUM!</v>
      </c>
      <c r="T36" s="13" t="e">
        <f>_xll.qlRateHelperEarliestDate(R36,Trigger)</f>
        <v>#NUM!</v>
      </c>
      <c r="U36" s="13" t="e">
        <f ca="1">_xll.qlRateHelperLatestDate(R36,Trigger)</f>
        <v>#NAME?</v>
      </c>
      <c r="V36" s="144" t="e">
        <v>#VALUE!</v>
      </c>
    </row>
    <row r="37" spans="1:22" ht="11.25" customHeight="1" x14ac:dyDescent="0.2">
      <c r="A37" s="96" t="s">
        <v>38</v>
      </c>
      <c r="B37" s="126"/>
      <c r="C37" s="126" t="s">
        <v>14</v>
      </c>
      <c r="D37" s="127" t="e">
        <v>#NUM!</v>
      </c>
      <c r="E37" s="119" t="s">
        <v>15</v>
      </c>
      <c r="F37" s="126" t="s">
        <v>16</v>
      </c>
      <c r="G37" s="119" t="s">
        <v>17</v>
      </c>
      <c r="H37" s="128" t="e">
        <v>#NUM!</v>
      </c>
      <c r="I37" s="94" t="e">
        <f>_xll.qlSwapRateHelper2(,$H37,,$D37,Calendar,$F37,$E37,$G37,$I$20,0,C37,Discounting,Permanent,Trigger,ObjectOverwrite)</f>
        <v>#VALUE!</v>
      </c>
      <c r="J37" s="122" t="b">
        <f t="shared" si="12"/>
        <v>0</v>
      </c>
      <c r="L37" s="21" t="str">
        <f t="shared" si="8"/>
        <v>Sw</v>
      </c>
      <c r="M37" s="21" t="e">
        <f t="shared" si="9"/>
        <v>#NUM!</v>
      </c>
      <c r="N37" s="21" t="e">
        <f t="shared" si="10"/>
        <v>#VALUE!</v>
      </c>
      <c r="O37" s="21" t="b">
        <f t="shared" si="11"/>
        <v>0</v>
      </c>
      <c r="P37" s="12">
        <v>0</v>
      </c>
      <c r="Q37" s="12">
        <v>0</v>
      </c>
      <c r="R37" s="12">
        <v>0</v>
      </c>
      <c r="S37" s="106" t="e">
        <f>_xll.qlRateHelperRate(R37,Trigger)</f>
        <v>#NUM!</v>
      </c>
      <c r="T37" s="13" t="e">
        <f>_xll.qlRateHelperEarliestDate(R37,Trigger)</f>
        <v>#NUM!</v>
      </c>
      <c r="U37" s="13" t="e">
        <f ca="1">_xll.qlRateHelperLatestDate(R37,Trigger)</f>
        <v>#NAME?</v>
      </c>
      <c r="V37" s="144" t="e">
        <v>#VALUE!</v>
      </c>
    </row>
    <row r="38" spans="1:22" ht="11.25" customHeight="1" x14ac:dyDescent="0.2">
      <c r="A38" s="96" t="s">
        <v>38</v>
      </c>
      <c r="B38" s="126"/>
      <c r="C38" s="126" t="s">
        <v>14</v>
      </c>
      <c r="D38" s="127" t="e">
        <v>#NUM!</v>
      </c>
      <c r="E38" s="119" t="s">
        <v>15</v>
      </c>
      <c r="F38" s="126" t="s">
        <v>16</v>
      </c>
      <c r="G38" s="119" t="s">
        <v>17</v>
      </c>
      <c r="H38" s="128" t="e">
        <v>#NUM!</v>
      </c>
      <c r="I38" s="94" t="e">
        <f>_xll.qlSwapRateHelper2(,$H38,,$D38,Calendar,$F38,$E38,$G38,$I$20,0,C38,Discounting,Permanent,Trigger,ObjectOverwrite)</f>
        <v>#VALUE!</v>
      </c>
      <c r="J38" s="122" t="b">
        <f t="shared" si="12"/>
        <v>0</v>
      </c>
      <c r="L38" s="21" t="str">
        <f t="shared" si="8"/>
        <v>Sw</v>
      </c>
      <c r="M38" s="21" t="e">
        <f t="shared" si="9"/>
        <v>#NUM!</v>
      </c>
      <c r="N38" s="21" t="e">
        <f t="shared" si="10"/>
        <v>#VALUE!</v>
      </c>
      <c r="O38" s="21" t="b">
        <f t="shared" si="11"/>
        <v>0</v>
      </c>
      <c r="P38" s="12">
        <v>0</v>
      </c>
      <c r="Q38" s="12">
        <v>0</v>
      </c>
      <c r="R38" s="12">
        <v>0</v>
      </c>
      <c r="S38" s="106" t="e">
        <f>_xll.qlRateHelperRate(R38,Trigger)</f>
        <v>#NUM!</v>
      </c>
      <c r="T38" s="13" t="e">
        <f>_xll.qlRateHelperEarliestDate(R38,Trigger)</f>
        <v>#NUM!</v>
      </c>
      <c r="U38" s="13" t="e">
        <f ca="1">_xll.qlRateHelperLatestDate(R38,Trigger)</f>
        <v>#NAME?</v>
      </c>
      <c r="V38" s="144" t="e">
        <v>#VALUE!</v>
      </c>
    </row>
    <row r="39" spans="1:22" ht="11.25" customHeight="1" x14ac:dyDescent="0.2">
      <c r="A39" s="96" t="s">
        <v>38</v>
      </c>
      <c r="B39" s="126"/>
      <c r="C39" s="126" t="s">
        <v>14</v>
      </c>
      <c r="D39" s="127" t="e">
        <v>#NUM!</v>
      </c>
      <c r="E39" s="119" t="s">
        <v>15</v>
      </c>
      <c r="F39" s="126" t="s">
        <v>16</v>
      </c>
      <c r="G39" s="119" t="s">
        <v>17</v>
      </c>
      <c r="H39" s="128" t="e">
        <v>#NUM!</v>
      </c>
      <c r="I39" s="94" t="e">
        <f>_xll.qlSwapRateHelper2(,$H39,,$D39,Calendar,$F39,$E39,$G39,$I$20,0,C39,Discounting,Permanent,Trigger,ObjectOverwrite)</f>
        <v>#VALUE!</v>
      </c>
      <c r="J39" s="122" t="b">
        <f t="shared" si="12"/>
        <v>0</v>
      </c>
      <c r="L39" s="21" t="str">
        <f t="shared" si="8"/>
        <v>Sw</v>
      </c>
      <c r="M39" s="21" t="e">
        <f t="shared" si="9"/>
        <v>#NUM!</v>
      </c>
      <c r="N39" s="21" t="e">
        <f t="shared" si="10"/>
        <v>#VALUE!</v>
      </c>
      <c r="O39" s="21" t="b">
        <f t="shared" si="11"/>
        <v>0</v>
      </c>
      <c r="P39" s="12">
        <v>0</v>
      </c>
      <c r="Q39" s="12">
        <v>0</v>
      </c>
      <c r="R39" s="12">
        <v>0</v>
      </c>
      <c r="S39" s="106" t="e">
        <f>_xll.qlRateHelperRate(R39,Trigger)</f>
        <v>#NUM!</v>
      </c>
      <c r="T39" s="13" t="e">
        <f>_xll.qlRateHelperEarliestDate(R39,Trigger)</f>
        <v>#NUM!</v>
      </c>
      <c r="U39" s="13" t="e">
        <f ca="1">_xll.qlRateHelperLatestDate(R39,Trigger)</f>
        <v>#NAME?</v>
      </c>
      <c r="V39" s="144" t="e">
        <v>#VALUE!</v>
      </c>
    </row>
    <row r="40" spans="1:22" ht="11.25" customHeight="1" x14ac:dyDescent="0.2">
      <c r="A40" s="96" t="s">
        <v>38</v>
      </c>
      <c r="B40" s="126"/>
      <c r="C40" s="126" t="s">
        <v>14</v>
      </c>
      <c r="D40" s="127" t="e">
        <v>#NUM!</v>
      </c>
      <c r="E40" s="119" t="s">
        <v>15</v>
      </c>
      <c r="F40" s="126" t="s">
        <v>16</v>
      </c>
      <c r="G40" s="119" t="s">
        <v>17</v>
      </c>
      <c r="H40" s="128" t="e">
        <v>#NUM!</v>
      </c>
      <c r="I40" s="94" t="e">
        <f>_xll.qlSwapRateHelper2(,$H40,,$D40,Calendar,$F40,$E40,$G40,$I$20,0,C40,Discounting,Permanent,Trigger,ObjectOverwrite)</f>
        <v>#VALUE!</v>
      </c>
      <c r="J40" s="122" t="b">
        <f t="shared" si="12"/>
        <v>0</v>
      </c>
      <c r="L40" s="21" t="str">
        <f t="shared" si="8"/>
        <v>Sw</v>
      </c>
      <c r="M40" s="21" t="e">
        <f t="shared" si="9"/>
        <v>#NUM!</v>
      </c>
      <c r="N40" s="21" t="e">
        <f t="shared" si="10"/>
        <v>#VALUE!</v>
      </c>
      <c r="O40" s="21" t="b">
        <f t="shared" si="11"/>
        <v>0</v>
      </c>
      <c r="P40" s="12">
        <v>0</v>
      </c>
      <c r="Q40" s="12">
        <v>0</v>
      </c>
      <c r="R40" s="12">
        <v>0</v>
      </c>
      <c r="S40" s="106" t="e">
        <f>_xll.qlRateHelperRate(R40,Trigger)</f>
        <v>#NUM!</v>
      </c>
      <c r="T40" s="13" t="e">
        <f>_xll.qlRateHelperEarliestDate(R40,Trigger)</f>
        <v>#NUM!</v>
      </c>
      <c r="U40" s="13" t="e">
        <f ca="1">_xll.qlRateHelperLatestDate(R40,Trigger)</f>
        <v>#NAME?</v>
      </c>
      <c r="V40" s="144" t="e">
        <v>#VALUE!</v>
      </c>
    </row>
    <row r="41" spans="1:22" ht="11.25" customHeight="1" x14ac:dyDescent="0.2">
      <c r="A41" s="96" t="s">
        <v>38</v>
      </c>
      <c r="B41" s="126"/>
      <c r="C41" s="126" t="s">
        <v>14</v>
      </c>
      <c r="D41" s="127" t="e">
        <v>#NUM!</v>
      </c>
      <c r="E41" s="119" t="s">
        <v>15</v>
      </c>
      <c r="F41" s="126" t="s">
        <v>16</v>
      </c>
      <c r="G41" s="119" t="s">
        <v>17</v>
      </c>
      <c r="H41" s="128" t="e">
        <v>#NUM!</v>
      </c>
      <c r="I41" s="94" t="e">
        <f>_xll.qlSwapRateHelper2(,$H41,,$D41,Calendar,$F41,$E41,$G41,$I$20,0,C41,Discounting,Permanent,Trigger,ObjectOverwrite)</f>
        <v>#VALUE!</v>
      </c>
      <c r="J41" s="122" t="b">
        <f t="shared" si="12"/>
        <v>0</v>
      </c>
      <c r="L41" s="21" t="str">
        <f t="shared" si="8"/>
        <v>Sw</v>
      </c>
      <c r="M41" s="21" t="e">
        <f t="shared" si="9"/>
        <v>#NUM!</v>
      </c>
      <c r="N41" s="21" t="e">
        <f t="shared" si="10"/>
        <v>#VALUE!</v>
      </c>
      <c r="O41" s="21" t="b">
        <f t="shared" si="11"/>
        <v>0</v>
      </c>
      <c r="P41" s="12">
        <v>0</v>
      </c>
      <c r="Q41" s="12">
        <v>0</v>
      </c>
      <c r="R41" s="12">
        <v>0</v>
      </c>
      <c r="S41" s="106" t="e">
        <f>_xll.qlRateHelperRate(R41,Trigger)</f>
        <v>#NUM!</v>
      </c>
      <c r="T41" s="13" t="e">
        <f>_xll.qlRateHelperEarliestDate(R41,Trigger)</f>
        <v>#NUM!</v>
      </c>
      <c r="U41" s="13" t="e">
        <f ca="1">_xll.qlRateHelperLatestDate(R41,Trigger)</f>
        <v>#NAME?</v>
      </c>
      <c r="V41" s="144" t="e">
        <v>#VALUE!</v>
      </c>
    </row>
    <row r="42" spans="1:22" ht="11.25" customHeight="1" x14ac:dyDescent="0.2">
      <c r="A42" s="96" t="s">
        <v>38</v>
      </c>
      <c r="B42" s="126"/>
      <c r="C42" s="126" t="s">
        <v>14</v>
      </c>
      <c r="D42" s="127" t="e">
        <v>#NUM!</v>
      </c>
      <c r="E42" s="119" t="s">
        <v>15</v>
      </c>
      <c r="F42" s="126" t="s">
        <v>16</v>
      </c>
      <c r="G42" s="119" t="s">
        <v>17</v>
      </c>
      <c r="H42" s="128" t="e">
        <v>#NUM!</v>
      </c>
      <c r="I42" s="94" t="e">
        <f>_xll.qlSwapRateHelper2(,$H42,,$D42,Calendar,$F42,$E42,$G42,$I$20,0,C42,Discounting,Permanent,Trigger,ObjectOverwrite)</f>
        <v>#VALUE!</v>
      </c>
      <c r="J42" s="122" t="b">
        <f t="shared" si="12"/>
        <v>0</v>
      </c>
      <c r="L42" s="21" t="str">
        <f t="shared" si="8"/>
        <v>Sw</v>
      </c>
      <c r="M42" s="21" t="e">
        <f t="shared" si="9"/>
        <v>#NUM!</v>
      </c>
      <c r="N42" s="21" t="e">
        <f t="shared" si="10"/>
        <v>#VALUE!</v>
      </c>
      <c r="O42" s="21" t="b">
        <f t="shared" si="11"/>
        <v>0</v>
      </c>
      <c r="P42" s="12">
        <v>0</v>
      </c>
      <c r="Q42" s="12">
        <v>0</v>
      </c>
      <c r="R42" s="12">
        <v>0</v>
      </c>
      <c r="S42" s="106" t="e">
        <f>_xll.qlRateHelperRate(R42,Trigger)</f>
        <v>#NUM!</v>
      </c>
      <c r="T42" s="13" t="e">
        <f>_xll.qlRateHelperEarliestDate(R42,Trigger)</f>
        <v>#NUM!</v>
      </c>
      <c r="U42" s="13" t="e">
        <f ca="1">_xll.qlRateHelperLatestDate(R42,Trigger)</f>
        <v>#NAME?</v>
      </c>
      <c r="V42" s="144" t="e">
        <v>#VALUE!</v>
      </c>
    </row>
    <row r="43" spans="1:22" ht="11.25" customHeight="1" x14ac:dyDescent="0.2">
      <c r="A43" s="96" t="s">
        <v>38</v>
      </c>
      <c r="B43" s="126"/>
      <c r="C43" s="126" t="s">
        <v>14</v>
      </c>
      <c r="D43" s="127" t="e">
        <v>#NUM!</v>
      </c>
      <c r="E43" s="119" t="s">
        <v>15</v>
      </c>
      <c r="F43" s="126" t="s">
        <v>16</v>
      </c>
      <c r="G43" s="119" t="s">
        <v>17</v>
      </c>
      <c r="H43" s="128" t="e">
        <v>#NUM!</v>
      </c>
      <c r="I43" s="94" t="e">
        <f>_xll.qlSwapRateHelper2(,$H43,,$D43,Calendar,$F43,$E43,$G43,$I$20,0,C43,Discounting,Permanent,Trigger,ObjectOverwrite)</f>
        <v>#VALUE!</v>
      </c>
      <c r="J43" s="122" t="b">
        <f t="shared" si="12"/>
        <v>0</v>
      </c>
      <c r="L43" s="21" t="str">
        <f t="shared" si="8"/>
        <v>Sw</v>
      </c>
      <c r="M43" s="21" t="e">
        <f t="shared" si="9"/>
        <v>#NUM!</v>
      </c>
      <c r="N43" s="21" t="e">
        <f t="shared" si="10"/>
        <v>#VALUE!</v>
      </c>
      <c r="O43" s="21" t="b">
        <f t="shared" si="11"/>
        <v>0</v>
      </c>
      <c r="P43" s="12">
        <v>0</v>
      </c>
      <c r="Q43" s="12">
        <v>0</v>
      </c>
      <c r="R43" s="12">
        <v>0</v>
      </c>
      <c r="S43" s="106" t="e">
        <f>_xll.qlRateHelperRate(R43,Trigger)</f>
        <v>#NUM!</v>
      </c>
      <c r="T43" s="13" t="e">
        <f>_xll.qlRateHelperEarliestDate(R43,Trigger)</f>
        <v>#NUM!</v>
      </c>
      <c r="U43" s="13" t="e">
        <f ca="1">_xll.qlRateHelperLatestDate(R43,Trigger)</f>
        <v>#NAME?</v>
      </c>
      <c r="V43" s="144" t="e">
        <v>#VALUE!</v>
      </c>
    </row>
    <row r="44" spans="1:22" ht="11.25" customHeight="1" x14ac:dyDescent="0.2">
      <c r="A44" s="96" t="s">
        <v>38</v>
      </c>
      <c r="B44" s="126"/>
      <c r="C44" s="126" t="s">
        <v>14</v>
      </c>
      <c r="D44" s="127" t="e">
        <v>#NUM!</v>
      </c>
      <c r="E44" s="119" t="s">
        <v>15</v>
      </c>
      <c r="F44" s="126" t="s">
        <v>16</v>
      </c>
      <c r="G44" s="119" t="s">
        <v>17</v>
      </c>
      <c r="H44" s="128" t="e">
        <v>#NUM!</v>
      </c>
      <c r="I44" s="94" t="e">
        <f>_xll.qlSwapRateHelper2(,$H44,,$D44,Calendar,$F44,$E44,$G44,$I$20,0,C44,Discounting,Permanent,Trigger,ObjectOverwrite)</f>
        <v>#VALUE!</v>
      </c>
      <c r="J44" s="122" t="b">
        <f t="shared" si="12"/>
        <v>0</v>
      </c>
      <c r="L44" s="21" t="str">
        <f t="shared" si="8"/>
        <v>Sw</v>
      </c>
      <c r="M44" s="21" t="e">
        <f t="shared" si="9"/>
        <v>#NUM!</v>
      </c>
      <c r="N44" s="21" t="e">
        <f t="shared" si="10"/>
        <v>#VALUE!</v>
      </c>
      <c r="O44" s="21" t="b">
        <f t="shared" si="11"/>
        <v>0</v>
      </c>
      <c r="P44" s="12">
        <v>0</v>
      </c>
      <c r="Q44" s="12">
        <v>0</v>
      </c>
      <c r="R44" s="12">
        <v>0</v>
      </c>
      <c r="S44" s="106" t="e">
        <f>_xll.qlRateHelperRate(R44,Trigger)</f>
        <v>#NUM!</v>
      </c>
      <c r="T44" s="13" t="e">
        <f>_xll.qlRateHelperEarliestDate(R44,Trigger)</f>
        <v>#NUM!</v>
      </c>
      <c r="U44" s="13" t="e">
        <f ca="1">_xll.qlRateHelperLatestDate(R44,Trigger)</f>
        <v>#NAME?</v>
      </c>
      <c r="V44" s="144" t="e">
        <v>#VALUE!</v>
      </c>
    </row>
    <row r="45" spans="1:22" ht="11.25" customHeight="1" x14ac:dyDescent="0.2">
      <c r="A45" s="96" t="s">
        <v>38</v>
      </c>
      <c r="B45" s="126"/>
      <c r="C45" s="126" t="s">
        <v>14</v>
      </c>
      <c r="D45" s="127" t="e">
        <v>#NUM!</v>
      </c>
      <c r="E45" s="119" t="s">
        <v>15</v>
      </c>
      <c r="F45" s="126" t="s">
        <v>16</v>
      </c>
      <c r="G45" s="119" t="s">
        <v>17</v>
      </c>
      <c r="H45" s="128" t="e">
        <v>#NUM!</v>
      </c>
      <c r="I45" s="94" t="e">
        <f>_xll.qlSwapRateHelper2(,$H45,,$D45,Calendar,$F45,$E45,$G45,$I$20,0,C45,Discounting,Permanent,Trigger,ObjectOverwrite)</f>
        <v>#VALUE!</v>
      </c>
      <c r="J45" s="122" t="b">
        <f t="shared" si="12"/>
        <v>0</v>
      </c>
      <c r="L45" s="21" t="str">
        <f t="shared" si="8"/>
        <v>Sw</v>
      </c>
      <c r="M45" s="21" t="e">
        <f t="shared" si="9"/>
        <v>#NUM!</v>
      </c>
      <c r="N45" s="21" t="e">
        <f t="shared" si="10"/>
        <v>#VALUE!</v>
      </c>
      <c r="O45" s="21" t="b">
        <f t="shared" si="11"/>
        <v>0</v>
      </c>
      <c r="P45" s="12">
        <v>0</v>
      </c>
      <c r="Q45" s="12">
        <v>0</v>
      </c>
      <c r="R45" s="12">
        <v>0</v>
      </c>
      <c r="S45" s="106" t="e">
        <f>_xll.qlRateHelperRate(R45,Trigger)</f>
        <v>#NUM!</v>
      </c>
      <c r="T45" s="13" t="e">
        <f>_xll.qlRateHelperEarliestDate(R45,Trigger)</f>
        <v>#NUM!</v>
      </c>
      <c r="U45" s="13" t="e">
        <f ca="1">_xll.qlRateHelperLatestDate(R45,Trigger)</f>
        <v>#NAME?</v>
      </c>
      <c r="V45" s="144" t="e">
        <v>#VALUE!</v>
      </c>
    </row>
    <row r="46" spans="1:22" ht="11.25" customHeight="1" x14ac:dyDescent="0.2">
      <c r="A46" s="96" t="s">
        <v>38</v>
      </c>
      <c r="B46" s="126"/>
      <c r="C46" s="126" t="s">
        <v>14</v>
      </c>
      <c r="D46" s="127" t="e">
        <v>#NUM!</v>
      </c>
      <c r="E46" s="119" t="s">
        <v>15</v>
      </c>
      <c r="F46" s="126" t="s">
        <v>16</v>
      </c>
      <c r="G46" s="119" t="s">
        <v>17</v>
      </c>
      <c r="H46" s="128" t="e">
        <v>#NUM!</v>
      </c>
      <c r="I46" s="94" t="e">
        <f>_xll.qlSwapRateHelper2(,$H46,,$D46,Calendar,$F46,$E46,$G46,$I$20,0,C46,Discounting,Permanent,Trigger,ObjectOverwrite)</f>
        <v>#VALUE!</v>
      </c>
      <c r="J46" s="122" t="b">
        <f t="shared" si="12"/>
        <v>0</v>
      </c>
      <c r="L46" s="21" t="str">
        <f t="shared" si="8"/>
        <v>Sw</v>
      </c>
      <c r="M46" s="21" t="e">
        <f t="shared" si="9"/>
        <v>#NUM!</v>
      </c>
      <c r="N46" s="21" t="e">
        <f t="shared" si="10"/>
        <v>#VALUE!</v>
      </c>
      <c r="O46" s="21" t="b">
        <f t="shared" si="11"/>
        <v>0</v>
      </c>
      <c r="P46" s="12">
        <v>0</v>
      </c>
      <c r="Q46" s="12">
        <v>0</v>
      </c>
      <c r="R46" s="12">
        <v>0</v>
      </c>
      <c r="S46" s="106" t="e">
        <f>_xll.qlRateHelperRate(R46,Trigger)</f>
        <v>#NUM!</v>
      </c>
      <c r="T46" s="13" t="e">
        <f>_xll.qlRateHelperEarliestDate(R46,Trigger)</f>
        <v>#NUM!</v>
      </c>
      <c r="U46" s="13" t="e">
        <f ca="1">_xll.qlRateHelperLatestDate(R46,Trigger)</f>
        <v>#NAME?</v>
      </c>
      <c r="V46" s="144" t="e">
        <v>#VALUE!</v>
      </c>
    </row>
    <row r="47" spans="1:22" ht="11.25" customHeight="1" x14ac:dyDescent="0.2">
      <c r="A47" s="96" t="s">
        <v>38</v>
      </c>
      <c r="B47" s="126"/>
      <c r="C47" s="126" t="s">
        <v>14</v>
      </c>
      <c r="D47" s="127" t="e">
        <v>#NUM!</v>
      </c>
      <c r="E47" s="119" t="s">
        <v>15</v>
      </c>
      <c r="F47" s="126" t="s">
        <v>16</v>
      </c>
      <c r="G47" s="119" t="s">
        <v>17</v>
      </c>
      <c r="H47" s="128" t="e">
        <v>#NUM!</v>
      </c>
      <c r="I47" s="94" t="e">
        <f>_xll.qlSwapRateHelper2(,$H47,,$D47,Calendar,$F47,$E47,$G47,$I$20,0,C47,Discounting,Permanent,Trigger,ObjectOverwrite)</f>
        <v>#VALUE!</v>
      </c>
      <c r="J47" s="122" t="b">
        <f t="shared" si="12"/>
        <v>0</v>
      </c>
      <c r="L47" s="21" t="str">
        <f t="shared" si="8"/>
        <v>Sw</v>
      </c>
      <c r="M47" s="21" t="e">
        <f t="shared" si="9"/>
        <v>#NUM!</v>
      </c>
      <c r="N47" s="21" t="e">
        <f t="shared" si="10"/>
        <v>#VALUE!</v>
      </c>
      <c r="O47" s="21" t="b">
        <f t="shared" si="11"/>
        <v>0</v>
      </c>
      <c r="P47" s="12">
        <v>0</v>
      </c>
      <c r="Q47" s="12">
        <v>0</v>
      </c>
      <c r="R47" s="12">
        <v>0</v>
      </c>
      <c r="S47" s="106" t="e">
        <f>_xll.qlRateHelperRate(R47,Trigger)</f>
        <v>#NUM!</v>
      </c>
      <c r="T47" s="13" t="e">
        <f>_xll.qlRateHelperEarliestDate(R47,Trigger)</f>
        <v>#NUM!</v>
      </c>
      <c r="U47" s="13" t="e">
        <f ca="1">_xll.qlRateHelperLatestDate(R47,Trigger)</f>
        <v>#NAME?</v>
      </c>
      <c r="V47" s="144" t="e">
        <v>#VALUE!</v>
      </c>
    </row>
    <row r="48" spans="1:22" ht="11.25" customHeight="1" x14ac:dyDescent="0.2">
      <c r="A48" s="96" t="s">
        <v>38</v>
      </c>
      <c r="B48" s="126"/>
      <c r="C48" s="126" t="s">
        <v>14</v>
      </c>
      <c r="D48" s="127" t="e">
        <v>#NUM!</v>
      </c>
      <c r="E48" s="119" t="s">
        <v>15</v>
      </c>
      <c r="F48" s="126" t="s">
        <v>16</v>
      </c>
      <c r="G48" s="119" t="s">
        <v>17</v>
      </c>
      <c r="H48" s="128" t="e">
        <v>#NUM!</v>
      </c>
      <c r="I48" s="94" t="e">
        <f>_xll.qlSwapRateHelper2(,$H48,,$D48,Calendar,$F48,$E48,$G48,$I$20,0,C48,Discounting,Permanent,Trigger,ObjectOverwrite)</f>
        <v>#VALUE!</v>
      </c>
      <c r="J48" s="122" t="b">
        <f t="shared" si="12"/>
        <v>0</v>
      </c>
      <c r="L48" s="21" t="str">
        <f t="shared" si="8"/>
        <v>Sw</v>
      </c>
      <c r="M48" s="21" t="e">
        <f t="shared" si="9"/>
        <v>#NUM!</v>
      </c>
      <c r="N48" s="21" t="e">
        <f t="shared" si="10"/>
        <v>#VALUE!</v>
      </c>
      <c r="O48" s="21" t="b">
        <f t="shared" si="11"/>
        <v>0</v>
      </c>
      <c r="P48" s="12">
        <v>0</v>
      </c>
      <c r="Q48" s="12">
        <v>0</v>
      </c>
      <c r="R48" s="12">
        <v>0</v>
      </c>
      <c r="S48" s="106" t="e">
        <f>_xll.qlRateHelperRate(R48,Trigger)</f>
        <v>#NUM!</v>
      </c>
      <c r="T48" s="13" t="e">
        <f>_xll.qlRateHelperEarliestDate(R48,Trigger)</f>
        <v>#NUM!</v>
      </c>
      <c r="U48" s="13" t="e">
        <f ca="1">_xll.qlRateHelperLatestDate(R48,Trigger)</f>
        <v>#NAME?</v>
      </c>
      <c r="V48" s="144" t="e">
        <v>#VALUE!</v>
      </c>
    </row>
    <row r="49" spans="1:22" ht="11.25" customHeight="1" x14ac:dyDescent="0.2">
      <c r="A49" s="96" t="s">
        <v>38</v>
      </c>
      <c r="B49" s="126"/>
      <c r="C49" s="126" t="s">
        <v>14</v>
      </c>
      <c r="D49" s="127" t="e">
        <v>#NUM!</v>
      </c>
      <c r="E49" s="119" t="s">
        <v>15</v>
      </c>
      <c r="F49" s="126" t="s">
        <v>16</v>
      </c>
      <c r="G49" s="119" t="s">
        <v>17</v>
      </c>
      <c r="H49" s="128" t="e">
        <v>#NUM!</v>
      </c>
      <c r="I49" s="94" t="e">
        <f>_xll.qlSwapRateHelper2(,$H49,,$D49,Calendar,$F49,$E49,$G49,$I$20,0,C49,Discounting,Permanent,Trigger,ObjectOverwrite)</f>
        <v>#VALUE!</v>
      </c>
      <c r="J49" s="122" t="b">
        <f t="shared" si="12"/>
        <v>0</v>
      </c>
      <c r="L49" s="21" t="str">
        <f t="shared" si="8"/>
        <v>Sw</v>
      </c>
      <c r="M49" s="21" t="e">
        <f t="shared" si="9"/>
        <v>#NUM!</v>
      </c>
      <c r="N49" s="21" t="e">
        <f t="shared" si="10"/>
        <v>#VALUE!</v>
      </c>
      <c r="O49" s="21" t="b">
        <f t="shared" si="11"/>
        <v>0</v>
      </c>
      <c r="P49" s="12">
        <v>0</v>
      </c>
      <c r="Q49" s="12">
        <v>0</v>
      </c>
      <c r="R49" s="12">
        <v>0</v>
      </c>
      <c r="S49" s="106" t="e">
        <f>_xll.qlRateHelperRate(R49,Trigger)</f>
        <v>#NUM!</v>
      </c>
      <c r="T49" s="13" t="e">
        <f>_xll.qlRateHelperEarliestDate(R49,Trigger)</f>
        <v>#NUM!</v>
      </c>
      <c r="U49" s="13" t="e">
        <f ca="1">_xll.qlRateHelperLatestDate(R49,Trigger)</f>
        <v>#NAME?</v>
      </c>
      <c r="V49" s="144" t="e">
        <v>#VALUE!</v>
      </c>
    </row>
    <row r="50" spans="1:22" ht="11.25" customHeight="1" x14ac:dyDescent="0.2">
      <c r="A50" s="96" t="s">
        <v>38</v>
      </c>
      <c r="B50" s="126"/>
      <c r="C50" s="126" t="s">
        <v>14</v>
      </c>
      <c r="D50" s="127" t="e">
        <v>#NUM!</v>
      </c>
      <c r="E50" s="119" t="s">
        <v>15</v>
      </c>
      <c r="F50" s="126" t="s">
        <v>16</v>
      </c>
      <c r="G50" s="119" t="s">
        <v>17</v>
      </c>
      <c r="H50" s="128" t="e">
        <v>#NUM!</v>
      </c>
      <c r="I50" s="94" t="e">
        <f>_xll.qlSwapRateHelper2(,$H50,,$D50,Calendar,$F50,$E50,$G50,$I$20,0,C50,Discounting,Permanent,Trigger,ObjectOverwrite)</f>
        <v>#VALUE!</v>
      </c>
      <c r="J50" s="122" t="b">
        <f t="shared" si="12"/>
        <v>0</v>
      </c>
      <c r="L50" s="21" t="str">
        <f t="shared" si="8"/>
        <v>Sw</v>
      </c>
      <c r="M50" s="21" t="e">
        <f t="shared" si="9"/>
        <v>#NUM!</v>
      </c>
      <c r="N50" s="21" t="e">
        <f t="shared" si="10"/>
        <v>#VALUE!</v>
      </c>
      <c r="O50" s="21" t="b">
        <f t="shared" si="11"/>
        <v>0</v>
      </c>
      <c r="P50" s="12">
        <v>0</v>
      </c>
      <c r="Q50" s="12">
        <v>0</v>
      </c>
      <c r="R50" s="12">
        <v>0</v>
      </c>
      <c r="S50" s="106" t="e">
        <f>_xll.qlRateHelperRate(R50,Trigger)</f>
        <v>#NUM!</v>
      </c>
      <c r="T50" s="13" t="e">
        <f>_xll.qlRateHelperEarliestDate(R50,Trigger)</f>
        <v>#NUM!</v>
      </c>
      <c r="U50" s="13" t="e">
        <f ca="1">_xll.qlRateHelperLatestDate(R50,Trigger)</f>
        <v>#NAME?</v>
      </c>
      <c r="V50" s="144" t="e">
        <v>#VALUE!</v>
      </c>
    </row>
    <row r="51" spans="1:22" ht="11.25" customHeight="1" x14ac:dyDescent="0.2">
      <c r="A51" s="96" t="s">
        <v>38</v>
      </c>
      <c r="B51" s="126"/>
      <c r="C51" s="126" t="s">
        <v>14</v>
      </c>
      <c r="D51" s="127" t="e">
        <v>#NUM!</v>
      </c>
      <c r="E51" s="119" t="s">
        <v>15</v>
      </c>
      <c r="F51" s="126" t="s">
        <v>16</v>
      </c>
      <c r="G51" s="119" t="s">
        <v>17</v>
      </c>
      <c r="H51" s="128" t="e">
        <v>#NUM!</v>
      </c>
      <c r="I51" s="94" t="e">
        <f>_xll.qlSwapRateHelper2(,$H51,,$D51,Calendar,$F51,$E51,$G51,$I$20,0,C51,Discounting,Permanent,Trigger,ObjectOverwrite)</f>
        <v>#VALUE!</v>
      </c>
      <c r="J51" s="122" t="b">
        <f t="shared" si="12"/>
        <v>0</v>
      </c>
      <c r="L51" s="21" t="str">
        <f t="shared" si="8"/>
        <v>Sw</v>
      </c>
      <c r="M51" s="21" t="e">
        <f t="shared" si="9"/>
        <v>#NUM!</v>
      </c>
      <c r="N51" s="21" t="e">
        <f t="shared" si="10"/>
        <v>#VALUE!</v>
      </c>
      <c r="O51" s="21" t="b">
        <f t="shared" si="11"/>
        <v>0</v>
      </c>
      <c r="P51" s="12">
        <v>0</v>
      </c>
      <c r="Q51" s="12">
        <v>0</v>
      </c>
      <c r="R51" s="12">
        <v>0</v>
      </c>
      <c r="S51" s="106" t="e">
        <f>_xll.qlRateHelperRate(R51,Trigger)</f>
        <v>#NUM!</v>
      </c>
      <c r="T51" s="13" t="e">
        <f>_xll.qlRateHelperEarliestDate(R51,Trigger)</f>
        <v>#NUM!</v>
      </c>
      <c r="U51" s="13" t="e">
        <f ca="1">_xll.qlRateHelperLatestDate(R51,Trigger)</f>
        <v>#NAME?</v>
      </c>
      <c r="V51" s="144" t="e">
        <v>#VALUE!</v>
      </c>
    </row>
    <row r="52" spans="1:22" ht="11.25" customHeight="1" x14ac:dyDescent="0.2">
      <c r="A52" s="96" t="s">
        <v>38</v>
      </c>
      <c r="B52" s="126"/>
      <c r="C52" s="126" t="s">
        <v>14</v>
      </c>
      <c r="D52" s="127" t="e">
        <v>#NUM!</v>
      </c>
      <c r="E52" s="119" t="s">
        <v>15</v>
      </c>
      <c r="F52" s="126" t="s">
        <v>16</v>
      </c>
      <c r="G52" s="119" t="s">
        <v>17</v>
      </c>
      <c r="H52" s="128" t="e">
        <v>#NUM!</v>
      </c>
      <c r="I52" s="94" t="e">
        <f>_xll.qlSwapRateHelper2(,$H52,,$D52,Calendar,$F52,$E52,$G52,$I$20,0,C52,Discounting,Permanent,Trigger,ObjectOverwrite)</f>
        <v>#VALUE!</v>
      </c>
      <c r="J52" s="122" t="b">
        <f t="shared" si="12"/>
        <v>0</v>
      </c>
      <c r="L52" s="21" t="str">
        <f t="shared" si="8"/>
        <v>Sw</v>
      </c>
      <c r="M52" s="21" t="e">
        <f t="shared" si="9"/>
        <v>#NUM!</v>
      </c>
      <c r="N52" s="21" t="e">
        <f t="shared" si="10"/>
        <v>#VALUE!</v>
      </c>
      <c r="O52" s="21" t="b">
        <f t="shared" si="11"/>
        <v>0</v>
      </c>
      <c r="P52" s="12">
        <v>0</v>
      </c>
      <c r="Q52" s="12">
        <v>0</v>
      </c>
      <c r="R52" s="12">
        <v>0</v>
      </c>
      <c r="S52" s="106" t="e">
        <f>_xll.qlRateHelperRate(R52,Trigger)</f>
        <v>#NUM!</v>
      </c>
      <c r="T52" s="13" t="e">
        <f>_xll.qlRateHelperEarliestDate(R52,Trigger)</f>
        <v>#NUM!</v>
      </c>
      <c r="U52" s="13" t="e">
        <f ca="1">_xll.qlRateHelperLatestDate(R52,Trigger)</f>
        <v>#NAME?</v>
      </c>
      <c r="V52" s="144" t="e">
        <v>#VALUE!</v>
      </c>
    </row>
    <row r="53" spans="1:22" ht="11.25" customHeight="1" x14ac:dyDescent="0.2">
      <c r="A53" s="96" t="s">
        <v>38</v>
      </c>
      <c r="B53" s="126"/>
      <c r="C53" s="126" t="s">
        <v>14</v>
      </c>
      <c r="D53" s="127" t="e">
        <v>#NUM!</v>
      </c>
      <c r="E53" s="119" t="s">
        <v>15</v>
      </c>
      <c r="F53" s="126" t="s">
        <v>16</v>
      </c>
      <c r="G53" s="119" t="s">
        <v>17</v>
      </c>
      <c r="H53" s="128" t="e">
        <v>#NUM!</v>
      </c>
      <c r="I53" s="94" t="e">
        <f>_xll.qlSwapRateHelper2(,$H53,,$D53,Calendar,$F53,$E53,$G53,$I$20,0,C53,Discounting,Permanent,Trigger,ObjectOverwrite)</f>
        <v>#VALUE!</v>
      </c>
      <c r="J53" s="122" t="b">
        <f t="shared" si="12"/>
        <v>0</v>
      </c>
      <c r="L53" s="21" t="str">
        <f t="shared" si="8"/>
        <v>Sw</v>
      </c>
      <c r="M53" s="21" t="e">
        <f t="shared" si="9"/>
        <v>#NUM!</v>
      </c>
      <c r="N53" s="21" t="e">
        <f t="shared" si="10"/>
        <v>#VALUE!</v>
      </c>
      <c r="O53" s="21" t="b">
        <f t="shared" si="11"/>
        <v>0</v>
      </c>
      <c r="P53" s="12">
        <v>0</v>
      </c>
      <c r="Q53" s="12">
        <v>0</v>
      </c>
      <c r="R53" s="12">
        <v>0</v>
      </c>
      <c r="S53" s="106" t="e">
        <f>_xll.qlRateHelperRate(R53,Trigger)</f>
        <v>#NUM!</v>
      </c>
      <c r="T53" s="13" t="e">
        <f>_xll.qlRateHelperEarliestDate(R53,Trigger)</f>
        <v>#NUM!</v>
      </c>
      <c r="U53" s="13" t="e">
        <f ca="1">_xll.qlRateHelperLatestDate(R53,Trigger)</f>
        <v>#NAME?</v>
      </c>
      <c r="V53" s="144" t="e">
        <v>#VALUE!</v>
      </c>
    </row>
    <row r="54" spans="1:22" ht="11.25" customHeight="1" x14ac:dyDescent="0.2">
      <c r="A54" s="96" t="s">
        <v>38</v>
      </c>
      <c r="B54" s="126"/>
      <c r="C54" s="126" t="s">
        <v>14</v>
      </c>
      <c r="D54" s="127" t="e">
        <v>#NUM!</v>
      </c>
      <c r="E54" s="119" t="s">
        <v>15</v>
      </c>
      <c r="F54" s="126" t="s">
        <v>16</v>
      </c>
      <c r="G54" s="119" t="s">
        <v>17</v>
      </c>
      <c r="H54" s="128" t="e">
        <v>#NUM!</v>
      </c>
      <c r="I54" s="94" t="e">
        <f>_xll.qlSwapRateHelper2(,$H54,,$D54,Calendar,$F54,$E54,$G54,$I$20,0,C54,Discounting,Permanent,Trigger,ObjectOverwrite)</f>
        <v>#VALUE!</v>
      </c>
      <c r="J54" s="122" t="b">
        <f t="shared" si="12"/>
        <v>0</v>
      </c>
      <c r="L54" s="21" t="str">
        <f t="shared" si="8"/>
        <v>Sw</v>
      </c>
      <c r="M54" s="21" t="e">
        <f t="shared" si="9"/>
        <v>#NUM!</v>
      </c>
      <c r="N54" s="21" t="e">
        <f t="shared" si="10"/>
        <v>#VALUE!</v>
      </c>
      <c r="O54" s="21" t="b">
        <f t="shared" si="11"/>
        <v>0</v>
      </c>
      <c r="P54" s="12">
        <v>0</v>
      </c>
      <c r="Q54" s="12">
        <v>0</v>
      </c>
      <c r="R54" s="12">
        <v>0</v>
      </c>
      <c r="S54" s="106" t="e">
        <f>_xll.qlRateHelperRate(R54,Trigger)</f>
        <v>#NUM!</v>
      </c>
      <c r="T54" s="13" t="e">
        <f>_xll.qlRateHelperEarliestDate(R54,Trigger)</f>
        <v>#NUM!</v>
      </c>
      <c r="U54" s="13" t="e">
        <f ca="1">_xll.qlRateHelperLatestDate(R54,Trigger)</f>
        <v>#NAME?</v>
      </c>
      <c r="V54" s="144" t="e">
        <v>#VALUE!</v>
      </c>
    </row>
    <row r="55" spans="1:22" ht="11.25" customHeight="1" x14ac:dyDescent="0.2">
      <c r="A55" s="96" t="s">
        <v>38</v>
      </c>
      <c r="B55" s="126"/>
      <c r="C55" s="126" t="s">
        <v>14</v>
      </c>
      <c r="D55" s="127" t="e">
        <v>#NUM!</v>
      </c>
      <c r="E55" s="119" t="s">
        <v>15</v>
      </c>
      <c r="F55" s="126" t="s">
        <v>16</v>
      </c>
      <c r="G55" s="119" t="s">
        <v>17</v>
      </c>
      <c r="H55" s="128" t="e">
        <v>#NUM!</v>
      </c>
      <c r="I55" s="94" t="e">
        <f>_xll.qlSwapRateHelper2(,$H55,,$D55,Calendar,$F55,$E55,$G55,$I$20,0,C55,Discounting,Permanent,Trigger,ObjectOverwrite)</f>
        <v>#VALUE!</v>
      </c>
      <c r="J55" s="122" t="b">
        <f t="shared" si="12"/>
        <v>0</v>
      </c>
      <c r="L55" s="21" t="str">
        <f t="shared" si="8"/>
        <v>Sw</v>
      </c>
      <c r="M55" s="21" t="e">
        <f t="shared" si="9"/>
        <v>#NUM!</v>
      </c>
      <c r="N55" s="21" t="e">
        <f t="shared" si="10"/>
        <v>#VALUE!</v>
      </c>
      <c r="O55" s="21" t="b">
        <f t="shared" si="11"/>
        <v>0</v>
      </c>
      <c r="P55" s="12">
        <v>0</v>
      </c>
      <c r="Q55" s="12">
        <v>0</v>
      </c>
      <c r="R55" s="12">
        <v>0</v>
      </c>
      <c r="S55" s="106" t="e">
        <f>_xll.qlRateHelperRate(R55,Trigger)</f>
        <v>#NUM!</v>
      </c>
      <c r="T55" s="13" t="e">
        <f>_xll.qlRateHelperEarliestDate(R55,Trigger)</f>
        <v>#NUM!</v>
      </c>
      <c r="U55" s="13" t="e">
        <f ca="1">_xll.qlRateHelperLatestDate(R55,Trigger)</f>
        <v>#NAME?</v>
      </c>
      <c r="V55" s="144" t="e">
        <v>#VALUE!</v>
      </c>
    </row>
    <row r="56" spans="1:22" ht="11.25" customHeight="1" x14ac:dyDescent="0.2">
      <c r="A56" s="96" t="s">
        <v>38</v>
      </c>
      <c r="B56" s="126"/>
      <c r="C56" s="126" t="s">
        <v>14</v>
      </c>
      <c r="D56" s="127" t="e">
        <v>#NUM!</v>
      </c>
      <c r="E56" s="119" t="s">
        <v>15</v>
      </c>
      <c r="F56" s="126" t="s">
        <v>16</v>
      </c>
      <c r="G56" s="119" t="s">
        <v>17</v>
      </c>
      <c r="H56" s="128" t="e">
        <v>#NUM!</v>
      </c>
      <c r="I56" s="94" t="e">
        <f>_xll.qlSwapRateHelper2(,$H56,,$D56,Calendar,$F56,$E56,$G56,$I$20,0,C56,Discounting,Permanent,Trigger,ObjectOverwrite)</f>
        <v>#VALUE!</v>
      </c>
      <c r="J56" s="122" t="b">
        <f t="shared" si="12"/>
        <v>0</v>
      </c>
      <c r="L56" s="21" t="str">
        <f t="shared" si="8"/>
        <v>Sw</v>
      </c>
      <c r="M56" s="21" t="e">
        <f t="shared" si="9"/>
        <v>#NUM!</v>
      </c>
      <c r="N56" s="21" t="e">
        <f t="shared" si="10"/>
        <v>#VALUE!</v>
      </c>
      <c r="O56" s="21" t="b">
        <f t="shared" si="11"/>
        <v>0</v>
      </c>
      <c r="P56" s="12">
        <v>0</v>
      </c>
      <c r="Q56" s="12">
        <v>0</v>
      </c>
      <c r="R56" s="12">
        <v>0</v>
      </c>
      <c r="S56" s="106" t="e">
        <f>_xll.qlRateHelperRate(R56,Trigger)</f>
        <v>#NUM!</v>
      </c>
      <c r="T56" s="13" t="e">
        <f>_xll.qlRateHelperEarliestDate(R56,Trigger)</f>
        <v>#NUM!</v>
      </c>
      <c r="U56" s="13" t="e">
        <f ca="1">_xll.qlRateHelperLatestDate(R56,Trigger)</f>
        <v>#NAME?</v>
      </c>
      <c r="V56" s="144" t="e">
        <v>#VALUE!</v>
      </c>
    </row>
    <row r="57" spans="1:22" ht="11.25" customHeight="1" x14ac:dyDescent="0.2">
      <c r="A57" s="96" t="s">
        <v>38</v>
      </c>
      <c r="B57" s="126"/>
      <c r="C57" s="126" t="s">
        <v>14</v>
      </c>
      <c r="D57" s="127" t="e">
        <v>#NUM!</v>
      </c>
      <c r="E57" s="119" t="s">
        <v>15</v>
      </c>
      <c r="F57" s="126" t="s">
        <v>16</v>
      </c>
      <c r="G57" s="119" t="s">
        <v>17</v>
      </c>
      <c r="H57" s="128" t="e">
        <v>#NUM!</v>
      </c>
      <c r="I57" s="94" t="e">
        <f>_xll.qlSwapRateHelper2(,$H57,,$D57,Calendar,$F57,$E57,$G57,$I$20,0,C57,Discounting,Permanent,Trigger,ObjectOverwrite)</f>
        <v>#VALUE!</v>
      </c>
      <c r="J57" s="122" t="b">
        <f t="shared" si="12"/>
        <v>0</v>
      </c>
      <c r="L57" s="21" t="str">
        <f t="shared" si="8"/>
        <v>Sw</v>
      </c>
      <c r="M57" s="21" t="e">
        <f t="shared" si="9"/>
        <v>#NUM!</v>
      </c>
      <c r="N57" s="21" t="e">
        <f t="shared" si="10"/>
        <v>#VALUE!</v>
      </c>
      <c r="O57" s="21" t="b">
        <f t="shared" si="11"/>
        <v>0</v>
      </c>
      <c r="P57" s="12">
        <v>0</v>
      </c>
      <c r="Q57" s="12">
        <v>0</v>
      </c>
      <c r="R57" s="12">
        <v>0</v>
      </c>
      <c r="S57" s="106" t="e">
        <f>_xll.qlRateHelperRate(R57,Trigger)</f>
        <v>#NUM!</v>
      </c>
      <c r="T57" s="13" t="e">
        <f>_xll.qlRateHelperEarliestDate(R57,Trigger)</f>
        <v>#NUM!</v>
      </c>
      <c r="U57" s="13" t="e">
        <f ca="1">_xll.qlRateHelperLatestDate(R57,Trigger)</f>
        <v>#NAME?</v>
      </c>
      <c r="V57" s="144" t="e">
        <v>#VALUE!</v>
      </c>
    </row>
    <row r="58" spans="1:22" ht="11.25" customHeight="1" x14ac:dyDescent="0.2">
      <c r="A58" s="96" t="s">
        <v>38</v>
      </c>
      <c r="B58" s="126"/>
      <c r="C58" s="126" t="s">
        <v>14</v>
      </c>
      <c r="D58" s="127" t="e">
        <v>#NUM!</v>
      </c>
      <c r="E58" s="119" t="s">
        <v>15</v>
      </c>
      <c r="F58" s="126" t="s">
        <v>16</v>
      </c>
      <c r="G58" s="119" t="s">
        <v>17</v>
      </c>
      <c r="H58" s="128" t="e">
        <v>#NUM!</v>
      </c>
      <c r="I58" s="94" t="e">
        <f>_xll.qlSwapRateHelper2(,$H58,,$D58,Calendar,$F58,$E58,$G58,$I$20,0,C58,Discounting,Permanent,Trigger,ObjectOverwrite)</f>
        <v>#VALUE!</v>
      </c>
      <c r="J58" s="122" t="b">
        <f t="shared" si="12"/>
        <v>0</v>
      </c>
      <c r="L58" s="21" t="str">
        <f t="shared" si="8"/>
        <v>Sw</v>
      </c>
      <c r="M58" s="21" t="e">
        <f t="shared" si="9"/>
        <v>#NUM!</v>
      </c>
      <c r="N58" s="21" t="e">
        <f t="shared" si="10"/>
        <v>#VALUE!</v>
      </c>
      <c r="O58" s="21" t="b">
        <f t="shared" si="11"/>
        <v>0</v>
      </c>
      <c r="P58" s="12">
        <v>0</v>
      </c>
      <c r="Q58" s="12">
        <v>0</v>
      </c>
      <c r="R58" s="12">
        <v>0</v>
      </c>
      <c r="S58" s="106" t="e">
        <f>_xll.qlRateHelperRate(R58,Trigger)</f>
        <v>#NUM!</v>
      </c>
      <c r="T58" s="13" t="e">
        <f>_xll.qlRateHelperEarliestDate(R58,Trigger)</f>
        <v>#NUM!</v>
      </c>
      <c r="U58" s="13" t="e">
        <f ca="1">_xll.qlRateHelperLatestDate(R58,Trigger)</f>
        <v>#NAME?</v>
      </c>
      <c r="V58" s="144" t="e">
        <v>#VALUE!</v>
      </c>
    </row>
    <row r="59" spans="1:22" ht="11.25" customHeight="1" x14ac:dyDescent="0.2">
      <c r="A59" s="96" t="s">
        <v>38</v>
      </c>
      <c r="B59" s="126"/>
      <c r="C59" s="126" t="s">
        <v>14</v>
      </c>
      <c r="D59" s="127" t="e">
        <v>#NUM!</v>
      </c>
      <c r="E59" s="119" t="s">
        <v>15</v>
      </c>
      <c r="F59" s="126" t="s">
        <v>16</v>
      </c>
      <c r="G59" s="119" t="s">
        <v>17</v>
      </c>
      <c r="H59" s="128" t="e">
        <v>#NUM!</v>
      </c>
      <c r="I59" s="94" t="e">
        <f>_xll.qlSwapRateHelper2(,$H59,,$D59,Calendar,$F59,$E59,$G59,$I$20,0,C59,Discounting,Permanent,Trigger,ObjectOverwrite)</f>
        <v>#VALUE!</v>
      </c>
      <c r="J59" s="122" t="b">
        <f t="shared" si="12"/>
        <v>0</v>
      </c>
      <c r="L59" s="21" t="str">
        <f t="shared" si="8"/>
        <v>Sw</v>
      </c>
      <c r="M59" s="21" t="e">
        <f t="shared" si="9"/>
        <v>#NUM!</v>
      </c>
      <c r="N59" s="21" t="e">
        <f t="shared" si="10"/>
        <v>#VALUE!</v>
      </c>
      <c r="O59" s="21" t="b">
        <f t="shared" si="11"/>
        <v>0</v>
      </c>
      <c r="P59" s="12">
        <v>0</v>
      </c>
      <c r="Q59" s="12">
        <v>0</v>
      </c>
      <c r="R59" s="12">
        <v>0</v>
      </c>
      <c r="S59" s="106" t="e">
        <f>_xll.qlRateHelperRate(R59,Trigger)</f>
        <v>#NUM!</v>
      </c>
      <c r="T59" s="13" t="e">
        <f>_xll.qlRateHelperEarliestDate(R59,Trigger)</f>
        <v>#NUM!</v>
      </c>
      <c r="U59" s="13" t="e">
        <f ca="1">_xll.qlRateHelperLatestDate(R59,Trigger)</f>
        <v>#NAME?</v>
      </c>
      <c r="V59" s="144" t="e">
        <v>#VALUE!</v>
      </c>
    </row>
    <row r="60" spans="1:22" ht="11.25" customHeight="1" x14ac:dyDescent="0.2">
      <c r="A60" s="96" t="s">
        <v>38</v>
      </c>
      <c r="B60" s="126"/>
      <c r="C60" s="126" t="s">
        <v>14</v>
      </c>
      <c r="D60" s="127" t="e">
        <v>#NUM!</v>
      </c>
      <c r="E60" s="119" t="s">
        <v>15</v>
      </c>
      <c r="F60" s="126" t="s">
        <v>16</v>
      </c>
      <c r="G60" s="119" t="s">
        <v>17</v>
      </c>
      <c r="H60" s="128" t="e">
        <v>#NUM!</v>
      </c>
      <c r="I60" s="94" t="e">
        <f>_xll.qlSwapRateHelper2(,$H60,,$D60,Calendar,$F60,$E60,$G60,$I$20,0,C60,Discounting,Permanent,Trigger,ObjectOverwrite)</f>
        <v>#VALUE!</v>
      </c>
      <c r="J60" s="122" t="b">
        <f t="shared" si="12"/>
        <v>0</v>
      </c>
      <c r="L60" s="21" t="str">
        <f t="shared" si="8"/>
        <v>Sw</v>
      </c>
      <c r="M60" s="21" t="e">
        <f t="shared" si="9"/>
        <v>#NUM!</v>
      </c>
      <c r="N60" s="21" t="e">
        <f t="shared" si="10"/>
        <v>#VALUE!</v>
      </c>
      <c r="O60" s="21" t="b">
        <f t="shared" si="11"/>
        <v>0</v>
      </c>
      <c r="P60" s="12">
        <v>0</v>
      </c>
      <c r="Q60" s="12">
        <v>0</v>
      </c>
      <c r="R60" s="12">
        <v>0</v>
      </c>
      <c r="S60" s="106" t="e">
        <f>_xll.qlRateHelperRate(R60,Trigger)</f>
        <v>#NUM!</v>
      </c>
      <c r="T60" s="13" t="e">
        <f>_xll.qlRateHelperEarliestDate(R60,Trigger)</f>
        <v>#NUM!</v>
      </c>
      <c r="U60" s="13" t="e">
        <f ca="1">_xll.qlRateHelperLatestDate(R60,Trigger)</f>
        <v>#NAME?</v>
      </c>
      <c r="V60" s="144" t="e">
        <v>#VALUE!</v>
      </c>
    </row>
    <row r="61" spans="1:22" ht="11.25" customHeight="1" x14ac:dyDescent="0.2">
      <c r="A61" s="96" t="s">
        <v>38</v>
      </c>
      <c r="B61" s="126"/>
      <c r="C61" s="126" t="s">
        <v>14</v>
      </c>
      <c r="D61" s="127" t="e">
        <v>#NUM!</v>
      </c>
      <c r="E61" s="119" t="s">
        <v>15</v>
      </c>
      <c r="F61" s="126" t="s">
        <v>16</v>
      </c>
      <c r="G61" s="119" t="s">
        <v>17</v>
      </c>
      <c r="H61" s="128" t="e">
        <v>#NUM!</v>
      </c>
      <c r="I61" s="94" t="e">
        <f>_xll.qlSwapRateHelper2(,$H61,,$D61,Calendar,$F61,$E61,$G61,$I$20,0,C61,Discounting,Permanent,Trigger,ObjectOverwrite)</f>
        <v>#VALUE!</v>
      </c>
      <c r="J61" s="122" t="b">
        <f t="shared" si="12"/>
        <v>0</v>
      </c>
      <c r="L61" s="21" t="str">
        <f t="shared" si="8"/>
        <v>Sw</v>
      </c>
      <c r="M61" s="21" t="e">
        <f t="shared" si="9"/>
        <v>#NUM!</v>
      </c>
      <c r="N61" s="21" t="e">
        <f t="shared" si="10"/>
        <v>#VALUE!</v>
      </c>
      <c r="O61" s="21" t="b">
        <f t="shared" si="11"/>
        <v>0</v>
      </c>
      <c r="P61" s="12">
        <v>0</v>
      </c>
      <c r="Q61" s="12">
        <v>0</v>
      </c>
      <c r="R61" s="12">
        <v>0</v>
      </c>
      <c r="S61" s="106" t="e">
        <f>_xll.qlRateHelperRate(R61,Trigger)</f>
        <v>#NUM!</v>
      </c>
      <c r="T61" s="13" t="e">
        <f>_xll.qlRateHelperEarliestDate(R61,Trigger)</f>
        <v>#NUM!</v>
      </c>
      <c r="U61" s="13" t="e">
        <f ca="1">_xll.qlRateHelperLatestDate(R61,Trigger)</f>
        <v>#NAME?</v>
      </c>
      <c r="V61" s="144" t="e">
        <v>#VALUE!</v>
      </c>
    </row>
    <row r="62" spans="1:22" ht="11.25" customHeight="1" x14ac:dyDescent="0.2">
      <c r="A62" s="96" t="s">
        <v>38</v>
      </c>
      <c r="B62" s="126"/>
      <c r="C62" s="126" t="s">
        <v>14</v>
      </c>
      <c r="D62" s="127" t="e">
        <v>#NUM!</v>
      </c>
      <c r="E62" s="119" t="s">
        <v>15</v>
      </c>
      <c r="F62" s="126" t="s">
        <v>16</v>
      </c>
      <c r="G62" s="119" t="s">
        <v>17</v>
      </c>
      <c r="H62" s="128" t="e">
        <v>#NUM!</v>
      </c>
      <c r="I62" s="94" t="e">
        <f>_xll.qlSwapRateHelper2(,$H62,,$D62,Calendar,$F62,$E62,$G62,$I$20,0,C62,Discounting,Permanent,Trigger,ObjectOverwrite)</f>
        <v>#VALUE!</v>
      </c>
      <c r="J62" s="122" t="b">
        <f t="shared" si="12"/>
        <v>0</v>
      </c>
      <c r="L62" s="21" t="str">
        <f t="shared" si="8"/>
        <v>Sw</v>
      </c>
      <c r="M62" s="21" t="e">
        <f t="shared" si="9"/>
        <v>#NUM!</v>
      </c>
      <c r="N62" s="21" t="e">
        <f t="shared" si="10"/>
        <v>#VALUE!</v>
      </c>
      <c r="O62" s="21" t="b">
        <f t="shared" si="11"/>
        <v>0</v>
      </c>
      <c r="P62" s="12">
        <v>0</v>
      </c>
      <c r="Q62" s="12">
        <v>0</v>
      </c>
      <c r="R62" s="12">
        <v>0</v>
      </c>
      <c r="S62" s="106" t="e">
        <f>_xll.qlRateHelperRate(R62,Trigger)</f>
        <v>#NUM!</v>
      </c>
      <c r="T62" s="13" t="e">
        <f>_xll.qlRateHelperEarliestDate(R62,Trigger)</f>
        <v>#NUM!</v>
      </c>
      <c r="U62" s="13" t="e">
        <f ca="1">_xll.qlRateHelperLatestDate(R62,Trigger)</f>
        <v>#NAME?</v>
      </c>
      <c r="V62" s="144" t="e">
        <v>#VALUE!</v>
      </c>
    </row>
    <row r="63" spans="1:22" ht="11.25" customHeight="1" x14ac:dyDescent="0.2">
      <c r="A63" s="96" t="s">
        <v>38</v>
      </c>
      <c r="B63" s="126"/>
      <c r="C63" s="126" t="s">
        <v>14</v>
      </c>
      <c r="D63" s="127" t="e">
        <v>#NUM!</v>
      </c>
      <c r="E63" s="119" t="s">
        <v>15</v>
      </c>
      <c r="F63" s="126" t="s">
        <v>16</v>
      </c>
      <c r="G63" s="119" t="s">
        <v>17</v>
      </c>
      <c r="H63" s="128" t="e">
        <v>#NUM!</v>
      </c>
      <c r="I63" s="94" t="e">
        <f>_xll.qlSwapRateHelper2(,$H63,,$D63,Calendar,$F63,$E63,$G63,$I$20,0,C63,Discounting,Permanent,Trigger,ObjectOverwrite)</f>
        <v>#VALUE!</v>
      </c>
      <c r="J63" s="122" t="b">
        <f t="shared" si="12"/>
        <v>0</v>
      </c>
      <c r="L63" s="21" t="str">
        <f t="shared" si="8"/>
        <v>Sw</v>
      </c>
      <c r="M63" s="21" t="e">
        <f t="shared" si="9"/>
        <v>#NUM!</v>
      </c>
      <c r="N63" s="21" t="e">
        <f t="shared" si="10"/>
        <v>#VALUE!</v>
      </c>
      <c r="O63" s="21" t="b">
        <f t="shared" si="11"/>
        <v>0</v>
      </c>
      <c r="P63" s="12">
        <v>0</v>
      </c>
      <c r="Q63" s="12">
        <v>0</v>
      </c>
      <c r="R63" s="12">
        <v>0</v>
      </c>
      <c r="S63" s="106" t="e">
        <f>_xll.qlRateHelperRate(R63,Trigger)</f>
        <v>#NUM!</v>
      </c>
      <c r="T63" s="13" t="e">
        <f>_xll.qlRateHelperEarliestDate(R63,Trigger)</f>
        <v>#NUM!</v>
      </c>
      <c r="U63" s="13" t="e">
        <f ca="1">_xll.qlRateHelperLatestDate(R63,Trigger)</f>
        <v>#NAME?</v>
      </c>
      <c r="V63" s="144" t="e">
        <v>#VALUE!</v>
      </c>
    </row>
    <row r="64" spans="1:22" ht="11.25" customHeight="1" x14ac:dyDescent="0.2">
      <c r="A64" s="96" t="s">
        <v>38</v>
      </c>
      <c r="B64" s="126"/>
      <c r="C64" s="126" t="s">
        <v>14</v>
      </c>
      <c r="D64" s="127" t="e">
        <v>#NUM!</v>
      </c>
      <c r="E64" s="119" t="s">
        <v>15</v>
      </c>
      <c r="F64" s="126" t="s">
        <v>16</v>
      </c>
      <c r="G64" s="119" t="s">
        <v>17</v>
      </c>
      <c r="H64" s="128" t="e">
        <v>#NUM!</v>
      </c>
      <c r="I64" s="94" t="e">
        <f>_xll.qlSwapRateHelper2(,$H64,,$D64,Calendar,$F64,$E64,$G64,$I$20,0,C64,Discounting,Permanent,Trigger,ObjectOverwrite)</f>
        <v>#VALUE!</v>
      </c>
      <c r="J64" s="122" t="b">
        <f t="shared" si="12"/>
        <v>0</v>
      </c>
      <c r="L64" s="21" t="str">
        <f t="shared" si="8"/>
        <v>Sw</v>
      </c>
      <c r="M64" s="21" t="e">
        <f t="shared" si="9"/>
        <v>#NUM!</v>
      </c>
      <c r="N64" s="21" t="e">
        <f t="shared" si="10"/>
        <v>#VALUE!</v>
      </c>
      <c r="O64" s="21" t="b">
        <f t="shared" si="11"/>
        <v>0</v>
      </c>
      <c r="P64" s="12">
        <v>0</v>
      </c>
      <c r="Q64" s="12">
        <v>0</v>
      </c>
      <c r="R64" s="12">
        <v>0</v>
      </c>
      <c r="S64" s="106" t="e">
        <f>_xll.qlRateHelperRate(R64,Trigger)</f>
        <v>#NUM!</v>
      </c>
      <c r="T64" s="13" t="e">
        <f>_xll.qlRateHelperEarliestDate(R64,Trigger)</f>
        <v>#NUM!</v>
      </c>
      <c r="U64" s="13" t="e">
        <f ca="1">_xll.qlRateHelperLatestDate(R64,Trigger)</f>
        <v>#NAME?</v>
      </c>
      <c r="V64" s="144" t="e">
        <v>#VALUE!</v>
      </c>
    </row>
    <row r="65" spans="1:22" ht="11.25" customHeight="1" x14ac:dyDescent="0.2">
      <c r="A65" s="96" t="s">
        <v>38</v>
      </c>
      <c r="B65" s="126"/>
      <c r="C65" s="126" t="s">
        <v>14</v>
      </c>
      <c r="D65" s="127" t="e">
        <v>#NUM!</v>
      </c>
      <c r="E65" s="119" t="s">
        <v>15</v>
      </c>
      <c r="F65" s="126" t="s">
        <v>16</v>
      </c>
      <c r="G65" s="119" t="s">
        <v>17</v>
      </c>
      <c r="H65" s="128" t="e">
        <v>#NUM!</v>
      </c>
      <c r="I65" s="94" t="e">
        <f>_xll.qlSwapRateHelper2(,$H65,,$D65,Calendar,$F65,$E65,$G65,$I$20,0,C65,Discounting,Permanent,Trigger,ObjectOverwrite)</f>
        <v>#VALUE!</v>
      </c>
      <c r="J65" s="122" t="b">
        <f t="shared" si="12"/>
        <v>0</v>
      </c>
      <c r="L65" s="21" t="str">
        <f t="shared" si="8"/>
        <v>Sw</v>
      </c>
      <c r="M65" s="21" t="e">
        <f t="shared" si="9"/>
        <v>#NUM!</v>
      </c>
      <c r="N65" s="21" t="e">
        <f t="shared" si="10"/>
        <v>#VALUE!</v>
      </c>
      <c r="O65" s="21" t="b">
        <f t="shared" si="11"/>
        <v>0</v>
      </c>
      <c r="P65" s="12">
        <v>0</v>
      </c>
      <c r="Q65" s="12">
        <v>0</v>
      </c>
      <c r="R65" s="12">
        <v>0</v>
      </c>
      <c r="S65" s="106" t="e">
        <f>_xll.qlRateHelperRate(R65,Trigger)</f>
        <v>#NUM!</v>
      </c>
      <c r="T65" s="13" t="e">
        <f>_xll.qlRateHelperEarliestDate(R65,Trigger)</f>
        <v>#NUM!</v>
      </c>
      <c r="U65" s="13" t="e">
        <f ca="1">_xll.qlRateHelperLatestDate(R65,Trigger)</f>
        <v>#NAME?</v>
      </c>
      <c r="V65" s="144" t="e">
        <v>#VALUE!</v>
      </c>
    </row>
    <row r="66" spans="1:22" ht="11.25" customHeight="1" x14ac:dyDescent="0.2">
      <c r="A66" s="96" t="s">
        <v>38</v>
      </c>
      <c r="B66" s="126"/>
      <c r="C66" s="126" t="s">
        <v>14</v>
      </c>
      <c r="D66" s="127" t="e">
        <v>#NUM!</v>
      </c>
      <c r="E66" s="119" t="s">
        <v>15</v>
      </c>
      <c r="F66" s="126" t="s">
        <v>16</v>
      </c>
      <c r="G66" s="119" t="s">
        <v>17</v>
      </c>
      <c r="H66" s="128" t="e">
        <v>#NUM!</v>
      </c>
      <c r="I66" s="94" t="e">
        <f>_xll.qlSwapRateHelper2(,$H66,,$D66,Calendar,$F66,$E66,$G66,$I$20,0,C66,Discounting,Permanent,Trigger,ObjectOverwrite)</f>
        <v>#VALUE!</v>
      </c>
      <c r="J66" s="122" t="b">
        <f t="shared" si="12"/>
        <v>0</v>
      </c>
      <c r="L66" s="21" t="str">
        <f t="shared" si="8"/>
        <v>Sw</v>
      </c>
      <c r="M66" s="21" t="e">
        <f t="shared" si="9"/>
        <v>#NUM!</v>
      </c>
      <c r="N66" s="21" t="e">
        <f t="shared" si="10"/>
        <v>#VALUE!</v>
      </c>
      <c r="O66" s="21" t="b">
        <f t="shared" si="11"/>
        <v>0</v>
      </c>
      <c r="P66" s="12">
        <v>0</v>
      </c>
      <c r="Q66" s="12">
        <v>0</v>
      </c>
      <c r="R66" s="12">
        <v>0</v>
      </c>
      <c r="S66" s="106" t="e">
        <f>_xll.qlRateHelperRate(R66,Trigger)</f>
        <v>#NUM!</v>
      </c>
      <c r="T66" s="13" t="e">
        <f>_xll.qlRateHelperEarliestDate(R66,Trigger)</f>
        <v>#NUM!</v>
      </c>
      <c r="U66" s="13" t="e">
        <f ca="1">_xll.qlRateHelperLatestDate(R66,Trigger)</f>
        <v>#NAME?</v>
      </c>
      <c r="V66" s="144" t="e">
        <v>#VALUE!</v>
      </c>
    </row>
    <row r="67" spans="1:22" ht="11.25" customHeight="1" x14ac:dyDescent="0.2">
      <c r="A67" s="96" t="s">
        <v>38</v>
      </c>
      <c r="B67" s="126"/>
      <c r="C67" s="126" t="s">
        <v>14</v>
      </c>
      <c r="D67" s="127" t="e">
        <v>#NUM!</v>
      </c>
      <c r="E67" s="119" t="s">
        <v>15</v>
      </c>
      <c r="F67" s="126" t="s">
        <v>16</v>
      </c>
      <c r="G67" s="119" t="s">
        <v>17</v>
      </c>
      <c r="H67" s="128" t="e">
        <v>#NUM!</v>
      </c>
      <c r="I67" s="94" t="e">
        <f>_xll.qlSwapRateHelper2(,$H67,,$D67,Calendar,$F67,$E67,$G67,$I$20,0,C67,Discounting,Permanent,Trigger,ObjectOverwrite)</f>
        <v>#VALUE!</v>
      </c>
      <c r="J67" s="122" t="b">
        <f t="shared" ref="J67:J85" si="13">IF(ISERROR(I67),FALSE,TRUE)</f>
        <v>0</v>
      </c>
      <c r="L67" s="21" t="str">
        <f t="shared" si="8"/>
        <v>Sw</v>
      </c>
      <c r="M67" s="21" t="e">
        <f t="shared" si="9"/>
        <v>#NUM!</v>
      </c>
      <c r="N67" s="21" t="e">
        <f t="shared" si="10"/>
        <v>#VALUE!</v>
      </c>
      <c r="O67" s="21" t="b">
        <f t="shared" si="11"/>
        <v>0</v>
      </c>
      <c r="P67" s="12">
        <v>0</v>
      </c>
      <c r="Q67" s="12">
        <v>0</v>
      </c>
      <c r="R67" s="12">
        <v>0</v>
      </c>
      <c r="S67" s="106" t="e">
        <f>_xll.qlRateHelperRate(R67,Trigger)</f>
        <v>#NUM!</v>
      </c>
      <c r="T67" s="13" t="e">
        <f>_xll.qlRateHelperEarliestDate(R67,Trigger)</f>
        <v>#NUM!</v>
      </c>
      <c r="U67" s="13" t="e">
        <f ca="1">_xll.qlRateHelperLatestDate(R67,Trigger)</f>
        <v>#NAME?</v>
      </c>
      <c r="V67" s="144" t="e">
        <v>#VALUE!</v>
      </c>
    </row>
    <row r="68" spans="1:22" ht="11.25" customHeight="1" x14ac:dyDescent="0.2">
      <c r="A68" s="96" t="s">
        <v>38</v>
      </c>
      <c r="B68" s="126"/>
      <c r="C68" s="126" t="s">
        <v>14</v>
      </c>
      <c r="D68" s="127" t="e">
        <v>#NUM!</v>
      </c>
      <c r="E68" s="119" t="s">
        <v>15</v>
      </c>
      <c r="F68" s="126" t="s">
        <v>16</v>
      </c>
      <c r="G68" s="119" t="s">
        <v>17</v>
      </c>
      <c r="H68" s="128" t="e">
        <v>#NUM!</v>
      </c>
      <c r="I68" s="94" t="e">
        <f>_xll.qlSwapRateHelper2(,$H68,,$D68,Calendar,$F68,$E68,$G68,$I$20,0,C68,Discounting,Permanent,Trigger,ObjectOverwrite)</f>
        <v>#VALUE!</v>
      </c>
      <c r="J68" s="122" t="b">
        <f t="shared" si="13"/>
        <v>0</v>
      </c>
      <c r="L68" s="21" t="str">
        <f t="shared" si="8"/>
        <v>Sw</v>
      </c>
      <c r="M68" s="21" t="e">
        <f t="shared" si="9"/>
        <v>#NUM!</v>
      </c>
      <c r="N68" s="21" t="e">
        <f t="shared" si="10"/>
        <v>#VALUE!</v>
      </c>
      <c r="O68" s="21" t="b">
        <f t="shared" si="11"/>
        <v>0</v>
      </c>
      <c r="P68" s="12">
        <v>0</v>
      </c>
      <c r="Q68" s="12">
        <v>0</v>
      </c>
      <c r="R68" s="12">
        <v>0</v>
      </c>
      <c r="S68" s="106" t="e">
        <f>_xll.qlRateHelperRate(R68,Trigger)</f>
        <v>#NUM!</v>
      </c>
      <c r="T68" s="13" t="e">
        <f>_xll.qlRateHelperEarliestDate(R68,Trigger)</f>
        <v>#NUM!</v>
      </c>
      <c r="U68" s="13" t="e">
        <f ca="1">_xll.qlRateHelperLatestDate(R68,Trigger)</f>
        <v>#NAME?</v>
      </c>
      <c r="V68" s="144" t="e">
        <v>#VALUE!</v>
      </c>
    </row>
    <row r="69" spans="1:22" ht="11.25" customHeight="1" x14ac:dyDescent="0.2">
      <c r="A69" s="96" t="s">
        <v>38</v>
      </c>
      <c r="B69" s="126"/>
      <c r="C69" s="126" t="s">
        <v>14</v>
      </c>
      <c r="D69" s="127" t="e">
        <v>#NUM!</v>
      </c>
      <c r="E69" s="119" t="s">
        <v>15</v>
      </c>
      <c r="F69" s="126" t="s">
        <v>16</v>
      </c>
      <c r="G69" s="119" t="s">
        <v>17</v>
      </c>
      <c r="H69" s="128" t="e">
        <v>#NUM!</v>
      </c>
      <c r="I69" s="94" t="e">
        <f>_xll.qlSwapRateHelper2(,$H69,,$D69,Calendar,$F69,$E69,$G69,$I$20,0,C69,Discounting,Permanent,Trigger,ObjectOverwrite)</f>
        <v>#VALUE!</v>
      </c>
      <c r="J69" s="122" t="b">
        <f t="shared" si="13"/>
        <v>0</v>
      </c>
      <c r="L69" s="21" t="str">
        <f t="shared" si="8"/>
        <v>Sw</v>
      </c>
      <c r="M69" s="21" t="e">
        <f t="shared" si="9"/>
        <v>#NUM!</v>
      </c>
      <c r="N69" s="21" t="e">
        <f t="shared" si="10"/>
        <v>#VALUE!</v>
      </c>
      <c r="O69" s="21" t="b">
        <f t="shared" si="11"/>
        <v>0</v>
      </c>
      <c r="P69" s="12">
        <v>0</v>
      </c>
      <c r="Q69" s="12">
        <v>0</v>
      </c>
      <c r="R69" s="12">
        <v>0</v>
      </c>
      <c r="S69" s="106" t="e">
        <f>_xll.qlRateHelperRate(R69,Trigger)</f>
        <v>#NUM!</v>
      </c>
      <c r="T69" s="13" t="e">
        <f>_xll.qlRateHelperEarliestDate(R69,Trigger)</f>
        <v>#NUM!</v>
      </c>
      <c r="U69" s="13" t="e">
        <f ca="1">_xll.qlRateHelperLatestDate(R69,Trigger)</f>
        <v>#NAME?</v>
      </c>
      <c r="V69" s="144" t="e">
        <v>#VALUE!</v>
      </c>
    </row>
    <row r="70" spans="1:22" ht="11.25" customHeight="1" x14ac:dyDescent="0.2">
      <c r="A70" s="96" t="s">
        <v>38</v>
      </c>
      <c r="B70" s="126"/>
      <c r="C70" s="126" t="s">
        <v>14</v>
      </c>
      <c r="D70" s="127" t="e">
        <v>#NUM!</v>
      </c>
      <c r="E70" s="119" t="s">
        <v>15</v>
      </c>
      <c r="F70" s="126" t="s">
        <v>16</v>
      </c>
      <c r="G70" s="119" t="s">
        <v>17</v>
      </c>
      <c r="H70" s="128" t="e">
        <v>#NUM!</v>
      </c>
      <c r="I70" s="94" t="e">
        <f>_xll.qlSwapRateHelper2(,$H70,,$D70,Calendar,$F70,$E70,$G70,$I$20,0,C70,Discounting,Permanent,Trigger,ObjectOverwrite)</f>
        <v>#VALUE!</v>
      </c>
      <c r="J70" s="122" t="b">
        <f t="shared" si="13"/>
        <v>0</v>
      </c>
      <c r="L70" s="21" t="str">
        <f t="shared" si="8"/>
        <v>Sw</v>
      </c>
      <c r="M70" s="21" t="e">
        <f t="shared" si="9"/>
        <v>#NUM!</v>
      </c>
      <c r="N70" s="21" t="e">
        <f t="shared" si="10"/>
        <v>#VALUE!</v>
      </c>
      <c r="O70" s="21" t="b">
        <f t="shared" si="11"/>
        <v>0</v>
      </c>
      <c r="P70" s="12">
        <v>0</v>
      </c>
      <c r="Q70" s="12">
        <v>0</v>
      </c>
      <c r="R70" s="12">
        <v>0</v>
      </c>
      <c r="S70" s="106" t="e">
        <f>_xll.qlRateHelperRate(R70,Trigger)</f>
        <v>#NUM!</v>
      </c>
      <c r="T70" s="13" t="e">
        <f>_xll.qlRateHelperEarliestDate(R70,Trigger)</f>
        <v>#NUM!</v>
      </c>
      <c r="U70" s="13" t="e">
        <f ca="1">_xll.qlRateHelperLatestDate(R70,Trigger)</f>
        <v>#NAME?</v>
      </c>
      <c r="V70" s="144" t="e">
        <v>#VALUE!</v>
      </c>
    </row>
    <row r="71" spans="1:22" ht="11.25" customHeight="1" x14ac:dyDescent="0.2">
      <c r="A71" s="96" t="s">
        <v>38</v>
      </c>
      <c r="B71" s="126"/>
      <c r="C71" s="126" t="s">
        <v>14</v>
      </c>
      <c r="D71" s="127" t="e">
        <v>#NUM!</v>
      </c>
      <c r="E71" s="119" t="s">
        <v>15</v>
      </c>
      <c r="F71" s="126" t="s">
        <v>16</v>
      </c>
      <c r="G71" s="119" t="s">
        <v>17</v>
      </c>
      <c r="H71" s="128" t="e">
        <v>#NUM!</v>
      </c>
      <c r="I71" s="94" t="e">
        <f>_xll.qlSwapRateHelper2(,$H71,,$D71,Calendar,$F71,$E71,$G71,$I$20,0,C71,Discounting,Permanent,Trigger,ObjectOverwrite)</f>
        <v>#VALUE!</v>
      </c>
      <c r="J71" s="122" t="b">
        <f t="shared" si="13"/>
        <v>0</v>
      </c>
      <c r="L71" s="21" t="str">
        <f t="shared" si="8"/>
        <v>Sw</v>
      </c>
      <c r="M71" s="21" t="e">
        <f t="shared" si="9"/>
        <v>#NUM!</v>
      </c>
      <c r="N71" s="21" t="e">
        <f t="shared" si="10"/>
        <v>#VALUE!</v>
      </c>
      <c r="O71" s="21" t="b">
        <f t="shared" si="11"/>
        <v>0</v>
      </c>
      <c r="P71" s="14">
        <v>0</v>
      </c>
      <c r="Q71" s="14">
        <v>0</v>
      </c>
      <c r="R71" s="14">
        <v>0</v>
      </c>
      <c r="S71" s="146" t="e">
        <f>_xll.qlRateHelperRate(R71,Trigger)</f>
        <v>#NUM!</v>
      </c>
      <c r="T71" s="25" t="e">
        <f>_xll.qlRateHelperEarliestDate(R71,Trigger)</f>
        <v>#NUM!</v>
      </c>
      <c r="U71" s="25" t="e">
        <f ca="1">_xll.qlRateHelperLatestDate(R71,Trigger)</f>
        <v>#NAME?</v>
      </c>
      <c r="V71" s="145" t="e">
        <v>#VALUE!</v>
      </c>
    </row>
    <row r="72" spans="1:22" ht="11.25" customHeight="1" x14ac:dyDescent="0.2">
      <c r="A72" s="96" t="s">
        <v>38</v>
      </c>
      <c r="B72" s="126"/>
      <c r="C72" s="126" t="s">
        <v>14</v>
      </c>
      <c r="D72" s="127" t="e">
        <v>#NUM!</v>
      </c>
      <c r="E72" s="119" t="s">
        <v>15</v>
      </c>
      <c r="F72" s="126" t="s">
        <v>16</v>
      </c>
      <c r="G72" s="119" t="s">
        <v>17</v>
      </c>
      <c r="H72" s="128" t="e">
        <v>#NUM!</v>
      </c>
      <c r="I72" s="94" t="e">
        <f>_xll.qlSwapRateHelper2(,$H72,,$D72,Calendar,$F72,$E72,$G72,$I$20,0,C72,Discounting,Permanent,Trigger,ObjectOverwrite)</f>
        <v>#VALUE!</v>
      </c>
      <c r="J72" s="122" t="b">
        <f t="shared" si="13"/>
        <v>0</v>
      </c>
      <c r="L72" s="21" t="str">
        <f t="shared" si="8"/>
        <v>Sw</v>
      </c>
      <c r="M72" s="21" t="e">
        <f>D75</f>
        <v>#NUM!</v>
      </c>
      <c r="N72" s="21" t="e">
        <f t="shared" si="10"/>
        <v>#VALUE!</v>
      </c>
      <c r="O72" s="21" t="b">
        <f t="shared" si="11"/>
        <v>0</v>
      </c>
    </row>
    <row r="73" spans="1:22" ht="11.25" customHeight="1" x14ac:dyDescent="0.2">
      <c r="A73" s="96" t="s">
        <v>38</v>
      </c>
      <c r="B73" s="126"/>
      <c r="C73" s="126" t="s">
        <v>14</v>
      </c>
      <c r="D73" s="127" t="e">
        <v>#NUM!</v>
      </c>
      <c r="E73" s="119" t="s">
        <v>15</v>
      </c>
      <c r="F73" s="126" t="s">
        <v>16</v>
      </c>
      <c r="G73" s="119" t="s">
        <v>17</v>
      </c>
      <c r="H73" s="128" t="e">
        <v>#NUM!</v>
      </c>
      <c r="I73" s="94" t="e">
        <f>_xll.qlSwapRateHelper2(,$H73,,$D73,Calendar,$F73,$E73,$G73,$I$20,0,C73,Discounting,Permanent,Trigger,ObjectOverwrite)</f>
        <v>#VALUE!</v>
      </c>
      <c r="J73" s="122" t="b">
        <f t="shared" si="13"/>
        <v>0</v>
      </c>
      <c r="L73" s="21" t="str">
        <f t="shared" si="8"/>
        <v>Sw</v>
      </c>
      <c r="M73" s="21" t="e">
        <f t="shared" si="9"/>
        <v>#NUM!</v>
      </c>
      <c r="N73" s="21" t="e">
        <f t="shared" si="10"/>
        <v>#VALUE!</v>
      </c>
      <c r="O73" s="21" t="b">
        <f t="shared" si="11"/>
        <v>0</v>
      </c>
    </row>
    <row r="74" spans="1:22" ht="11.25" customHeight="1" x14ac:dyDescent="0.2">
      <c r="A74" s="96" t="s">
        <v>38</v>
      </c>
      <c r="B74" s="126"/>
      <c r="C74" s="126" t="s">
        <v>14</v>
      </c>
      <c r="D74" s="127" t="e">
        <v>#NUM!</v>
      </c>
      <c r="E74" s="119" t="s">
        <v>15</v>
      </c>
      <c r="F74" s="126" t="s">
        <v>16</v>
      </c>
      <c r="G74" s="119" t="s">
        <v>17</v>
      </c>
      <c r="H74" s="128" t="e">
        <v>#NUM!</v>
      </c>
      <c r="I74" s="94" t="e">
        <f>_xll.qlSwapRateHelper2(,$H74,,$D74,Calendar,$F74,$E74,$G74,$I$20,0,C74,Discounting,Permanent,Trigger,ObjectOverwrite)</f>
        <v>#VALUE!</v>
      </c>
      <c r="J74" s="122" t="b">
        <f t="shared" si="13"/>
        <v>0</v>
      </c>
      <c r="L74" s="21" t="str">
        <f t="shared" si="8"/>
        <v>Sw</v>
      </c>
      <c r="M74" s="21" t="e">
        <f t="shared" si="9"/>
        <v>#NUM!</v>
      </c>
      <c r="N74" s="21" t="e">
        <f t="shared" si="10"/>
        <v>#VALUE!</v>
      </c>
      <c r="O74" s="21" t="b">
        <f t="shared" si="11"/>
        <v>0</v>
      </c>
    </row>
    <row r="75" spans="1:22" ht="11.25" customHeight="1" x14ac:dyDescent="0.2">
      <c r="A75" s="96" t="s">
        <v>38</v>
      </c>
      <c r="B75" s="126"/>
      <c r="C75" s="126" t="s">
        <v>14</v>
      </c>
      <c r="D75" s="127" t="e">
        <v>#NUM!</v>
      </c>
      <c r="E75" s="119" t="s">
        <v>15</v>
      </c>
      <c r="F75" s="126" t="s">
        <v>16</v>
      </c>
      <c r="G75" s="119" t="s">
        <v>17</v>
      </c>
      <c r="H75" s="128" t="e">
        <v>#NUM!</v>
      </c>
      <c r="I75" s="94" t="e">
        <f>_xll.qlSwapRateHelper2(,$H75,,$D75,Calendar,$F75,$E75,$G75,$I$20,0,C75,Discounting,Permanent,Trigger,ObjectOverwrite)</f>
        <v>#VALUE!</v>
      </c>
      <c r="J75" s="122" t="b">
        <f t="shared" si="13"/>
        <v>0</v>
      </c>
      <c r="L75" s="21" t="str">
        <f t="shared" si="8"/>
        <v>Sw</v>
      </c>
      <c r="M75" s="21" t="e">
        <f t="shared" si="9"/>
        <v>#NUM!</v>
      </c>
      <c r="N75" s="21" t="e">
        <f t="shared" si="10"/>
        <v>#VALUE!</v>
      </c>
      <c r="O75" s="21" t="b">
        <f t="shared" si="11"/>
        <v>0</v>
      </c>
    </row>
    <row r="76" spans="1:22" ht="11.25" customHeight="1" x14ac:dyDescent="0.2">
      <c r="A76" s="96" t="s">
        <v>38</v>
      </c>
      <c r="B76" s="126"/>
      <c r="C76" s="126" t="s">
        <v>14</v>
      </c>
      <c r="D76" s="127" t="e">
        <v>#NUM!</v>
      </c>
      <c r="E76" s="119" t="s">
        <v>15</v>
      </c>
      <c r="F76" s="126" t="s">
        <v>16</v>
      </c>
      <c r="G76" s="119" t="s">
        <v>17</v>
      </c>
      <c r="H76" s="128" t="e">
        <v>#NUM!</v>
      </c>
      <c r="I76" s="94" t="e">
        <f>_xll.qlSwapRateHelper2(,$H76,,$D76,Calendar,$F76,$E76,$G76,$I$20,0,C76,Discounting,Permanent,Trigger,ObjectOverwrite)</f>
        <v>#VALUE!</v>
      </c>
      <c r="J76" s="122" t="b">
        <f t="shared" si="13"/>
        <v>0</v>
      </c>
      <c r="L76" s="21" t="str">
        <f t="shared" si="8"/>
        <v>Sw</v>
      </c>
      <c r="M76" s="21" t="e">
        <f t="shared" si="9"/>
        <v>#NUM!</v>
      </c>
      <c r="N76" s="21" t="e">
        <f t="shared" si="10"/>
        <v>#VALUE!</v>
      </c>
      <c r="O76" s="21" t="b">
        <f t="shared" si="11"/>
        <v>0</v>
      </c>
    </row>
    <row r="77" spans="1:22" ht="11.25" customHeight="1" x14ac:dyDescent="0.2">
      <c r="A77" s="96" t="s">
        <v>38</v>
      </c>
      <c r="B77" s="126"/>
      <c r="C77" s="126" t="s">
        <v>14</v>
      </c>
      <c r="D77" s="127" t="e">
        <v>#NUM!</v>
      </c>
      <c r="E77" s="119" t="s">
        <v>15</v>
      </c>
      <c r="F77" s="126" t="s">
        <v>16</v>
      </c>
      <c r="G77" s="119" t="s">
        <v>17</v>
      </c>
      <c r="H77" s="128" t="e">
        <v>#NUM!</v>
      </c>
      <c r="I77" s="94" t="e">
        <f>_xll.qlSwapRateHelper2(,$H77,,$D77,Calendar,$F77,$E77,$G77,$I$20,0,C77,Discounting,Permanent,Trigger,ObjectOverwrite)</f>
        <v>#VALUE!</v>
      </c>
      <c r="J77" s="122" t="b">
        <f t="shared" si="13"/>
        <v>0</v>
      </c>
      <c r="L77" s="21" t="str">
        <f t="shared" si="8"/>
        <v>Sw</v>
      </c>
      <c r="M77" s="21" t="e">
        <f t="shared" si="9"/>
        <v>#NUM!</v>
      </c>
      <c r="N77" s="21" t="e">
        <f t="shared" si="10"/>
        <v>#VALUE!</v>
      </c>
      <c r="O77" s="21" t="b">
        <f t="shared" si="11"/>
        <v>0</v>
      </c>
    </row>
    <row r="78" spans="1:22" ht="11.25" customHeight="1" x14ac:dyDescent="0.2">
      <c r="A78" s="96" t="s">
        <v>38</v>
      </c>
      <c r="B78" s="126"/>
      <c r="C78" s="126" t="s">
        <v>14</v>
      </c>
      <c r="D78" s="127" t="e">
        <v>#NUM!</v>
      </c>
      <c r="E78" s="119" t="s">
        <v>15</v>
      </c>
      <c r="F78" s="126" t="s">
        <v>16</v>
      </c>
      <c r="G78" s="119" t="s">
        <v>17</v>
      </c>
      <c r="H78" s="128" t="e">
        <v>#NUM!</v>
      </c>
      <c r="I78" s="94" t="e">
        <f>_xll.qlSwapRateHelper2(,$H78,,$D78,Calendar,$F78,$E78,$G78,$I$20,0,C78,Discounting,Permanent,Trigger,ObjectOverwrite)</f>
        <v>#VALUE!</v>
      </c>
      <c r="J78" s="122" t="b">
        <f t="shared" si="13"/>
        <v>0</v>
      </c>
      <c r="L78" s="21" t="str">
        <f t="shared" si="8"/>
        <v>Sw</v>
      </c>
      <c r="M78" s="21" t="e">
        <f t="shared" si="9"/>
        <v>#NUM!</v>
      </c>
      <c r="N78" s="21" t="e">
        <f t="shared" si="10"/>
        <v>#VALUE!</v>
      </c>
      <c r="O78" s="21" t="b">
        <f t="shared" si="11"/>
        <v>0</v>
      </c>
    </row>
    <row r="79" spans="1:22" ht="11.25" customHeight="1" x14ac:dyDescent="0.2">
      <c r="A79" s="96" t="s">
        <v>38</v>
      </c>
      <c r="B79" s="126"/>
      <c r="C79" s="126" t="s">
        <v>14</v>
      </c>
      <c r="D79" s="127" t="e">
        <v>#NUM!</v>
      </c>
      <c r="E79" s="119" t="s">
        <v>15</v>
      </c>
      <c r="F79" s="126" t="s">
        <v>16</v>
      </c>
      <c r="G79" s="119" t="s">
        <v>17</v>
      </c>
      <c r="H79" s="128" t="e">
        <v>#NUM!</v>
      </c>
      <c r="I79" s="94" t="e">
        <f>_xll.qlSwapRateHelper2(,$H79,,$D79,Calendar,$F79,$E79,$G79,$I$20,0,C79,Discounting,Permanent,Trigger,ObjectOverwrite)</f>
        <v>#VALUE!</v>
      </c>
      <c r="J79" s="122" t="b">
        <f t="shared" si="13"/>
        <v>0</v>
      </c>
      <c r="L79" s="21" t="str">
        <f t="shared" si="8"/>
        <v>Sw</v>
      </c>
      <c r="M79" s="21" t="e">
        <f t="shared" si="9"/>
        <v>#NUM!</v>
      </c>
      <c r="N79" s="21" t="e">
        <f t="shared" si="10"/>
        <v>#VALUE!</v>
      </c>
      <c r="O79" s="21" t="b">
        <f t="shared" si="11"/>
        <v>0</v>
      </c>
    </row>
    <row r="80" spans="1:22" ht="11.25" customHeight="1" x14ac:dyDescent="0.2">
      <c r="A80" s="96" t="s">
        <v>38</v>
      </c>
      <c r="B80" s="126"/>
      <c r="C80" s="126" t="s">
        <v>14</v>
      </c>
      <c r="D80" s="127" t="e">
        <v>#NUM!</v>
      </c>
      <c r="E80" s="119" t="s">
        <v>15</v>
      </c>
      <c r="F80" s="126" t="s">
        <v>16</v>
      </c>
      <c r="G80" s="119" t="s">
        <v>17</v>
      </c>
      <c r="H80" s="128" t="e">
        <v>#NUM!</v>
      </c>
      <c r="I80" s="94" t="e">
        <f>_xll.qlSwapRateHelper2(,$H80,,$D80,Calendar,$F80,$E80,$G80,$I$20,0,C80,Discounting,Permanent,Trigger,ObjectOverwrite)</f>
        <v>#VALUE!</v>
      </c>
      <c r="J80" s="122" t="b">
        <f t="shared" si="13"/>
        <v>0</v>
      </c>
      <c r="L80" s="21" t="str">
        <f t="shared" si="8"/>
        <v>Sw</v>
      </c>
      <c r="M80" s="21" t="e">
        <f t="shared" si="9"/>
        <v>#NUM!</v>
      </c>
      <c r="N80" s="21" t="e">
        <f t="shared" si="10"/>
        <v>#VALUE!</v>
      </c>
      <c r="O80" s="21" t="b">
        <f t="shared" si="11"/>
        <v>0</v>
      </c>
    </row>
    <row r="81" spans="1:15" ht="11.25" customHeight="1" x14ac:dyDescent="0.2">
      <c r="A81" s="96" t="s">
        <v>38</v>
      </c>
      <c r="B81" s="126"/>
      <c r="C81" s="126" t="s">
        <v>14</v>
      </c>
      <c r="D81" s="127" t="e">
        <v>#NUM!</v>
      </c>
      <c r="E81" s="119" t="s">
        <v>15</v>
      </c>
      <c r="F81" s="126" t="s">
        <v>16</v>
      </c>
      <c r="G81" s="119" t="s">
        <v>17</v>
      </c>
      <c r="H81" s="128" t="e">
        <v>#NUM!</v>
      </c>
      <c r="I81" s="94" t="e">
        <f>_xll.qlSwapRateHelper2(,$H81,,$D81,Calendar,$F81,$E81,$G81,$I$20,0,C81,Discounting,Permanent,Trigger,ObjectOverwrite)</f>
        <v>#VALUE!</v>
      </c>
      <c r="J81" s="122" t="b">
        <f t="shared" si="13"/>
        <v>0</v>
      </c>
      <c r="L81" s="21" t="str">
        <f t="shared" si="8"/>
        <v>Sw</v>
      </c>
      <c r="M81" s="21" t="e">
        <f t="shared" si="9"/>
        <v>#NUM!</v>
      </c>
      <c r="N81" s="21" t="e">
        <f t="shared" si="10"/>
        <v>#VALUE!</v>
      </c>
      <c r="O81" s="21" t="b">
        <f t="shared" si="11"/>
        <v>0</v>
      </c>
    </row>
    <row r="82" spans="1:15" ht="11.25" customHeight="1" x14ac:dyDescent="0.2">
      <c r="A82" s="96" t="s">
        <v>38</v>
      </c>
      <c r="B82" s="126"/>
      <c r="C82" s="126" t="s">
        <v>14</v>
      </c>
      <c r="D82" s="127" t="e">
        <v>#NUM!</v>
      </c>
      <c r="E82" s="119" t="s">
        <v>15</v>
      </c>
      <c r="F82" s="126" t="s">
        <v>16</v>
      </c>
      <c r="G82" s="119" t="s">
        <v>17</v>
      </c>
      <c r="H82" s="128" t="e">
        <v>#NUM!</v>
      </c>
      <c r="I82" s="94" t="e">
        <f>_xll.qlSwapRateHelper2(,$H82,,$D82,Calendar,$F82,$E82,$G82,$I$20,0,C82,Discounting,Permanent,Trigger,ObjectOverwrite)</f>
        <v>#VALUE!</v>
      </c>
      <c r="J82" s="122" t="b">
        <f t="shared" si="13"/>
        <v>0</v>
      </c>
      <c r="L82" s="22" t="str">
        <f t="shared" si="8"/>
        <v>Sw</v>
      </c>
      <c r="M82" s="22" t="e">
        <f t="shared" si="9"/>
        <v>#NUM!</v>
      </c>
      <c r="N82" s="22" t="e">
        <f t="shared" si="10"/>
        <v>#VALUE!</v>
      </c>
      <c r="O82" s="22" t="b">
        <f t="shared" si="11"/>
        <v>0</v>
      </c>
    </row>
    <row r="83" spans="1:15" ht="11.25" customHeight="1" x14ac:dyDescent="0.2">
      <c r="A83" s="96" t="s">
        <v>38</v>
      </c>
      <c r="B83" s="126"/>
      <c r="C83" s="126" t="s">
        <v>14</v>
      </c>
      <c r="D83" s="127" t="e">
        <v>#NUM!</v>
      </c>
      <c r="E83" s="119" t="s">
        <v>15</v>
      </c>
      <c r="F83" s="126" t="s">
        <v>16</v>
      </c>
      <c r="G83" s="119" t="s">
        <v>17</v>
      </c>
      <c r="H83" s="128" t="e">
        <v>#NUM!</v>
      </c>
      <c r="I83" s="94" t="e">
        <f>_xll.qlSwapRateHelper2(,$H83,,$D83,Calendar,$F83,$E83,$G83,$I$20,0,C83,Discounting,Permanent,Trigger,ObjectOverwrite)</f>
        <v>#VALUE!</v>
      </c>
      <c r="J83" s="122" t="b">
        <f t="shared" si="13"/>
        <v>0</v>
      </c>
    </row>
    <row r="84" spans="1:15" ht="11.25" customHeight="1" x14ac:dyDescent="0.2">
      <c r="A84" s="96" t="s">
        <v>38</v>
      </c>
      <c r="B84" s="126"/>
      <c r="C84" s="126" t="s">
        <v>14</v>
      </c>
      <c r="D84" s="127" t="e">
        <v>#NUM!</v>
      </c>
      <c r="E84" s="119" t="s">
        <v>15</v>
      </c>
      <c r="F84" s="126" t="s">
        <v>16</v>
      </c>
      <c r="G84" s="119" t="s">
        <v>17</v>
      </c>
      <c r="H84" s="128" t="e">
        <v>#NUM!</v>
      </c>
      <c r="I84" s="94" t="e">
        <f>_xll.qlSwapRateHelper2(,$H84,,$D84,Calendar,$F84,$E84,$G84,$I$20,0,C84,Discounting,Permanent,Trigger,ObjectOverwrite)</f>
        <v>#VALUE!</v>
      </c>
      <c r="J84" s="122" t="b">
        <f t="shared" si="13"/>
        <v>0</v>
      </c>
    </row>
    <row r="85" spans="1:15" ht="11.25" customHeight="1" x14ac:dyDescent="0.2">
      <c r="A85" s="6" t="s">
        <v>38</v>
      </c>
      <c r="B85" s="129"/>
      <c r="C85" s="129" t="s">
        <v>14</v>
      </c>
      <c r="D85" s="130" t="e">
        <v>#NUM!</v>
      </c>
      <c r="E85" s="2" t="s">
        <v>15</v>
      </c>
      <c r="F85" s="129" t="s">
        <v>16</v>
      </c>
      <c r="G85" s="2" t="s">
        <v>17</v>
      </c>
      <c r="H85" s="131" t="e">
        <v>#NUM!</v>
      </c>
      <c r="I85" s="4" t="e">
        <f>_xll.qlSwapRateHelper2(,$H85,,$D85,Calendar,$F85,$E85,$G85,$I$20,0,C85,Discounting,Permanent,Trigger,ObjectOverwrite)</f>
        <v>#VALUE!</v>
      </c>
      <c r="J85" s="10" t="b">
        <f t="shared" si="13"/>
        <v>0</v>
      </c>
    </row>
    <row r="86" spans="1:15" ht="11.25" customHeight="1" x14ac:dyDescent="0.2"/>
    <row r="87" spans="1:15" ht="11.25" customHeight="1" x14ac:dyDescent="0.2"/>
    <row r="88" spans="1:15" ht="11.25" customHeight="1" x14ac:dyDescent="0.2"/>
    <row r="89" spans="1:15" ht="11.25" customHeight="1" x14ac:dyDescent="0.2"/>
  </sheetData>
  <dataValidations count="3">
    <dataValidation type="list" allowBlank="1" showInputMessage="1" showErrorMessage="1" sqref="G22:G85 G3:G1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22:F85">
      <formula1>"Annual,Semiannual,EveryFourthMonth,Quarterly,Bimonthly,Monthly,Biweekly,Weekly,Daily,Once,NoFrequency"</formula1>
    </dataValidation>
    <dataValidation type="list" allowBlank="1" showInputMessage="1" showErrorMessage="1" sqref="E22:E85">
      <formula1>"Following,Modified Following,Preceding,Modified Preceding,Month End Reference,Unadjusted Month End,Unadjusted"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81"/>
  <sheetViews>
    <sheetView showGridLines="0" topLeftCell="K1" zoomScaleNormal="100" workbookViewId="0">
      <selection activeCell="V1" sqref="V1"/>
    </sheetView>
  </sheetViews>
  <sheetFormatPr defaultRowHeight="11.25" outlineLevelCol="2" x14ac:dyDescent="0.2"/>
  <cols>
    <col min="1" max="1" width="5" style="64" hidden="1" customWidth="1" outlineLevel="1"/>
    <col min="2" max="2" width="17.28515625" style="64" hidden="1" customWidth="1" outlineLevel="2"/>
    <col min="3" max="3" width="10" style="78" hidden="1" customWidth="1" outlineLevel="1" collapsed="1"/>
    <col min="4" max="4" width="8.7109375" style="77" hidden="1" customWidth="1" outlineLevel="1"/>
    <col min="5" max="5" width="19" style="79" hidden="1" customWidth="1" outlineLevel="1"/>
    <col min="6" max="6" width="10" style="64" hidden="1" customWidth="1" outlineLevel="1"/>
    <col min="7" max="7" width="20.28515625" style="64" hidden="1" customWidth="1" outlineLevel="1"/>
    <col min="8" max="8" width="11.5703125" style="64" hidden="1" customWidth="1" outlineLevel="1"/>
    <col min="9" max="9" width="15.140625" style="64" hidden="1" customWidth="1" outlineLevel="1"/>
    <col min="10" max="10" width="9" style="77" hidden="1" customWidth="1" outlineLevel="1"/>
    <col min="11" max="11" width="2.7109375" style="64" customWidth="1" collapsed="1"/>
    <col min="12" max="12" width="5" style="64" hidden="1" customWidth="1" outlineLevel="1"/>
    <col min="13" max="13" width="6" style="64" hidden="1" customWidth="1" outlineLevel="1"/>
    <col min="14" max="14" width="15.140625" style="64" hidden="1" customWidth="1" outlineLevel="1"/>
    <col min="15" max="15" width="6" style="64" hidden="1" customWidth="1" outlineLevel="1"/>
    <col min="16" max="16" width="5" style="64" bestFit="1" customWidth="1" collapsed="1"/>
    <col min="17" max="17" width="6" style="64" customWidth="1"/>
    <col min="18" max="18" width="15.140625" style="64" hidden="1" customWidth="1" outlineLevel="1"/>
    <col min="19" max="19" width="9" style="64" bestFit="1" customWidth="1" collapsed="1"/>
    <col min="20" max="21" width="17.28515625" style="64" bestFit="1" customWidth="1"/>
    <col min="22" max="22" width="9" style="64" customWidth="1"/>
    <col min="23" max="16384" width="9.140625" style="64"/>
  </cols>
  <sheetData>
    <row r="1" spans="1:22" ht="21" customHeight="1" x14ac:dyDescent="0.2">
      <c r="B1" s="67"/>
      <c r="C1" s="68"/>
      <c r="D1" s="69"/>
      <c r="E1" s="70"/>
      <c r="F1" s="71"/>
      <c r="J1" s="69"/>
      <c r="L1" s="98"/>
      <c r="M1" s="99"/>
      <c r="N1" s="99"/>
      <c r="O1" s="100"/>
      <c r="P1" s="136" t="s">
        <v>49</v>
      </c>
      <c r="Q1" s="99"/>
      <c r="R1" s="99"/>
      <c r="S1" s="104"/>
      <c r="T1" s="99"/>
      <c r="U1" s="99"/>
      <c r="V1" s="135" t="s">
        <v>54</v>
      </c>
    </row>
    <row r="2" spans="1:22" ht="21" customHeight="1" x14ac:dyDescent="0.2">
      <c r="A2" s="97" t="s">
        <v>18</v>
      </c>
      <c r="B2" s="97"/>
      <c r="C2" s="97" t="s">
        <v>1</v>
      </c>
      <c r="D2" s="97" t="s">
        <v>2</v>
      </c>
      <c r="E2" s="97" t="s">
        <v>13</v>
      </c>
      <c r="F2" s="97" t="s">
        <v>3</v>
      </c>
      <c r="G2" s="97" t="s">
        <v>4</v>
      </c>
      <c r="H2" s="97" t="s">
        <v>5</v>
      </c>
      <c r="I2" s="97" t="s">
        <v>36</v>
      </c>
      <c r="J2" s="97" t="s">
        <v>40</v>
      </c>
      <c r="L2" s="135" t="s">
        <v>18</v>
      </c>
      <c r="M2" s="135"/>
      <c r="N2" s="135" t="s">
        <v>36</v>
      </c>
      <c r="O2" s="135"/>
      <c r="P2" s="135" t="s">
        <v>18</v>
      </c>
      <c r="Q2" s="135" t="s">
        <v>44</v>
      </c>
      <c r="R2" s="135" t="s">
        <v>36</v>
      </c>
      <c r="S2" s="142" t="s">
        <v>35</v>
      </c>
      <c r="T2" s="135" t="s">
        <v>33</v>
      </c>
      <c r="U2" s="135" t="s">
        <v>34</v>
      </c>
      <c r="V2" s="105" t="e">
        <f t="array" ref="V2:V71">_xll.qlPiecewiseYieldCurveData(YieldCurve_6M,Trigger)</f>
        <v>#VALUE!</v>
      </c>
    </row>
    <row r="3" spans="1:22" ht="11.25" customHeight="1" x14ac:dyDescent="0.2">
      <c r="A3" s="81" t="s">
        <v>39</v>
      </c>
      <c r="B3" s="81" t="e">
        <f t="array" ref="B3:B18">_xll.ohFilter(#REF!,#REF!="Dp")</f>
        <v>#NUM!</v>
      </c>
      <c r="C3" s="82" t="e">
        <f>IF(LEFT(B3,1)="#",(_xll.qlCalendarBusinessDaysBetween(Calendar,Settlementdate,DATE(RIGHT(LEFT(B3,5),4),LEFT(RIGHT(B3,4),2),RIGHT(B3,2)),,TRUE,Trigger)-1)&amp;"D",B3)</f>
        <v>#NUM!</v>
      </c>
      <c r="D3" s="83" t="e">
        <f>IF(C3="O/N",0,IF(C3="T/N",1,2))</f>
        <v>#NUM!</v>
      </c>
      <c r="E3" s="84" t="e">
        <f>IF(OR(RIGHT(C3,1)="M",RIGHT(C3,1)="D"),"Modified Following","Following")</f>
        <v>#NUM!</v>
      </c>
      <c r="F3" s="85" t="e">
        <f>IF(OR(RIGHT(C3,1)="M",RIGHT(C3,1)="D"),"TRUE","FALSE")</f>
        <v>#NUM!</v>
      </c>
      <c r="G3" s="86" t="s">
        <v>41</v>
      </c>
      <c r="H3" s="87" t="e">
        <f t="array" ref="H3:H18">_xll.ohFilter(#REF!,#REF!="Dp")/100</f>
        <v>#NUM!</v>
      </c>
      <c r="I3" s="88" t="e">
        <f>_xll.qlDepositRateHelper2(,H3,IF(RIGHT(C3,1)="N","1D",C3),D3,Calendar,E3,F3,G3,,Trigger)</f>
        <v>#VALUE!</v>
      </c>
      <c r="J3" s="83" t="b">
        <f>IF(ISNUMBER(H3),TRUE,FALSE)</f>
        <v>0</v>
      </c>
      <c r="K3" s="67"/>
      <c r="L3" s="21" t="str">
        <f>A3</f>
        <v>Dp</v>
      </c>
      <c r="M3" s="21" t="e">
        <f>C3</f>
        <v>#NUM!</v>
      </c>
      <c r="N3" s="12" t="e">
        <f>I3</f>
        <v>#VALUE!</v>
      </c>
      <c r="O3" s="12" t="b">
        <f>J3</f>
        <v>0</v>
      </c>
      <c r="P3" s="12">
        <f t="array" ref="P3:P71">_xll.ohPack(_xll.ohFilter(L3:L71,O3:O71),Trigger)</f>
        <v>0</v>
      </c>
      <c r="Q3" s="12">
        <f t="array" ref="Q3:Q71">_xll.ohPack(_xll.ohFilter(M3:M71,O3:O71),Trigger)</f>
        <v>0</v>
      </c>
      <c r="R3" s="12">
        <f t="array" ref="R3:R71">_xll.ohPack(_xll.ohFilter(N3:N71,O3:O71))</f>
        <v>0</v>
      </c>
      <c r="S3" s="106" t="e">
        <f>_xll.qlRateHelperRate(R3,Trigger)</f>
        <v>#NUM!</v>
      </c>
      <c r="T3" s="13" t="e">
        <f>_xll.qlRateHelperEarliestDate(R3,Trigger)</f>
        <v>#NUM!</v>
      </c>
      <c r="U3" s="13" t="e">
        <f ca="1">_xll.qlRateHelperLatestDate(R3,Trigger)</f>
        <v>#NAME?</v>
      </c>
      <c r="V3" s="106" t="e">
        <v>#VALUE!</v>
      </c>
    </row>
    <row r="4" spans="1:22" ht="11.25" customHeight="1" x14ac:dyDescent="0.2">
      <c r="A4" s="89" t="s">
        <v>39</v>
      </c>
      <c r="B4" s="89" t="e">
        <v>#NUM!</v>
      </c>
      <c r="C4" s="90" t="e">
        <f>IF(LEFT(B4,1)="#",(_xll.qlCalendarBusinessDaysBetween(Calendar,Settlementdate,DATE(RIGHT(LEFT(B4,5),4),LEFT(RIGHT(B4,4),2),RIGHT(B4,2)),,TRUE,Trigger)-1)&amp;"D",B4)</f>
        <v>#NUM!</v>
      </c>
      <c r="D4" s="91" t="e">
        <f t="shared" ref="D4:D18" si="0">IF(C4="O/N",0,IF(C4="T/N",1,2))</f>
        <v>#NUM!</v>
      </c>
      <c r="E4" s="92" t="e">
        <f t="shared" ref="E4:E18" si="1">IF(OR(RIGHT(C4,1)="M",RIGHT(C4,1)="D"),"Modified Following","Following")</f>
        <v>#NUM!</v>
      </c>
      <c r="F4" s="93" t="e">
        <f t="shared" ref="F4:F18" si="2">IF(OR(RIGHT(C4,1)="M",RIGHT(C4,1)="D"),"TRUE","FALSE")</f>
        <v>#NUM!</v>
      </c>
      <c r="G4" s="94" t="s">
        <v>41</v>
      </c>
      <c r="H4" s="95" t="e">
        <v>#NUM!</v>
      </c>
      <c r="I4" s="96" t="e">
        <f>_xll.qlDepositRateHelper2(,H4,IF(RIGHT(C4,1)="N","1D",C4),D4,Calendar,E4,F4,G4,,Trigger)</f>
        <v>#VALUE!</v>
      </c>
      <c r="J4" s="91" t="b">
        <f t="shared" ref="J4:J18" si="3">IF(ISNUMBER(H4),TRUE,FALSE)</f>
        <v>0</v>
      </c>
      <c r="K4" s="66"/>
      <c r="L4" s="21" t="str">
        <f t="shared" ref="L4:L18" si="4">A4</f>
        <v>Dp</v>
      </c>
      <c r="M4" s="21" t="e">
        <f t="shared" ref="M4:M18" si="5">C4</f>
        <v>#NUM!</v>
      </c>
      <c r="N4" s="12" t="e">
        <f t="shared" ref="N4:O18" si="6">I4</f>
        <v>#VALUE!</v>
      </c>
      <c r="O4" s="12" t="b">
        <f t="shared" si="6"/>
        <v>0</v>
      </c>
      <c r="P4" s="12">
        <v>0</v>
      </c>
      <c r="Q4" s="12">
        <v>0</v>
      </c>
      <c r="R4" s="12">
        <v>0</v>
      </c>
      <c r="S4" s="106" t="e">
        <f>_xll.qlRateHelperRate(R4,Trigger)</f>
        <v>#NUM!</v>
      </c>
      <c r="T4" s="13" t="e">
        <f>_xll.qlRateHelperEarliestDate(R4,Trigger)</f>
        <v>#NUM!</v>
      </c>
      <c r="U4" s="13" t="e">
        <f ca="1">_xll.qlRateHelperLatestDate(R4,Trigger)</f>
        <v>#NAME?</v>
      </c>
      <c r="V4" s="106" t="e">
        <v>#VALUE!</v>
      </c>
    </row>
    <row r="5" spans="1:22" ht="11.25" customHeight="1" x14ac:dyDescent="0.2">
      <c r="A5" s="89" t="s">
        <v>39</v>
      </c>
      <c r="B5" s="89" t="e">
        <v>#NUM!</v>
      </c>
      <c r="C5" s="90" t="e">
        <f>IF(LEFT(B5,1)="#",(_xll.qlCalendarBusinessDaysBetween(Calendar,Settlementdate,DATE(RIGHT(LEFT(B5,5),4),LEFT(RIGHT(B5,4),2),RIGHT(B5,2)),,TRUE,Trigger)-1)&amp;"D",B5)</f>
        <v>#NUM!</v>
      </c>
      <c r="D5" s="91" t="e">
        <f t="shared" si="0"/>
        <v>#NUM!</v>
      </c>
      <c r="E5" s="92" t="e">
        <f t="shared" si="1"/>
        <v>#NUM!</v>
      </c>
      <c r="F5" s="93" t="e">
        <f t="shared" si="2"/>
        <v>#NUM!</v>
      </c>
      <c r="G5" s="94" t="s">
        <v>41</v>
      </c>
      <c r="H5" s="95" t="e">
        <v>#NUM!</v>
      </c>
      <c r="I5" s="96" t="e">
        <f>_xll.qlDepositRateHelper2(,H5,IF(RIGHT(C5,1)="N","1D",C5),D5,Calendar,E5,F5,G5,,Trigger)</f>
        <v>#VALUE!</v>
      </c>
      <c r="J5" s="91" t="b">
        <f t="shared" si="3"/>
        <v>0</v>
      </c>
      <c r="K5" s="66"/>
      <c r="L5" s="21" t="str">
        <f t="shared" si="4"/>
        <v>Dp</v>
      </c>
      <c r="M5" s="21" t="e">
        <f t="shared" si="5"/>
        <v>#NUM!</v>
      </c>
      <c r="N5" s="12" t="e">
        <f t="shared" si="6"/>
        <v>#VALUE!</v>
      </c>
      <c r="O5" s="12" t="b">
        <f t="shared" si="6"/>
        <v>0</v>
      </c>
      <c r="P5" s="12">
        <v>0</v>
      </c>
      <c r="Q5" s="12">
        <v>0</v>
      </c>
      <c r="R5" s="12">
        <v>0</v>
      </c>
      <c r="S5" s="106" t="e">
        <f>_xll.qlRateHelperRate(R5,Trigger)</f>
        <v>#NUM!</v>
      </c>
      <c r="T5" s="13" t="e">
        <f>_xll.qlRateHelperEarliestDate(R5,Trigger)</f>
        <v>#NUM!</v>
      </c>
      <c r="U5" s="13" t="e">
        <f ca="1">_xll.qlRateHelperLatestDate(R5,Trigger)</f>
        <v>#NAME?</v>
      </c>
      <c r="V5" s="106" t="e">
        <v>#VALUE!</v>
      </c>
    </row>
    <row r="6" spans="1:22" ht="11.25" customHeight="1" x14ac:dyDescent="0.2">
      <c r="A6" s="89" t="s">
        <v>39</v>
      </c>
      <c r="B6" s="89" t="e">
        <v>#NUM!</v>
      </c>
      <c r="C6" s="90" t="e">
        <f>IF(LEFT(B6,1)="#",(_xll.qlCalendarBusinessDaysBetween(Calendar,Settlementdate,DATE(RIGHT(LEFT(B6,5),4),LEFT(RIGHT(B6,4),2),RIGHT(B6,2)),,TRUE,Trigger)-1)&amp;"D",B6)</f>
        <v>#NUM!</v>
      </c>
      <c r="D6" s="91" t="e">
        <f t="shared" si="0"/>
        <v>#NUM!</v>
      </c>
      <c r="E6" s="92" t="e">
        <f t="shared" si="1"/>
        <v>#NUM!</v>
      </c>
      <c r="F6" s="93" t="e">
        <f t="shared" si="2"/>
        <v>#NUM!</v>
      </c>
      <c r="G6" s="94" t="s">
        <v>41</v>
      </c>
      <c r="H6" s="95" t="e">
        <v>#NUM!</v>
      </c>
      <c r="I6" s="96" t="e">
        <f>_xll.qlDepositRateHelper2(,H6,IF(RIGHT(C6,1)="N","1D",C6),D6,Calendar,E6,F6,G6,,Trigger)</f>
        <v>#VALUE!</v>
      </c>
      <c r="J6" s="91" t="b">
        <f t="shared" si="3"/>
        <v>0</v>
      </c>
      <c r="K6" s="66"/>
      <c r="L6" s="21" t="str">
        <f t="shared" si="4"/>
        <v>Dp</v>
      </c>
      <c r="M6" s="21" t="e">
        <f t="shared" si="5"/>
        <v>#NUM!</v>
      </c>
      <c r="N6" s="12" t="e">
        <f t="shared" si="6"/>
        <v>#VALUE!</v>
      </c>
      <c r="O6" s="12" t="b">
        <f t="shared" si="6"/>
        <v>0</v>
      </c>
      <c r="P6" s="12">
        <v>0</v>
      </c>
      <c r="Q6" s="12">
        <v>0</v>
      </c>
      <c r="R6" s="12">
        <v>0</v>
      </c>
      <c r="S6" s="106" t="e">
        <f>_xll.qlRateHelperRate(R6,Trigger)</f>
        <v>#NUM!</v>
      </c>
      <c r="T6" s="13" t="e">
        <f>_xll.qlRateHelperEarliestDate(R6,Trigger)</f>
        <v>#NUM!</v>
      </c>
      <c r="U6" s="13" t="e">
        <f ca="1">_xll.qlRateHelperLatestDate(R6,Trigger)</f>
        <v>#NAME?</v>
      </c>
      <c r="V6" s="106" t="e">
        <v>#VALUE!</v>
      </c>
    </row>
    <row r="7" spans="1:22" ht="11.25" customHeight="1" x14ac:dyDescent="0.2">
      <c r="A7" s="89" t="s">
        <v>39</v>
      </c>
      <c r="B7" s="89" t="e">
        <v>#NUM!</v>
      </c>
      <c r="C7" s="90" t="e">
        <f>IF(LEFT(B7,1)="#",(_xll.qlCalendarBusinessDaysBetween(Calendar,Settlementdate,DATE(RIGHT(LEFT(B7,5),4),LEFT(RIGHT(B7,4),2),RIGHT(B7,2)),,TRUE,Trigger)-1)&amp;"D",B7)</f>
        <v>#NUM!</v>
      </c>
      <c r="D7" s="91" t="e">
        <f t="shared" si="0"/>
        <v>#NUM!</v>
      </c>
      <c r="E7" s="92" t="e">
        <f t="shared" si="1"/>
        <v>#NUM!</v>
      </c>
      <c r="F7" s="93" t="e">
        <f t="shared" si="2"/>
        <v>#NUM!</v>
      </c>
      <c r="G7" s="94" t="s">
        <v>41</v>
      </c>
      <c r="H7" s="95" t="e">
        <v>#NUM!</v>
      </c>
      <c r="I7" s="96" t="e">
        <f>_xll.qlDepositRateHelper2(,H7,IF(RIGHT(C7,1)="N","1D",C7),D7,Calendar,E7,F7,G7,,Trigger)</f>
        <v>#VALUE!</v>
      </c>
      <c r="J7" s="91" t="b">
        <f t="shared" si="3"/>
        <v>0</v>
      </c>
      <c r="K7" s="66"/>
      <c r="L7" s="21" t="str">
        <f t="shared" si="4"/>
        <v>Dp</v>
      </c>
      <c r="M7" s="21" t="e">
        <f t="shared" si="5"/>
        <v>#NUM!</v>
      </c>
      <c r="N7" s="12" t="e">
        <f t="shared" si="6"/>
        <v>#VALUE!</v>
      </c>
      <c r="O7" s="12" t="b">
        <f t="shared" si="6"/>
        <v>0</v>
      </c>
      <c r="P7" s="12">
        <v>0</v>
      </c>
      <c r="Q7" s="12">
        <v>0</v>
      </c>
      <c r="R7" s="12">
        <v>0</v>
      </c>
      <c r="S7" s="106" t="e">
        <f>_xll.qlRateHelperRate(R7,Trigger)</f>
        <v>#NUM!</v>
      </c>
      <c r="T7" s="13" t="e">
        <f>_xll.qlRateHelperEarliestDate(R7,Trigger)</f>
        <v>#NUM!</v>
      </c>
      <c r="U7" s="13" t="e">
        <f ca="1">_xll.qlRateHelperLatestDate(R7,Trigger)</f>
        <v>#NAME?</v>
      </c>
      <c r="V7" s="106" t="e">
        <v>#VALUE!</v>
      </c>
    </row>
    <row r="8" spans="1:22" ht="11.25" customHeight="1" x14ac:dyDescent="0.2">
      <c r="A8" s="89" t="s">
        <v>39</v>
      </c>
      <c r="B8" s="89" t="e">
        <v>#NUM!</v>
      </c>
      <c r="C8" s="90" t="e">
        <f>IF(LEFT(B8,1)="#",(_xll.qlCalendarBusinessDaysBetween(Calendar,Settlementdate,DATE(RIGHT(LEFT(B8,5),4),LEFT(RIGHT(B8,4),2),RIGHT(B8,2)),,TRUE,Trigger)-1)&amp;"D",B8)</f>
        <v>#NUM!</v>
      </c>
      <c r="D8" s="91" t="e">
        <f t="shared" si="0"/>
        <v>#NUM!</v>
      </c>
      <c r="E8" s="92" t="e">
        <f t="shared" si="1"/>
        <v>#NUM!</v>
      </c>
      <c r="F8" s="93" t="e">
        <f t="shared" si="2"/>
        <v>#NUM!</v>
      </c>
      <c r="G8" s="94" t="s">
        <v>41</v>
      </c>
      <c r="H8" s="95" t="e">
        <v>#NUM!</v>
      </c>
      <c r="I8" s="96" t="e">
        <f>_xll.qlDepositRateHelper2(,H8,IF(RIGHT(C8,1)="N","1D",C8),D8,Calendar,E8,F8,G8,,Trigger)</f>
        <v>#VALUE!</v>
      </c>
      <c r="J8" s="91" t="b">
        <f t="shared" si="3"/>
        <v>0</v>
      </c>
      <c r="K8" s="66"/>
      <c r="L8" s="21" t="str">
        <f t="shared" si="4"/>
        <v>Dp</v>
      </c>
      <c r="M8" s="21" t="e">
        <f t="shared" si="5"/>
        <v>#NUM!</v>
      </c>
      <c r="N8" s="12" t="e">
        <f t="shared" si="6"/>
        <v>#VALUE!</v>
      </c>
      <c r="O8" s="12" t="b">
        <f t="shared" si="6"/>
        <v>0</v>
      </c>
      <c r="P8" s="12">
        <v>0</v>
      </c>
      <c r="Q8" s="12">
        <v>0</v>
      </c>
      <c r="R8" s="12">
        <v>0</v>
      </c>
      <c r="S8" s="106" t="e">
        <f>_xll.qlRateHelperRate(R8,Trigger)</f>
        <v>#NUM!</v>
      </c>
      <c r="T8" s="13" t="e">
        <f>_xll.qlRateHelperEarliestDate(R8,Trigger)</f>
        <v>#NUM!</v>
      </c>
      <c r="U8" s="13" t="e">
        <f ca="1">_xll.qlRateHelperLatestDate(R8,Trigger)</f>
        <v>#NAME?</v>
      </c>
      <c r="V8" s="106" t="e">
        <v>#VALUE!</v>
      </c>
    </row>
    <row r="9" spans="1:22" ht="11.25" customHeight="1" x14ac:dyDescent="0.2">
      <c r="A9" s="89" t="s">
        <v>39</v>
      </c>
      <c r="B9" s="89" t="e">
        <v>#NUM!</v>
      </c>
      <c r="C9" s="90" t="e">
        <f>IF(LEFT(B9,1)="#",(_xll.qlCalendarBusinessDaysBetween(Calendar,Settlementdate,DATE(RIGHT(LEFT(B9,5),4),LEFT(RIGHT(B9,4),2),RIGHT(B9,2)),,TRUE,Trigger)-1)&amp;"D",B9)</f>
        <v>#NUM!</v>
      </c>
      <c r="D9" s="91" t="e">
        <f t="shared" si="0"/>
        <v>#NUM!</v>
      </c>
      <c r="E9" s="92" t="e">
        <f t="shared" si="1"/>
        <v>#NUM!</v>
      </c>
      <c r="F9" s="93" t="e">
        <f t="shared" si="2"/>
        <v>#NUM!</v>
      </c>
      <c r="G9" s="94" t="s">
        <v>41</v>
      </c>
      <c r="H9" s="95" t="e">
        <v>#NUM!</v>
      </c>
      <c r="I9" s="96" t="e">
        <f>_xll.qlDepositRateHelper2(,H9,IF(RIGHT(C9,1)="N","1D",C9),D9,Calendar,E9,F9,G9,,Trigger)</f>
        <v>#VALUE!</v>
      </c>
      <c r="J9" s="91" t="b">
        <f t="shared" si="3"/>
        <v>0</v>
      </c>
      <c r="K9" s="66"/>
      <c r="L9" s="21" t="str">
        <f t="shared" si="4"/>
        <v>Dp</v>
      </c>
      <c r="M9" s="21" t="e">
        <f t="shared" si="5"/>
        <v>#NUM!</v>
      </c>
      <c r="N9" s="12" t="e">
        <f t="shared" si="6"/>
        <v>#VALUE!</v>
      </c>
      <c r="O9" s="12" t="b">
        <f t="shared" si="6"/>
        <v>0</v>
      </c>
      <c r="P9" s="12">
        <v>0</v>
      </c>
      <c r="Q9" s="12">
        <v>0</v>
      </c>
      <c r="R9" s="12">
        <v>0</v>
      </c>
      <c r="S9" s="106" t="e">
        <f>_xll.qlRateHelperRate(R9,Trigger)</f>
        <v>#NUM!</v>
      </c>
      <c r="T9" s="13" t="e">
        <f>_xll.qlRateHelperEarliestDate(R9,Trigger)</f>
        <v>#NUM!</v>
      </c>
      <c r="U9" s="13" t="e">
        <f ca="1">_xll.qlRateHelperLatestDate(R9,Trigger)</f>
        <v>#NAME?</v>
      </c>
      <c r="V9" s="106" t="e">
        <v>#VALUE!</v>
      </c>
    </row>
    <row r="10" spans="1:22" ht="11.25" customHeight="1" x14ac:dyDescent="0.2">
      <c r="A10" s="89" t="s">
        <v>39</v>
      </c>
      <c r="B10" s="89" t="e">
        <v>#NUM!</v>
      </c>
      <c r="C10" s="90" t="e">
        <f>IF(LEFT(B10,1)="#",(_xll.qlCalendarBusinessDaysBetween(Calendar,Settlementdate,DATE(RIGHT(LEFT(B10,5),4),LEFT(RIGHT(B10,4),2),RIGHT(B10,2)),,TRUE,Trigger)-1)&amp;"D",B10)</f>
        <v>#NUM!</v>
      </c>
      <c r="D10" s="91" t="e">
        <f t="shared" si="0"/>
        <v>#NUM!</v>
      </c>
      <c r="E10" s="92" t="e">
        <f t="shared" si="1"/>
        <v>#NUM!</v>
      </c>
      <c r="F10" s="93" t="e">
        <f t="shared" si="2"/>
        <v>#NUM!</v>
      </c>
      <c r="G10" s="94" t="s">
        <v>41</v>
      </c>
      <c r="H10" s="95" t="e">
        <v>#NUM!</v>
      </c>
      <c r="I10" s="96" t="e">
        <f>_xll.qlDepositRateHelper2(,H10,IF(RIGHT(C10,1)="N","1D",C10),D10,Calendar,E10,F10,G10,,Trigger)</f>
        <v>#VALUE!</v>
      </c>
      <c r="J10" s="91" t="b">
        <f t="shared" si="3"/>
        <v>0</v>
      </c>
      <c r="K10" s="66"/>
      <c r="L10" s="21" t="str">
        <f t="shared" si="4"/>
        <v>Dp</v>
      </c>
      <c r="M10" s="21" t="e">
        <f t="shared" si="5"/>
        <v>#NUM!</v>
      </c>
      <c r="N10" s="12" t="e">
        <f t="shared" si="6"/>
        <v>#VALUE!</v>
      </c>
      <c r="O10" s="12" t="b">
        <f t="shared" si="6"/>
        <v>0</v>
      </c>
      <c r="P10" s="12">
        <v>0</v>
      </c>
      <c r="Q10" s="12">
        <v>0</v>
      </c>
      <c r="R10" s="12">
        <v>0</v>
      </c>
      <c r="S10" s="106" t="e">
        <f>_xll.qlRateHelperRate(R10,Trigger)</f>
        <v>#NUM!</v>
      </c>
      <c r="T10" s="13" t="e">
        <f>_xll.qlRateHelperEarliestDate(R10,Trigger)</f>
        <v>#NUM!</v>
      </c>
      <c r="U10" s="13" t="e">
        <f ca="1">_xll.qlRateHelperLatestDate(R10,Trigger)</f>
        <v>#NAME?</v>
      </c>
      <c r="V10" s="106" t="e">
        <v>#VALUE!</v>
      </c>
    </row>
    <row r="11" spans="1:22" ht="11.25" customHeight="1" x14ac:dyDescent="0.2">
      <c r="A11" s="89" t="s">
        <v>39</v>
      </c>
      <c r="B11" s="89" t="e">
        <v>#NUM!</v>
      </c>
      <c r="C11" s="90" t="e">
        <f>IF(LEFT(B11,1)="#",(_xll.qlCalendarBusinessDaysBetween(Calendar,Settlementdate,DATE(RIGHT(LEFT(B11,5),4),LEFT(RIGHT(B11,4),2),RIGHT(B11,2)),,TRUE,Trigger)-1)&amp;"D",B11)</f>
        <v>#NUM!</v>
      </c>
      <c r="D11" s="91" t="e">
        <f t="shared" si="0"/>
        <v>#NUM!</v>
      </c>
      <c r="E11" s="92" t="e">
        <f t="shared" si="1"/>
        <v>#NUM!</v>
      </c>
      <c r="F11" s="93" t="e">
        <f t="shared" si="2"/>
        <v>#NUM!</v>
      </c>
      <c r="G11" s="94" t="s">
        <v>41</v>
      </c>
      <c r="H11" s="95" t="e">
        <v>#NUM!</v>
      </c>
      <c r="I11" s="96" t="e">
        <f>_xll.qlDepositRateHelper2(,H11,IF(RIGHT(C11,1)="N","1D",C11),D11,Calendar,E11,F11,G11,,Trigger)</f>
        <v>#VALUE!</v>
      </c>
      <c r="J11" s="91" t="b">
        <f t="shared" si="3"/>
        <v>0</v>
      </c>
      <c r="K11" s="66"/>
      <c r="L11" s="21" t="str">
        <f t="shared" si="4"/>
        <v>Dp</v>
      </c>
      <c r="M11" s="21" t="e">
        <f t="shared" si="5"/>
        <v>#NUM!</v>
      </c>
      <c r="N11" s="12" t="e">
        <f t="shared" si="6"/>
        <v>#VALUE!</v>
      </c>
      <c r="O11" s="12" t="b">
        <f t="shared" si="6"/>
        <v>0</v>
      </c>
      <c r="P11" s="12">
        <v>0</v>
      </c>
      <c r="Q11" s="12">
        <v>0</v>
      </c>
      <c r="R11" s="12">
        <v>0</v>
      </c>
      <c r="S11" s="106" t="e">
        <f>_xll.qlRateHelperRate(R11,Trigger)</f>
        <v>#NUM!</v>
      </c>
      <c r="T11" s="13" t="e">
        <f>_xll.qlRateHelperEarliestDate(R11,Trigger)</f>
        <v>#NUM!</v>
      </c>
      <c r="U11" s="13" t="e">
        <f ca="1">_xll.qlRateHelperLatestDate(R11,Trigger)</f>
        <v>#NAME?</v>
      </c>
      <c r="V11" s="106" t="e">
        <v>#VALUE!</v>
      </c>
    </row>
    <row r="12" spans="1:22" ht="11.25" customHeight="1" x14ac:dyDescent="0.2">
      <c r="A12" s="89" t="s">
        <v>39</v>
      </c>
      <c r="B12" s="89" t="e">
        <v>#NUM!</v>
      </c>
      <c r="C12" s="90" t="e">
        <f>IF(LEFT(B12,1)="#",(_xll.qlCalendarBusinessDaysBetween(Calendar,Settlementdate,DATE(RIGHT(LEFT(B12,5),4),LEFT(RIGHT(B12,4),2),RIGHT(B12,2)),,TRUE,Trigger)-1)&amp;"D",B12)</f>
        <v>#NUM!</v>
      </c>
      <c r="D12" s="91" t="e">
        <f t="shared" si="0"/>
        <v>#NUM!</v>
      </c>
      <c r="E12" s="92" t="e">
        <f t="shared" si="1"/>
        <v>#NUM!</v>
      </c>
      <c r="F12" s="93" t="e">
        <f t="shared" si="2"/>
        <v>#NUM!</v>
      </c>
      <c r="G12" s="94" t="s">
        <v>41</v>
      </c>
      <c r="H12" s="95" t="e">
        <v>#NUM!</v>
      </c>
      <c r="I12" s="96" t="e">
        <f>_xll.qlDepositRateHelper2(,H12,IF(RIGHT(C12,1)="N","1D",C12),D12,Calendar,E12,F12,G12,,Trigger)</f>
        <v>#VALUE!</v>
      </c>
      <c r="J12" s="91" t="b">
        <f t="shared" si="3"/>
        <v>0</v>
      </c>
      <c r="K12" s="66"/>
      <c r="L12" s="21" t="str">
        <f t="shared" si="4"/>
        <v>Dp</v>
      </c>
      <c r="M12" s="21" t="e">
        <f t="shared" si="5"/>
        <v>#NUM!</v>
      </c>
      <c r="N12" s="12" t="e">
        <f t="shared" si="6"/>
        <v>#VALUE!</v>
      </c>
      <c r="O12" s="12" t="b">
        <f t="shared" si="6"/>
        <v>0</v>
      </c>
      <c r="P12" s="12">
        <v>0</v>
      </c>
      <c r="Q12" s="12">
        <v>0</v>
      </c>
      <c r="R12" s="12">
        <v>0</v>
      </c>
      <c r="S12" s="106" t="e">
        <f>_xll.qlRateHelperRate(R12,Trigger)</f>
        <v>#NUM!</v>
      </c>
      <c r="T12" s="13" t="e">
        <f>_xll.qlRateHelperEarliestDate(R12,Trigger)</f>
        <v>#NUM!</v>
      </c>
      <c r="U12" s="13" t="e">
        <f ca="1">_xll.qlRateHelperLatestDate(R12,Trigger)</f>
        <v>#NAME?</v>
      </c>
      <c r="V12" s="106" t="e">
        <v>#VALUE!</v>
      </c>
    </row>
    <row r="13" spans="1:22" ht="11.25" customHeight="1" x14ac:dyDescent="0.2">
      <c r="A13" s="89" t="s">
        <v>39</v>
      </c>
      <c r="B13" s="89" t="e">
        <v>#NUM!</v>
      </c>
      <c r="C13" s="90" t="e">
        <f>IF(LEFT(B13,1)="#",(_xll.qlCalendarBusinessDaysBetween(Calendar,Settlementdate,DATE(RIGHT(LEFT(B13,5),4),LEFT(RIGHT(B13,4),2),RIGHT(B13,2)),,TRUE,Trigger)-1)&amp;"D",B13)</f>
        <v>#NUM!</v>
      </c>
      <c r="D13" s="91" t="e">
        <f t="shared" si="0"/>
        <v>#NUM!</v>
      </c>
      <c r="E13" s="92" t="e">
        <f t="shared" si="1"/>
        <v>#NUM!</v>
      </c>
      <c r="F13" s="93" t="e">
        <f t="shared" si="2"/>
        <v>#NUM!</v>
      </c>
      <c r="G13" s="94" t="s">
        <v>41</v>
      </c>
      <c r="H13" s="95" t="e">
        <v>#NUM!</v>
      </c>
      <c r="I13" s="96" t="e">
        <f>_xll.qlDepositRateHelper2(,H13,IF(RIGHT(C13,1)="N","1D",C13),D13,Calendar,E13,F13,G13,,Trigger)</f>
        <v>#VALUE!</v>
      </c>
      <c r="J13" s="91" t="b">
        <f t="shared" si="3"/>
        <v>0</v>
      </c>
      <c r="K13" s="66"/>
      <c r="L13" s="21" t="str">
        <f t="shared" si="4"/>
        <v>Dp</v>
      </c>
      <c r="M13" s="21" t="e">
        <f t="shared" si="5"/>
        <v>#NUM!</v>
      </c>
      <c r="N13" s="12" t="e">
        <f t="shared" si="6"/>
        <v>#VALUE!</v>
      </c>
      <c r="O13" s="12" t="b">
        <f t="shared" si="6"/>
        <v>0</v>
      </c>
      <c r="P13" s="12">
        <v>0</v>
      </c>
      <c r="Q13" s="12">
        <v>0</v>
      </c>
      <c r="R13" s="12">
        <v>0</v>
      </c>
      <c r="S13" s="106" t="e">
        <f>_xll.qlRateHelperRate(R13,Trigger)</f>
        <v>#NUM!</v>
      </c>
      <c r="T13" s="13" t="e">
        <f>_xll.qlRateHelperEarliestDate(R13,Trigger)</f>
        <v>#NUM!</v>
      </c>
      <c r="U13" s="13" t="e">
        <f ca="1">_xll.qlRateHelperLatestDate(R13,Trigger)</f>
        <v>#NAME?</v>
      </c>
      <c r="V13" s="106" t="e">
        <v>#VALUE!</v>
      </c>
    </row>
    <row r="14" spans="1:22" ht="11.25" customHeight="1" x14ac:dyDescent="0.2">
      <c r="A14" s="89" t="s">
        <v>39</v>
      </c>
      <c r="B14" s="89" t="e">
        <v>#NUM!</v>
      </c>
      <c r="C14" s="90" t="e">
        <f>IF(LEFT(B14,1)="#",(_xll.qlCalendarBusinessDaysBetween(Calendar,Settlementdate,DATE(RIGHT(LEFT(B14,5),4),LEFT(RIGHT(B14,4),2),RIGHT(B14,2)),,TRUE,Trigger)-1)&amp;"D",B14)</f>
        <v>#NUM!</v>
      </c>
      <c r="D14" s="91" t="e">
        <f t="shared" si="0"/>
        <v>#NUM!</v>
      </c>
      <c r="E14" s="92" t="e">
        <f t="shared" si="1"/>
        <v>#NUM!</v>
      </c>
      <c r="F14" s="93" t="e">
        <f t="shared" si="2"/>
        <v>#NUM!</v>
      </c>
      <c r="G14" s="94" t="s">
        <v>41</v>
      </c>
      <c r="H14" s="95" t="e">
        <v>#NUM!</v>
      </c>
      <c r="I14" s="96" t="e">
        <f>_xll.qlDepositRateHelper2(,H14,IF(RIGHT(C14,1)="N","1D",C14),D14,Calendar,E14,F14,G14,,Trigger)</f>
        <v>#VALUE!</v>
      </c>
      <c r="J14" s="91" t="b">
        <f t="shared" si="3"/>
        <v>0</v>
      </c>
      <c r="K14" s="66"/>
      <c r="L14" s="21" t="str">
        <f t="shared" si="4"/>
        <v>Dp</v>
      </c>
      <c r="M14" s="21" t="e">
        <f t="shared" si="5"/>
        <v>#NUM!</v>
      </c>
      <c r="N14" s="12" t="e">
        <f t="shared" si="6"/>
        <v>#VALUE!</v>
      </c>
      <c r="O14" s="12" t="b">
        <f t="shared" si="6"/>
        <v>0</v>
      </c>
      <c r="P14" s="12">
        <v>0</v>
      </c>
      <c r="Q14" s="12">
        <v>0</v>
      </c>
      <c r="R14" s="12">
        <v>0</v>
      </c>
      <c r="S14" s="106" t="e">
        <f>_xll.qlRateHelperRate(R14,Trigger)</f>
        <v>#NUM!</v>
      </c>
      <c r="T14" s="13" t="e">
        <f>_xll.qlRateHelperEarliestDate(R14,Trigger)</f>
        <v>#NUM!</v>
      </c>
      <c r="U14" s="13" t="e">
        <f ca="1">_xll.qlRateHelperLatestDate(R14,Trigger)</f>
        <v>#NAME?</v>
      </c>
      <c r="V14" s="106" t="e">
        <v>#VALUE!</v>
      </c>
    </row>
    <row r="15" spans="1:22" ht="11.25" customHeight="1" x14ac:dyDescent="0.2">
      <c r="A15" s="89" t="s">
        <v>39</v>
      </c>
      <c r="B15" s="89" t="e">
        <v>#NUM!</v>
      </c>
      <c r="C15" s="90" t="e">
        <f>IF(LEFT(B15,1)="#",(_xll.qlCalendarBusinessDaysBetween(Calendar,Settlementdate,DATE(RIGHT(LEFT(B15,5),4),LEFT(RIGHT(B15,4),2),RIGHT(B15,2)),,TRUE,Trigger)-1)&amp;"D",B15)</f>
        <v>#NUM!</v>
      </c>
      <c r="D15" s="91" t="e">
        <f t="shared" si="0"/>
        <v>#NUM!</v>
      </c>
      <c r="E15" s="92" t="e">
        <f t="shared" si="1"/>
        <v>#NUM!</v>
      </c>
      <c r="F15" s="93" t="e">
        <f t="shared" si="2"/>
        <v>#NUM!</v>
      </c>
      <c r="G15" s="94" t="s">
        <v>41</v>
      </c>
      <c r="H15" s="95" t="e">
        <v>#NUM!</v>
      </c>
      <c r="I15" s="96" t="e">
        <f>_xll.qlDepositRateHelper2(,H15,IF(RIGHT(C15,1)="N","1D",C15),D15,Calendar,E15,F15,G15,,Trigger)</f>
        <v>#VALUE!</v>
      </c>
      <c r="J15" s="91" t="b">
        <f t="shared" si="3"/>
        <v>0</v>
      </c>
      <c r="K15" s="66"/>
      <c r="L15" s="21" t="str">
        <f t="shared" si="4"/>
        <v>Dp</v>
      </c>
      <c r="M15" s="21" t="e">
        <f t="shared" si="5"/>
        <v>#NUM!</v>
      </c>
      <c r="N15" s="12" t="e">
        <f t="shared" si="6"/>
        <v>#VALUE!</v>
      </c>
      <c r="O15" s="12" t="b">
        <f t="shared" si="6"/>
        <v>0</v>
      </c>
      <c r="P15" s="12">
        <v>0</v>
      </c>
      <c r="Q15" s="12">
        <v>0</v>
      </c>
      <c r="R15" s="12">
        <v>0</v>
      </c>
      <c r="S15" s="106" t="e">
        <f>_xll.qlRateHelperRate(R15,Trigger)</f>
        <v>#NUM!</v>
      </c>
      <c r="T15" s="13" t="e">
        <f>_xll.qlRateHelperEarliestDate(R15,Trigger)</f>
        <v>#NUM!</v>
      </c>
      <c r="U15" s="13" t="e">
        <f ca="1">_xll.qlRateHelperLatestDate(R15,Trigger)</f>
        <v>#NAME?</v>
      </c>
      <c r="V15" s="106" t="e">
        <v>#VALUE!</v>
      </c>
    </row>
    <row r="16" spans="1:22" ht="11.25" customHeight="1" x14ac:dyDescent="0.2">
      <c r="A16" s="89" t="s">
        <v>39</v>
      </c>
      <c r="B16" s="89" t="e">
        <v>#NUM!</v>
      </c>
      <c r="C16" s="90" t="e">
        <f>IF(LEFT(B16,1)="#",(_xll.qlCalendarBusinessDaysBetween(Calendar,Settlementdate,DATE(RIGHT(LEFT(B16,5),4),LEFT(RIGHT(B16,4),2),RIGHT(B16,2)),,TRUE,Trigger)-1)&amp;"D",B16)</f>
        <v>#NUM!</v>
      </c>
      <c r="D16" s="91" t="e">
        <f t="shared" si="0"/>
        <v>#NUM!</v>
      </c>
      <c r="E16" s="92" t="e">
        <f t="shared" si="1"/>
        <v>#NUM!</v>
      </c>
      <c r="F16" s="93" t="e">
        <f t="shared" si="2"/>
        <v>#NUM!</v>
      </c>
      <c r="G16" s="94" t="s">
        <v>41</v>
      </c>
      <c r="H16" s="95" t="e">
        <v>#NUM!</v>
      </c>
      <c r="I16" s="96" t="e">
        <f>_xll.qlDepositRateHelper2(,H16,IF(RIGHT(C16,1)="N","1D",C16),D16,Calendar,E16,F16,G16,,Trigger)</f>
        <v>#VALUE!</v>
      </c>
      <c r="J16" s="91" t="b">
        <f t="shared" si="3"/>
        <v>0</v>
      </c>
      <c r="K16" s="66"/>
      <c r="L16" s="21" t="str">
        <f t="shared" si="4"/>
        <v>Dp</v>
      </c>
      <c r="M16" s="21" t="e">
        <f t="shared" si="5"/>
        <v>#NUM!</v>
      </c>
      <c r="N16" s="12" t="e">
        <f t="shared" si="6"/>
        <v>#VALUE!</v>
      </c>
      <c r="O16" s="12" t="b">
        <f t="shared" si="6"/>
        <v>0</v>
      </c>
      <c r="P16" s="12">
        <v>0</v>
      </c>
      <c r="Q16" s="12">
        <v>0</v>
      </c>
      <c r="R16" s="12">
        <v>0</v>
      </c>
      <c r="S16" s="106" t="e">
        <f>_xll.qlRateHelperRate(R16,Trigger)</f>
        <v>#NUM!</v>
      </c>
      <c r="T16" s="13" t="e">
        <f>_xll.qlRateHelperEarliestDate(R16,Trigger)</f>
        <v>#NUM!</v>
      </c>
      <c r="U16" s="13" t="e">
        <f ca="1">_xll.qlRateHelperLatestDate(R16,Trigger)</f>
        <v>#NAME?</v>
      </c>
      <c r="V16" s="106" t="e">
        <v>#VALUE!</v>
      </c>
    </row>
    <row r="17" spans="1:22" ht="11.25" customHeight="1" x14ac:dyDescent="0.2">
      <c r="A17" s="89" t="s">
        <v>39</v>
      </c>
      <c r="B17" s="89" t="e">
        <v>#NUM!</v>
      </c>
      <c r="C17" s="90" t="e">
        <f>IF(LEFT(B17,1)="#",(_xll.qlCalendarBusinessDaysBetween(Calendar,Settlementdate,DATE(RIGHT(LEFT(B17,5),4),LEFT(RIGHT(B17,4),2),RIGHT(B17,2)),,TRUE,Trigger)-1)&amp;"D",B17)</f>
        <v>#NUM!</v>
      </c>
      <c r="D17" s="91" t="e">
        <f t="shared" si="0"/>
        <v>#NUM!</v>
      </c>
      <c r="E17" s="92" t="e">
        <f t="shared" si="1"/>
        <v>#NUM!</v>
      </c>
      <c r="F17" s="93" t="e">
        <f t="shared" si="2"/>
        <v>#NUM!</v>
      </c>
      <c r="G17" s="94" t="s">
        <v>41</v>
      </c>
      <c r="H17" s="95" t="e">
        <v>#NUM!</v>
      </c>
      <c r="I17" s="96" t="e">
        <f>_xll.qlDepositRateHelper2(,H17,IF(RIGHT(C17,1)="N","1D",C17),D17,Calendar,E17,F17,G17,,Trigger)</f>
        <v>#VALUE!</v>
      </c>
      <c r="J17" s="91" t="b">
        <f t="shared" si="3"/>
        <v>0</v>
      </c>
      <c r="K17" s="66"/>
      <c r="L17" s="21" t="str">
        <f t="shared" si="4"/>
        <v>Dp</v>
      </c>
      <c r="M17" s="21" t="e">
        <f t="shared" si="5"/>
        <v>#NUM!</v>
      </c>
      <c r="N17" s="12" t="e">
        <f t="shared" si="6"/>
        <v>#VALUE!</v>
      </c>
      <c r="O17" s="12" t="b">
        <f t="shared" si="6"/>
        <v>0</v>
      </c>
      <c r="P17" s="12">
        <v>0</v>
      </c>
      <c r="Q17" s="12">
        <v>0</v>
      </c>
      <c r="R17" s="12">
        <v>0</v>
      </c>
      <c r="S17" s="106" t="e">
        <f>_xll.qlRateHelperRate(R17,Trigger)</f>
        <v>#NUM!</v>
      </c>
      <c r="T17" s="13" t="e">
        <f>_xll.qlRateHelperEarliestDate(R17,Trigger)</f>
        <v>#NUM!</v>
      </c>
      <c r="U17" s="13" t="e">
        <f ca="1">_xll.qlRateHelperLatestDate(R17,Trigger)</f>
        <v>#NAME?</v>
      </c>
      <c r="V17" s="106" t="e">
        <v>#VALUE!</v>
      </c>
    </row>
    <row r="18" spans="1:22" ht="11.25" customHeight="1" x14ac:dyDescent="0.2">
      <c r="A18" s="3" t="s">
        <v>39</v>
      </c>
      <c r="B18" s="3" t="e">
        <v>#NUM!</v>
      </c>
      <c r="C18" s="18" t="e">
        <f>IF(LEFT(B18,1)="#",(_xll.qlCalendarBusinessDaysBetween(Calendar,Settlementdate,DATE(RIGHT(LEFT(B18,5),4),LEFT(RIGHT(B18,4),2),RIGHT(B18,2)),,TRUE,Trigger)-1)&amp;"D",B18)</f>
        <v>#NUM!</v>
      </c>
      <c r="D18" s="16" t="e">
        <f t="shared" si="0"/>
        <v>#NUM!</v>
      </c>
      <c r="E18" s="17" t="e">
        <f t="shared" si="1"/>
        <v>#NUM!</v>
      </c>
      <c r="F18" s="19" t="e">
        <f t="shared" si="2"/>
        <v>#NUM!</v>
      </c>
      <c r="G18" s="4" t="s">
        <v>41</v>
      </c>
      <c r="H18" s="5" t="e">
        <v>#NUM!</v>
      </c>
      <c r="I18" s="6" t="e">
        <f>_xll.qlDepositRateHelper2(,H18,IF(RIGHT(C18,1)="N","1D",C18),D18,Calendar,E18,F18,G18,,Trigger)</f>
        <v>#VALUE!</v>
      </c>
      <c r="J18" s="16" t="b">
        <f t="shared" si="3"/>
        <v>0</v>
      </c>
      <c r="K18" s="66"/>
      <c r="L18" s="22" t="str">
        <f t="shared" si="4"/>
        <v>Dp</v>
      </c>
      <c r="M18" s="22" t="e">
        <f t="shared" si="5"/>
        <v>#NUM!</v>
      </c>
      <c r="N18" s="14" t="e">
        <f t="shared" si="6"/>
        <v>#VALUE!</v>
      </c>
      <c r="O18" s="14" t="b">
        <f t="shared" si="6"/>
        <v>0</v>
      </c>
      <c r="P18" s="12">
        <v>0</v>
      </c>
      <c r="Q18" s="12">
        <v>0</v>
      </c>
      <c r="R18" s="12">
        <v>0</v>
      </c>
      <c r="S18" s="106" t="e">
        <f>_xll.qlRateHelperRate(R18,Trigger)</f>
        <v>#NUM!</v>
      </c>
      <c r="T18" s="13" t="e">
        <f>_xll.qlRateHelperEarliestDate(R18,Trigger)</f>
        <v>#NUM!</v>
      </c>
      <c r="U18" s="13" t="e">
        <f ca="1">_xll.qlRateHelperLatestDate(R18,Trigger)</f>
        <v>#NAME?</v>
      </c>
      <c r="V18" s="106" t="e">
        <v>#VALUE!</v>
      </c>
    </row>
    <row r="19" spans="1:22" ht="11.25" customHeight="1" x14ac:dyDescent="0.2">
      <c r="C19" s="64"/>
      <c r="D19" s="64"/>
      <c r="E19" s="64"/>
      <c r="F19" s="64" t="str">
        <f>_xll.qlEuribor(,"3M",,,Trigger)</f>
        <v>obj_00396#0010</v>
      </c>
      <c r="K19" s="66"/>
      <c r="L19" s="21" t="str">
        <f>A21</f>
        <v>Sf</v>
      </c>
      <c r="M19" s="21" t="e">
        <f>D21</f>
        <v>#NUM!</v>
      </c>
      <c r="N19" s="21" t="e">
        <f>I21</f>
        <v>#NUM!</v>
      </c>
      <c r="O19" s="12" t="b">
        <f>J21</f>
        <v>0</v>
      </c>
      <c r="P19" s="12">
        <v>0</v>
      </c>
      <c r="Q19" s="12">
        <v>0</v>
      </c>
      <c r="R19" s="12">
        <v>0</v>
      </c>
      <c r="S19" s="106" t="e">
        <f>_xll.qlRateHelperRate(R19,Trigger)</f>
        <v>#NUM!</v>
      </c>
      <c r="T19" s="13" t="e">
        <f>_xll.qlRateHelperEarliestDate(R19,Trigger)</f>
        <v>#NUM!</v>
      </c>
      <c r="U19" s="13" t="e">
        <f ca="1">_xll.qlRateHelperLatestDate(R19,Trigger)</f>
        <v>#NAME?</v>
      </c>
      <c r="V19" s="106" t="e">
        <v>#VALUE!</v>
      </c>
    </row>
    <row r="20" spans="1:22" ht="11.25" customHeight="1" x14ac:dyDescent="0.2">
      <c r="A20" s="97" t="s">
        <v>18</v>
      </c>
      <c r="B20" s="97" t="s">
        <v>32</v>
      </c>
      <c r="C20" s="97" t="s">
        <v>32</v>
      </c>
      <c r="D20" s="97" t="s">
        <v>52</v>
      </c>
      <c r="E20" s="97" t="s">
        <v>13</v>
      </c>
      <c r="F20" s="97" t="s">
        <v>9</v>
      </c>
      <c r="G20" s="97" t="s">
        <v>5</v>
      </c>
      <c r="H20" s="97" t="s">
        <v>10</v>
      </c>
      <c r="I20" s="97" t="s">
        <v>36</v>
      </c>
      <c r="J20" s="97" t="s">
        <v>40</v>
      </c>
      <c r="K20" s="66"/>
      <c r="L20" s="21" t="str">
        <f t="shared" ref="L20:L26" si="7">A22</f>
        <v>Sf</v>
      </c>
      <c r="M20" s="21" t="e">
        <f t="shared" ref="M20:M26" si="8">D22</f>
        <v>#NUM!</v>
      </c>
      <c r="N20" s="21" t="e">
        <f t="shared" ref="N20:O26" si="9">I22</f>
        <v>#NUM!</v>
      </c>
      <c r="O20" s="12" t="b">
        <f t="shared" si="9"/>
        <v>0</v>
      </c>
      <c r="P20" s="12">
        <v>0</v>
      </c>
      <c r="Q20" s="12">
        <v>0</v>
      </c>
      <c r="R20" s="12">
        <v>0</v>
      </c>
      <c r="S20" s="106" t="e">
        <f>_xll.qlRateHelperRate(R20,Trigger)</f>
        <v>#NUM!</v>
      </c>
      <c r="T20" s="13" t="e">
        <f>_xll.qlRateHelperEarliestDate(R20,Trigger)</f>
        <v>#NUM!</v>
      </c>
      <c r="U20" s="13" t="e">
        <f ca="1">_xll.qlRateHelperLatestDate(R20,Trigger)</f>
        <v>#NAME?</v>
      </c>
      <c r="V20" s="106" t="e">
        <v>#VALUE!</v>
      </c>
    </row>
    <row r="21" spans="1:22" ht="11.25" customHeight="1" x14ac:dyDescent="0.2">
      <c r="A21" s="109" t="s">
        <v>37</v>
      </c>
      <c r="B21" s="110" t="e">
        <f t="shared" ref="B21:B28" si="10">DATE(2000+RIGHT(C21,2),RIGHT(LEFT(C21,5),2),LEFT(C21,2))</f>
        <v>#NUM!</v>
      </c>
      <c r="C21" s="137" t="e">
        <f t="array" ref="C21:C28">_xll.ohFilter(#REF!,#REF!="Sf")</f>
        <v>#NUM!</v>
      </c>
      <c r="D21" s="111" t="e">
        <f>_xll.qlIMMcode(C21)</f>
        <v>#NUM!</v>
      </c>
      <c r="E21" s="84" t="s">
        <v>15</v>
      </c>
      <c r="F21" s="140" t="str">
        <f>$F$19</f>
        <v>obj_00396#0010</v>
      </c>
      <c r="G21" s="113" t="e">
        <f t="array" ref="G21:G28">_xll.ohFilter(#REF!,#REF!="Sf")</f>
        <v>#NUM!</v>
      </c>
      <c r="H21" s="114">
        <v>0</v>
      </c>
      <c r="I21" s="115" t="e">
        <f>_xll.qlFuturesRateHelper(,$G21,"IMM",$D21,$F21,$H21,Permanent,Trigger,ObjectOverwrite)</f>
        <v>#NUM!</v>
      </c>
      <c r="J21" s="83" t="b">
        <f>IF(ISNUMBER(G21),TRUE,FALSE)</f>
        <v>0</v>
      </c>
      <c r="K21" s="66"/>
      <c r="L21" s="21" t="str">
        <f t="shared" si="7"/>
        <v>Sf</v>
      </c>
      <c r="M21" s="21" t="e">
        <f t="shared" si="8"/>
        <v>#NUM!</v>
      </c>
      <c r="N21" s="21" t="e">
        <f t="shared" si="9"/>
        <v>#NUM!</v>
      </c>
      <c r="O21" s="12" t="b">
        <f t="shared" si="9"/>
        <v>0</v>
      </c>
      <c r="P21" s="12">
        <v>0</v>
      </c>
      <c r="Q21" s="12">
        <v>0</v>
      </c>
      <c r="R21" s="12">
        <v>0</v>
      </c>
      <c r="S21" s="106" t="e">
        <f>_xll.qlRateHelperRate(R21,Trigger)</f>
        <v>#NUM!</v>
      </c>
      <c r="T21" s="13" t="e">
        <f>_xll.qlRateHelperEarliestDate(R21,Trigger)</f>
        <v>#NUM!</v>
      </c>
      <c r="U21" s="13" t="e">
        <f ca="1">_xll.qlRateHelperLatestDate(R21,Trigger)</f>
        <v>#NAME?</v>
      </c>
      <c r="V21" s="106" t="e">
        <v>#VALUE!</v>
      </c>
    </row>
    <row r="22" spans="1:22" ht="11.25" customHeight="1" x14ac:dyDescent="0.2">
      <c r="A22" s="116" t="s">
        <v>37</v>
      </c>
      <c r="B22" s="117" t="e">
        <f t="shared" si="10"/>
        <v>#NUM!</v>
      </c>
      <c r="C22" s="138" t="e">
        <v>#NUM!</v>
      </c>
      <c r="D22" s="118" t="e">
        <f>_xll.qlIMMcode(C22)</f>
        <v>#NUM!</v>
      </c>
      <c r="E22" s="92" t="s">
        <v>15</v>
      </c>
      <c r="F22" s="141" t="str">
        <f t="shared" ref="F22:F28" si="11">$F$19</f>
        <v>obj_00396#0010</v>
      </c>
      <c r="G22" s="120" t="e">
        <v>#NUM!</v>
      </c>
      <c r="H22" s="121">
        <v>0</v>
      </c>
      <c r="I22" s="122" t="e">
        <f>_xll.qlFuturesRateHelper(,$G22,"IMM",$D22,$F22,$H22,Permanent,Trigger,ObjectOverwrite)</f>
        <v>#NUM!</v>
      </c>
      <c r="J22" s="122" t="b">
        <f t="shared" ref="J22:J28" si="12">IF(ISNUMBER(G22),TRUE,FALSE)</f>
        <v>0</v>
      </c>
      <c r="K22" s="66"/>
      <c r="L22" s="21" t="str">
        <f t="shared" si="7"/>
        <v>Sf</v>
      </c>
      <c r="M22" s="21" t="e">
        <f t="shared" si="8"/>
        <v>#NUM!</v>
      </c>
      <c r="N22" s="21" t="e">
        <f t="shared" si="9"/>
        <v>#NUM!</v>
      </c>
      <c r="O22" s="12" t="b">
        <f t="shared" si="9"/>
        <v>0</v>
      </c>
      <c r="P22" s="12">
        <v>0</v>
      </c>
      <c r="Q22" s="12">
        <v>0</v>
      </c>
      <c r="R22" s="12">
        <v>0</v>
      </c>
      <c r="S22" s="106" t="e">
        <f>_xll.qlRateHelperRate(R22,Trigger)</f>
        <v>#NUM!</v>
      </c>
      <c r="T22" s="13" t="e">
        <f>_xll.qlRateHelperEarliestDate(R22,Trigger)</f>
        <v>#NUM!</v>
      </c>
      <c r="U22" s="13" t="e">
        <f ca="1">_xll.qlRateHelperLatestDate(R22,Trigger)</f>
        <v>#NAME?</v>
      </c>
      <c r="V22" s="106" t="e">
        <v>#VALUE!</v>
      </c>
    </row>
    <row r="23" spans="1:22" ht="11.25" customHeight="1" x14ac:dyDescent="0.2">
      <c r="A23" s="116" t="s">
        <v>37</v>
      </c>
      <c r="B23" s="117" t="e">
        <f t="shared" si="10"/>
        <v>#NUM!</v>
      </c>
      <c r="C23" s="138" t="e">
        <v>#NUM!</v>
      </c>
      <c r="D23" s="118" t="e">
        <f>_xll.qlIMMcode(C23)</f>
        <v>#NUM!</v>
      </c>
      <c r="E23" s="92" t="s">
        <v>15</v>
      </c>
      <c r="F23" s="141" t="str">
        <f t="shared" si="11"/>
        <v>obj_00396#0010</v>
      </c>
      <c r="G23" s="120" t="e">
        <v>#NUM!</v>
      </c>
      <c r="H23" s="121">
        <v>0</v>
      </c>
      <c r="I23" s="122" t="e">
        <f>_xll.qlFuturesRateHelper(,$G23,"IMM",$D23,$F23,$H23,Permanent,Trigger,ObjectOverwrite)</f>
        <v>#NUM!</v>
      </c>
      <c r="J23" s="122" t="b">
        <f t="shared" si="12"/>
        <v>0</v>
      </c>
      <c r="K23" s="66"/>
      <c r="L23" s="21" t="str">
        <f t="shared" si="7"/>
        <v>Sf</v>
      </c>
      <c r="M23" s="21" t="e">
        <f t="shared" si="8"/>
        <v>#NUM!</v>
      </c>
      <c r="N23" s="21" t="e">
        <f t="shared" si="9"/>
        <v>#NUM!</v>
      </c>
      <c r="O23" s="12" t="b">
        <f t="shared" si="9"/>
        <v>0</v>
      </c>
      <c r="P23" s="12">
        <v>0</v>
      </c>
      <c r="Q23" s="12">
        <v>0</v>
      </c>
      <c r="R23" s="12">
        <v>0</v>
      </c>
      <c r="S23" s="106" t="e">
        <f>_xll.qlRateHelperRate(R23,Trigger)</f>
        <v>#NUM!</v>
      </c>
      <c r="T23" s="13" t="e">
        <f>_xll.qlRateHelperEarliestDate(R23,Trigger)</f>
        <v>#NUM!</v>
      </c>
      <c r="U23" s="13" t="e">
        <f ca="1">_xll.qlRateHelperLatestDate(R23,Trigger)</f>
        <v>#NAME?</v>
      </c>
      <c r="V23" s="106" t="e">
        <v>#VALUE!</v>
      </c>
    </row>
    <row r="24" spans="1:22" ht="11.25" customHeight="1" x14ac:dyDescent="0.2">
      <c r="A24" s="116" t="s">
        <v>37</v>
      </c>
      <c r="B24" s="117" t="e">
        <f t="shared" si="10"/>
        <v>#NUM!</v>
      </c>
      <c r="C24" s="138" t="e">
        <v>#NUM!</v>
      </c>
      <c r="D24" s="118" t="e">
        <f>_xll.qlIMMcode(C24)</f>
        <v>#NUM!</v>
      </c>
      <c r="E24" s="92" t="s">
        <v>15</v>
      </c>
      <c r="F24" s="141" t="str">
        <f t="shared" si="11"/>
        <v>obj_00396#0010</v>
      </c>
      <c r="G24" s="120" t="e">
        <v>#NUM!</v>
      </c>
      <c r="H24" s="121">
        <v>0</v>
      </c>
      <c r="I24" s="122" t="e">
        <f>_xll.qlFuturesRateHelper(,$G24,"IMM",$D24,$F24,$H24,Permanent,Trigger,ObjectOverwrite)</f>
        <v>#NUM!</v>
      </c>
      <c r="J24" s="122" t="b">
        <f t="shared" si="12"/>
        <v>0</v>
      </c>
      <c r="K24" s="66"/>
      <c r="L24" s="21" t="str">
        <f t="shared" si="7"/>
        <v>Sf</v>
      </c>
      <c r="M24" s="21" t="e">
        <f t="shared" si="8"/>
        <v>#NUM!</v>
      </c>
      <c r="N24" s="21" t="e">
        <f t="shared" si="9"/>
        <v>#NUM!</v>
      </c>
      <c r="O24" s="12" t="b">
        <f t="shared" si="9"/>
        <v>0</v>
      </c>
      <c r="P24" s="12">
        <v>0</v>
      </c>
      <c r="Q24" s="12">
        <v>0</v>
      </c>
      <c r="R24" s="12">
        <v>0</v>
      </c>
      <c r="S24" s="106" t="e">
        <f>_xll.qlRateHelperRate(R24,Trigger)</f>
        <v>#NUM!</v>
      </c>
      <c r="T24" s="13" t="e">
        <f>_xll.qlRateHelperEarliestDate(R24,Trigger)</f>
        <v>#NUM!</v>
      </c>
      <c r="U24" s="13" t="e">
        <f ca="1">_xll.qlRateHelperLatestDate(R24,Trigger)</f>
        <v>#NAME?</v>
      </c>
      <c r="V24" s="106" t="e">
        <v>#VALUE!</v>
      </c>
    </row>
    <row r="25" spans="1:22" ht="11.25" customHeight="1" x14ac:dyDescent="0.2">
      <c r="A25" s="116" t="s">
        <v>37</v>
      </c>
      <c r="B25" s="117" t="e">
        <f t="shared" si="10"/>
        <v>#NUM!</v>
      </c>
      <c r="C25" s="138" t="e">
        <v>#NUM!</v>
      </c>
      <c r="D25" s="118" t="e">
        <f>_xll.qlIMMcode(C25)</f>
        <v>#NUM!</v>
      </c>
      <c r="E25" s="92" t="s">
        <v>15</v>
      </c>
      <c r="F25" s="141" t="str">
        <f t="shared" si="11"/>
        <v>obj_00396#0010</v>
      </c>
      <c r="G25" s="120" t="e">
        <v>#NUM!</v>
      </c>
      <c r="H25" s="121">
        <v>0</v>
      </c>
      <c r="I25" s="122" t="e">
        <f>_xll.qlFuturesRateHelper(,$G25,"IMM",$D25,$F25,$H25,Permanent,Trigger,ObjectOverwrite)</f>
        <v>#NUM!</v>
      </c>
      <c r="J25" s="122" t="b">
        <f t="shared" si="12"/>
        <v>0</v>
      </c>
      <c r="K25" s="66"/>
      <c r="L25" s="21" t="str">
        <f t="shared" si="7"/>
        <v>Sf</v>
      </c>
      <c r="M25" s="21" t="e">
        <f t="shared" si="8"/>
        <v>#NUM!</v>
      </c>
      <c r="N25" s="21" t="e">
        <f t="shared" si="9"/>
        <v>#NUM!</v>
      </c>
      <c r="O25" s="12" t="b">
        <f t="shared" si="9"/>
        <v>0</v>
      </c>
      <c r="P25" s="12">
        <v>0</v>
      </c>
      <c r="Q25" s="12">
        <v>0</v>
      </c>
      <c r="R25" s="12">
        <v>0</v>
      </c>
      <c r="S25" s="106" t="e">
        <f>_xll.qlRateHelperRate(R25,Trigger)</f>
        <v>#NUM!</v>
      </c>
      <c r="T25" s="13" t="e">
        <f>_xll.qlRateHelperEarliestDate(R25,Trigger)</f>
        <v>#NUM!</v>
      </c>
      <c r="U25" s="13" t="e">
        <f ca="1">_xll.qlRateHelperLatestDate(R25,Trigger)</f>
        <v>#NAME?</v>
      </c>
      <c r="V25" s="106" t="e">
        <v>#VALUE!</v>
      </c>
    </row>
    <row r="26" spans="1:22" ht="11.25" customHeight="1" x14ac:dyDescent="0.2">
      <c r="A26" s="116" t="s">
        <v>37</v>
      </c>
      <c r="B26" s="117" t="e">
        <f t="shared" si="10"/>
        <v>#NUM!</v>
      </c>
      <c r="C26" s="138" t="e">
        <v>#NUM!</v>
      </c>
      <c r="D26" s="118" t="e">
        <f>_xll.qlIMMcode(C26)</f>
        <v>#NUM!</v>
      </c>
      <c r="E26" s="92" t="s">
        <v>15</v>
      </c>
      <c r="F26" s="141" t="str">
        <f t="shared" si="11"/>
        <v>obj_00396#0010</v>
      </c>
      <c r="G26" s="120" t="e">
        <v>#NUM!</v>
      </c>
      <c r="H26" s="121">
        <v>0</v>
      </c>
      <c r="I26" s="122" t="e">
        <f>_xll.qlFuturesRateHelper(,$G26,"IMM",$D26,$F26,$H26,Permanent,Trigger,ObjectOverwrite)</f>
        <v>#NUM!</v>
      </c>
      <c r="J26" s="122" t="b">
        <f t="shared" si="12"/>
        <v>0</v>
      </c>
      <c r="K26" s="66"/>
      <c r="L26" s="22" t="str">
        <f t="shared" si="7"/>
        <v>Sf</v>
      </c>
      <c r="M26" s="22" t="e">
        <f t="shared" si="8"/>
        <v>#NUM!</v>
      </c>
      <c r="N26" s="22" t="e">
        <f t="shared" si="9"/>
        <v>#NUM!</v>
      </c>
      <c r="O26" s="14" t="b">
        <f t="shared" si="9"/>
        <v>0</v>
      </c>
      <c r="P26" s="12">
        <v>0</v>
      </c>
      <c r="Q26" s="12">
        <v>0</v>
      </c>
      <c r="R26" s="12">
        <v>0</v>
      </c>
      <c r="S26" s="106" t="e">
        <f>_xll.qlRateHelperRate(R26,Trigger)</f>
        <v>#NUM!</v>
      </c>
      <c r="T26" s="13" t="e">
        <f>_xll.qlRateHelperEarliestDate(R26,Trigger)</f>
        <v>#NUM!</v>
      </c>
      <c r="U26" s="13" t="e">
        <f ca="1">_xll.qlRateHelperLatestDate(R26,Trigger)</f>
        <v>#NAME?</v>
      </c>
      <c r="V26" s="106" t="e">
        <v>#VALUE!</v>
      </c>
    </row>
    <row r="27" spans="1:22" ht="11.25" customHeight="1" x14ac:dyDescent="0.2">
      <c r="A27" s="116" t="s">
        <v>37</v>
      </c>
      <c r="B27" s="117" t="e">
        <f t="shared" si="10"/>
        <v>#NUM!</v>
      </c>
      <c r="C27" s="138" t="e">
        <v>#NUM!</v>
      </c>
      <c r="D27" s="118" t="e">
        <f>_xll.qlIMMcode(C27)</f>
        <v>#NUM!</v>
      </c>
      <c r="E27" s="92" t="s">
        <v>15</v>
      </c>
      <c r="F27" s="141" t="str">
        <f t="shared" si="11"/>
        <v>obj_00396#0010</v>
      </c>
      <c r="G27" s="120" t="e">
        <v>#NUM!</v>
      </c>
      <c r="H27" s="121">
        <v>0</v>
      </c>
      <c r="I27" s="122" t="e">
        <f>_xll.qlFuturesRateHelper(,$G27,"IMM",$D27,$F27,$H27,Permanent,Trigger,ObjectOverwrite)</f>
        <v>#NUM!</v>
      </c>
      <c r="J27" s="122" t="b">
        <f t="shared" si="12"/>
        <v>0</v>
      </c>
      <c r="K27" s="66"/>
      <c r="L27" s="21" t="str">
        <f>A32</f>
        <v>Sw</v>
      </c>
      <c r="M27" s="21" t="e">
        <f>D32</f>
        <v>#NUM!</v>
      </c>
      <c r="N27" s="21" t="e">
        <f>I32</f>
        <v>#VALUE!</v>
      </c>
      <c r="O27" s="21" t="b">
        <f>J32</f>
        <v>0</v>
      </c>
      <c r="P27" s="12">
        <v>0</v>
      </c>
      <c r="Q27" s="12">
        <v>0</v>
      </c>
      <c r="R27" s="12">
        <v>0</v>
      </c>
      <c r="S27" s="106" t="e">
        <f>_xll.qlRateHelperRate(R27,Trigger)</f>
        <v>#NUM!</v>
      </c>
      <c r="T27" s="13" t="e">
        <f>_xll.qlRateHelperEarliestDate(R27,Trigger)</f>
        <v>#NUM!</v>
      </c>
      <c r="U27" s="13" t="e">
        <f ca="1">_xll.qlRateHelperLatestDate(R27,Trigger)</f>
        <v>#NAME?</v>
      </c>
      <c r="V27" s="106" t="e">
        <v>#VALUE!</v>
      </c>
    </row>
    <row r="28" spans="1:22" ht="11.25" customHeight="1" x14ac:dyDescent="0.2">
      <c r="A28" s="20" t="s">
        <v>37</v>
      </c>
      <c r="B28" s="8" t="e">
        <f t="shared" si="10"/>
        <v>#NUM!</v>
      </c>
      <c r="C28" s="139" t="e">
        <v>#NUM!</v>
      </c>
      <c r="D28" s="7" t="e">
        <f>_xll.qlIMMcode(C28)</f>
        <v>#NUM!</v>
      </c>
      <c r="E28" s="17" t="s">
        <v>15</v>
      </c>
      <c r="F28" s="23" t="str">
        <f t="shared" si="11"/>
        <v>obj_00396#0010</v>
      </c>
      <c r="G28" s="15" t="e">
        <v>#NUM!</v>
      </c>
      <c r="H28" s="9">
        <v>0</v>
      </c>
      <c r="I28" s="10" t="e">
        <f>_xll.qlFuturesRateHelper(,$G28,"IMM",$D28,$F28,$H28,Permanent,Trigger,ObjectOverwrite)</f>
        <v>#NUM!</v>
      </c>
      <c r="J28" s="10" t="b">
        <f t="shared" si="12"/>
        <v>0</v>
      </c>
      <c r="K28" s="66"/>
      <c r="L28" s="21" t="str">
        <f t="shared" ref="L28:L71" si="13">A33</f>
        <v>Sw</v>
      </c>
      <c r="M28" s="21" t="e">
        <f t="shared" ref="M28:M71" si="14">D33</f>
        <v>#NUM!</v>
      </c>
      <c r="N28" s="21" t="e">
        <f t="shared" ref="N28:O43" si="15">I33</f>
        <v>#VALUE!</v>
      </c>
      <c r="O28" s="21" t="b">
        <f t="shared" si="15"/>
        <v>0</v>
      </c>
      <c r="P28" s="12">
        <v>0</v>
      </c>
      <c r="Q28" s="12">
        <v>0</v>
      </c>
      <c r="R28" s="12">
        <v>0</v>
      </c>
      <c r="S28" s="106" t="e">
        <f>_xll.qlRateHelperRate(R28,Trigger)</f>
        <v>#NUM!</v>
      </c>
      <c r="T28" s="13" t="e">
        <f>_xll.qlRateHelperEarliestDate(R28,Trigger)</f>
        <v>#NUM!</v>
      </c>
      <c r="U28" s="13" t="e">
        <f ca="1">_xll.qlRateHelperLatestDate(R28,Trigger)</f>
        <v>#NAME?</v>
      </c>
      <c r="V28" s="106" t="e">
        <v>#VALUE!</v>
      </c>
    </row>
    <row r="29" spans="1:22" ht="11.25" customHeight="1" x14ac:dyDescent="0.2">
      <c r="K29" s="66"/>
      <c r="L29" s="21" t="str">
        <f t="shared" si="13"/>
        <v>Sw</v>
      </c>
      <c r="M29" s="21" t="e">
        <f t="shared" si="14"/>
        <v>#NUM!</v>
      </c>
      <c r="N29" s="21" t="e">
        <f t="shared" si="15"/>
        <v>#VALUE!</v>
      </c>
      <c r="O29" s="21" t="b">
        <f t="shared" si="15"/>
        <v>0</v>
      </c>
      <c r="P29" s="12">
        <v>0</v>
      </c>
      <c r="Q29" s="12">
        <v>0</v>
      </c>
      <c r="R29" s="12">
        <v>0</v>
      </c>
      <c r="S29" s="106" t="e">
        <f>_xll.qlRateHelperRate(R29,Trigger)</f>
        <v>#NUM!</v>
      </c>
      <c r="T29" s="13" t="e">
        <f>_xll.qlRateHelperEarliestDate(R29,Trigger)</f>
        <v>#NUM!</v>
      </c>
      <c r="U29" s="13" t="e">
        <f ca="1">_xll.qlRateHelperLatestDate(R29,Trigger)</f>
        <v>#NAME?</v>
      </c>
      <c r="V29" s="106" t="e">
        <v>#VALUE!</v>
      </c>
    </row>
    <row r="30" spans="1:22" ht="11.25" customHeight="1" x14ac:dyDescent="0.2">
      <c r="C30" s="64"/>
      <c r="D30" s="64"/>
      <c r="E30" s="64"/>
      <c r="G30" s="80" t="s">
        <v>7</v>
      </c>
      <c r="H30" s="97" t="s">
        <v>9</v>
      </c>
      <c r="I30" s="1" t="str">
        <f>_xll.qlEuribor(,G30,,,Trigger)</f>
        <v>obj_0039a#0010</v>
      </c>
      <c r="J30" s="64"/>
      <c r="K30" s="66"/>
      <c r="L30" s="21" t="str">
        <f t="shared" si="13"/>
        <v>Sw</v>
      </c>
      <c r="M30" s="21" t="e">
        <f t="shared" si="14"/>
        <v>#NUM!</v>
      </c>
      <c r="N30" s="21" t="e">
        <f t="shared" si="15"/>
        <v>#VALUE!</v>
      </c>
      <c r="O30" s="21" t="b">
        <f t="shared" si="15"/>
        <v>0</v>
      </c>
      <c r="P30" s="12">
        <v>0</v>
      </c>
      <c r="Q30" s="12">
        <v>0</v>
      </c>
      <c r="R30" s="12">
        <v>0</v>
      </c>
      <c r="S30" s="106" t="e">
        <f>_xll.qlRateHelperRate(R30,Trigger)</f>
        <v>#NUM!</v>
      </c>
      <c r="T30" s="13" t="e">
        <f>_xll.qlRateHelperEarliestDate(R30,Trigger)</f>
        <v>#NUM!</v>
      </c>
      <c r="U30" s="13" t="e">
        <f ca="1">_xll.qlRateHelperLatestDate(R30,Trigger)</f>
        <v>#NAME?</v>
      </c>
      <c r="V30" s="106" t="e">
        <v>#VALUE!</v>
      </c>
    </row>
    <row r="31" spans="1:22" ht="11.25" customHeight="1" x14ac:dyDescent="0.2">
      <c r="A31" s="97" t="s">
        <v>18</v>
      </c>
      <c r="B31" s="97"/>
      <c r="C31" s="97" t="s">
        <v>11</v>
      </c>
      <c r="D31" s="97" t="s">
        <v>1</v>
      </c>
      <c r="E31" s="97" t="s">
        <v>13</v>
      </c>
      <c r="F31" s="97" t="s">
        <v>12</v>
      </c>
      <c r="G31" s="97" t="s">
        <v>4</v>
      </c>
      <c r="H31" s="97" t="s">
        <v>5</v>
      </c>
      <c r="I31" s="97" t="s">
        <v>36</v>
      </c>
      <c r="J31" s="97" t="s">
        <v>40</v>
      </c>
      <c r="K31" s="66"/>
      <c r="L31" s="21" t="str">
        <f t="shared" si="13"/>
        <v>Sw</v>
      </c>
      <c r="M31" s="21" t="e">
        <f t="shared" si="14"/>
        <v>#NUM!</v>
      </c>
      <c r="N31" s="21" t="e">
        <f t="shared" si="15"/>
        <v>#VALUE!</v>
      </c>
      <c r="O31" s="21" t="b">
        <f t="shared" si="15"/>
        <v>0</v>
      </c>
      <c r="P31" s="12">
        <v>0</v>
      </c>
      <c r="Q31" s="12">
        <v>0</v>
      </c>
      <c r="R31" s="12">
        <v>0</v>
      </c>
      <c r="S31" s="106" t="e">
        <f>_xll.qlRateHelperRate(R31,Trigger)</f>
        <v>#NUM!</v>
      </c>
      <c r="T31" s="13" t="e">
        <f>_xll.qlRateHelperEarliestDate(R31,Trigger)</f>
        <v>#NUM!</v>
      </c>
      <c r="U31" s="13" t="e">
        <f ca="1">_xll.qlRateHelperLatestDate(R31,Trigger)</f>
        <v>#NAME?</v>
      </c>
      <c r="V31" s="106" t="e">
        <v>#VALUE!</v>
      </c>
    </row>
    <row r="32" spans="1:22" ht="11.25" customHeight="1" x14ac:dyDescent="0.2">
      <c r="A32" s="88" t="s">
        <v>38</v>
      </c>
      <c r="B32" s="123"/>
      <c r="C32" s="123" t="s">
        <v>14</v>
      </c>
      <c r="D32" s="124" t="e">
        <f t="array" ref="D32:D76">_xll.ohFilter(#REF!,#REF!="Sw")</f>
        <v>#NUM!</v>
      </c>
      <c r="E32" s="112" t="s">
        <v>15</v>
      </c>
      <c r="F32" s="123" t="s">
        <v>16</v>
      </c>
      <c r="G32" s="112" t="s">
        <v>17</v>
      </c>
      <c r="H32" s="125" t="e">
        <f t="array" ref="H32:H76">_xll.ohFilter(#REF!,#REF!="Sw")/100</f>
        <v>#NUM!</v>
      </c>
      <c r="I32" s="86" t="e">
        <f>_xll.qlSwapRateHelper2(,$H32,,$D32,Calendar,$F32,$E32,$G32,$I$30,0,C32,Discounting,Permanent,Trigger,ObjectOverwrite)</f>
        <v>#VALUE!</v>
      </c>
      <c r="J32" s="83" t="b">
        <f t="shared" ref="J32:J76" si="16">IF(ISNUMBER(H32),TRUE,FALSE)</f>
        <v>0</v>
      </c>
      <c r="L32" s="21" t="str">
        <f t="shared" si="13"/>
        <v>Sw</v>
      </c>
      <c r="M32" s="21" t="e">
        <f t="shared" si="14"/>
        <v>#NUM!</v>
      </c>
      <c r="N32" s="21" t="e">
        <f t="shared" si="15"/>
        <v>#VALUE!</v>
      </c>
      <c r="O32" s="21" t="b">
        <f t="shared" si="15"/>
        <v>0</v>
      </c>
      <c r="P32" s="12">
        <v>0</v>
      </c>
      <c r="Q32" s="12">
        <v>0</v>
      </c>
      <c r="R32" s="12">
        <v>0</v>
      </c>
      <c r="S32" s="106" t="e">
        <f>_xll.qlRateHelperRate(R32,Trigger)</f>
        <v>#NUM!</v>
      </c>
      <c r="T32" s="13" t="e">
        <f>_xll.qlRateHelperEarliestDate(R32,Trigger)</f>
        <v>#NUM!</v>
      </c>
      <c r="U32" s="13" t="e">
        <f ca="1">_xll.qlRateHelperLatestDate(R32,Trigger)</f>
        <v>#NAME?</v>
      </c>
      <c r="V32" s="106" t="e">
        <v>#VALUE!</v>
      </c>
    </row>
    <row r="33" spans="1:22" ht="11.25" customHeight="1" x14ac:dyDescent="0.2">
      <c r="A33" s="96" t="s">
        <v>38</v>
      </c>
      <c r="B33" s="126"/>
      <c r="C33" s="126" t="s">
        <v>14</v>
      </c>
      <c r="D33" s="127" t="e">
        <v>#NUM!</v>
      </c>
      <c r="E33" s="119" t="s">
        <v>15</v>
      </c>
      <c r="F33" s="126" t="s">
        <v>16</v>
      </c>
      <c r="G33" s="119" t="s">
        <v>17</v>
      </c>
      <c r="H33" s="128" t="e">
        <v>#NUM!</v>
      </c>
      <c r="I33" s="94" t="e">
        <f>_xll.qlSwapRateHelper2(,$H33,,$D33,Calendar,$F33,$E33,$G33,$I$30,0,C33,Discounting,Permanent,Trigger,ObjectOverwrite)</f>
        <v>#VALUE!</v>
      </c>
      <c r="J33" s="91" t="b">
        <f t="shared" si="16"/>
        <v>0</v>
      </c>
      <c r="L33" s="21" t="str">
        <f t="shared" si="13"/>
        <v>Sw</v>
      </c>
      <c r="M33" s="21" t="e">
        <f t="shared" si="14"/>
        <v>#NUM!</v>
      </c>
      <c r="N33" s="21" t="e">
        <f t="shared" si="15"/>
        <v>#VALUE!</v>
      </c>
      <c r="O33" s="21" t="b">
        <f t="shared" si="15"/>
        <v>0</v>
      </c>
      <c r="P33" s="12">
        <v>0</v>
      </c>
      <c r="Q33" s="12">
        <v>0</v>
      </c>
      <c r="R33" s="12">
        <v>0</v>
      </c>
      <c r="S33" s="106" t="e">
        <f>_xll.qlRateHelperRate(R33,Trigger)</f>
        <v>#NUM!</v>
      </c>
      <c r="T33" s="13" t="e">
        <f>_xll.qlRateHelperEarliestDate(R33,Trigger)</f>
        <v>#NUM!</v>
      </c>
      <c r="U33" s="13" t="e">
        <f ca="1">_xll.qlRateHelperLatestDate(R33,Trigger)</f>
        <v>#NAME?</v>
      </c>
      <c r="V33" s="106" t="e">
        <v>#VALUE!</v>
      </c>
    </row>
    <row r="34" spans="1:22" ht="11.25" customHeight="1" x14ac:dyDescent="0.2">
      <c r="A34" s="96" t="s">
        <v>38</v>
      </c>
      <c r="B34" s="126"/>
      <c r="C34" s="126" t="s">
        <v>14</v>
      </c>
      <c r="D34" s="127" t="e">
        <v>#NUM!</v>
      </c>
      <c r="E34" s="119" t="s">
        <v>15</v>
      </c>
      <c r="F34" s="126" t="s">
        <v>16</v>
      </c>
      <c r="G34" s="119" t="s">
        <v>17</v>
      </c>
      <c r="H34" s="128" t="e">
        <v>#NUM!</v>
      </c>
      <c r="I34" s="94" t="e">
        <f>_xll.qlSwapRateHelper2(,$H34,,$D34,Calendar,$F34,$E34,$G34,$I$30,0,C34,Discounting,Permanent,Trigger,ObjectOverwrite)</f>
        <v>#VALUE!</v>
      </c>
      <c r="J34" s="91" t="b">
        <f t="shared" si="16"/>
        <v>0</v>
      </c>
      <c r="L34" s="21" t="str">
        <f t="shared" si="13"/>
        <v>Sw</v>
      </c>
      <c r="M34" s="21" t="e">
        <f t="shared" si="14"/>
        <v>#NUM!</v>
      </c>
      <c r="N34" s="21" t="e">
        <f t="shared" si="15"/>
        <v>#VALUE!</v>
      </c>
      <c r="O34" s="21" t="b">
        <f t="shared" si="15"/>
        <v>0</v>
      </c>
      <c r="P34" s="12">
        <v>0</v>
      </c>
      <c r="Q34" s="12">
        <v>0</v>
      </c>
      <c r="R34" s="12">
        <v>0</v>
      </c>
      <c r="S34" s="106" t="e">
        <f>_xll.qlRateHelperRate(R34,Trigger)</f>
        <v>#NUM!</v>
      </c>
      <c r="T34" s="13" t="e">
        <f>_xll.qlRateHelperEarliestDate(R34,Trigger)</f>
        <v>#NUM!</v>
      </c>
      <c r="U34" s="13" t="e">
        <f ca="1">_xll.qlRateHelperLatestDate(R34,Trigger)</f>
        <v>#NAME?</v>
      </c>
      <c r="V34" s="106" t="e">
        <v>#VALUE!</v>
      </c>
    </row>
    <row r="35" spans="1:22" ht="11.25" customHeight="1" x14ac:dyDescent="0.2">
      <c r="A35" s="96" t="s">
        <v>38</v>
      </c>
      <c r="B35" s="126"/>
      <c r="C35" s="126" t="s">
        <v>14</v>
      </c>
      <c r="D35" s="127" t="e">
        <v>#NUM!</v>
      </c>
      <c r="E35" s="119" t="s">
        <v>15</v>
      </c>
      <c r="F35" s="126" t="s">
        <v>16</v>
      </c>
      <c r="G35" s="119" t="s">
        <v>17</v>
      </c>
      <c r="H35" s="128" t="e">
        <v>#NUM!</v>
      </c>
      <c r="I35" s="94" t="e">
        <f>_xll.qlSwapRateHelper2(,$H35,,$D35,Calendar,$F35,$E35,$G35,$I$30,0,C35,Discounting,Permanent,Trigger,ObjectOverwrite)</f>
        <v>#VALUE!</v>
      </c>
      <c r="J35" s="91" t="b">
        <f t="shared" si="16"/>
        <v>0</v>
      </c>
      <c r="L35" s="21" t="str">
        <f t="shared" si="13"/>
        <v>Sw</v>
      </c>
      <c r="M35" s="21" t="e">
        <f t="shared" si="14"/>
        <v>#NUM!</v>
      </c>
      <c r="N35" s="21" t="e">
        <f t="shared" si="15"/>
        <v>#VALUE!</v>
      </c>
      <c r="O35" s="21" t="b">
        <f t="shared" si="15"/>
        <v>0</v>
      </c>
      <c r="P35" s="12">
        <v>0</v>
      </c>
      <c r="Q35" s="12">
        <v>0</v>
      </c>
      <c r="R35" s="12">
        <v>0</v>
      </c>
      <c r="S35" s="106" t="e">
        <f>_xll.qlRateHelperRate(R35,Trigger)</f>
        <v>#NUM!</v>
      </c>
      <c r="T35" s="13" t="e">
        <f>_xll.qlRateHelperEarliestDate(R35,Trigger)</f>
        <v>#NUM!</v>
      </c>
      <c r="U35" s="13" t="e">
        <f ca="1">_xll.qlRateHelperLatestDate(R35,Trigger)</f>
        <v>#NAME?</v>
      </c>
      <c r="V35" s="106" t="e">
        <v>#VALUE!</v>
      </c>
    </row>
    <row r="36" spans="1:22" ht="11.25" customHeight="1" x14ac:dyDescent="0.2">
      <c r="A36" s="96" t="s">
        <v>38</v>
      </c>
      <c r="B36" s="126"/>
      <c r="C36" s="126" t="s">
        <v>14</v>
      </c>
      <c r="D36" s="127" t="e">
        <v>#NUM!</v>
      </c>
      <c r="E36" s="119" t="s">
        <v>15</v>
      </c>
      <c r="F36" s="126" t="s">
        <v>16</v>
      </c>
      <c r="G36" s="119" t="s">
        <v>17</v>
      </c>
      <c r="H36" s="128" t="e">
        <v>#NUM!</v>
      </c>
      <c r="I36" s="94" t="e">
        <f>_xll.qlSwapRateHelper2(,$H36,,$D36,Calendar,$F36,$E36,$G36,$I$30,0,C36,Discounting,Permanent,Trigger,ObjectOverwrite)</f>
        <v>#VALUE!</v>
      </c>
      <c r="J36" s="91" t="b">
        <f t="shared" si="16"/>
        <v>0</v>
      </c>
      <c r="L36" s="21" t="str">
        <f t="shared" si="13"/>
        <v>Sw</v>
      </c>
      <c r="M36" s="21" t="e">
        <f t="shared" si="14"/>
        <v>#NUM!</v>
      </c>
      <c r="N36" s="21" t="e">
        <f t="shared" si="15"/>
        <v>#VALUE!</v>
      </c>
      <c r="O36" s="21" t="b">
        <f t="shared" si="15"/>
        <v>0</v>
      </c>
      <c r="P36" s="12">
        <v>0</v>
      </c>
      <c r="Q36" s="12">
        <v>0</v>
      </c>
      <c r="R36" s="12">
        <v>0</v>
      </c>
      <c r="S36" s="106" t="e">
        <f>_xll.qlRateHelperRate(R36,Trigger)</f>
        <v>#NUM!</v>
      </c>
      <c r="T36" s="13" t="e">
        <f>_xll.qlRateHelperEarliestDate(R36,Trigger)</f>
        <v>#NUM!</v>
      </c>
      <c r="U36" s="13" t="e">
        <f ca="1">_xll.qlRateHelperLatestDate(R36,Trigger)</f>
        <v>#NAME?</v>
      </c>
      <c r="V36" s="106" t="e">
        <v>#VALUE!</v>
      </c>
    </row>
    <row r="37" spans="1:22" ht="11.25" customHeight="1" x14ac:dyDescent="0.2">
      <c r="A37" s="96" t="s">
        <v>38</v>
      </c>
      <c r="B37" s="126"/>
      <c r="C37" s="126" t="s">
        <v>14</v>
      </c>
      <c r="D37" s="127" t="e">
        <v>#NUM!</v>
      </c>
      <c r="E37" s="119" t="s">
        <v>15</v>
      </c>
      <c r="F37" s="126" t="s">
        <v>16</v>
      </c>
      <c r="G37" s="119" t="s">
        <v>17</v>
      </c>
      <c r="H37" s="128" t="e">
        <v>#NUM!</v>
      </c>
      <c r="I37" s="94" t="e">
        <f>_xll.qlSwapRateHelper2(,$H37,,$D37,Calendar,$F37,$E37,$G37,$I$30,0,C37,Discounting,Permanent,Trigger,ObjectOverwrite)</f>
        <v>#VALUE!</v>
      </c>
      <c r="J37" s="91" t="b">
        <f t="shared" si="16"/>
        <v>0</v>
      </c>
      <c r="L37" s="21" t="str">
        <f t="shared" si="13"/>
        <v>Sw</v>
      </c>
      <c r="M37" s="21" t="e">
        <f t="shared" si="14"/>
        <v>#NUM!</v>
      </c>
      <c r="N37" s="21" t="e">
        <f t="shared" si="15"/>
        <v>#VALUE!</v>
      </c>
      <c r="O37" s="21" t="b">
        <f t="shared" si="15"/>
        <v>0</v>
      </c>
      <c r="P37" s="12">
        <v>0</v>
      </c>
      <c r="Q37" s="12">
        <v>0</v>
      </c>
      <c r="R37" s="12">
        <v>0</v>
      </c>
      <c r="S37" s="106" t="e">
        <f>_xll.qlRateHelperRate(R37,Trigger)</f>
        <v>#NUM!</v>
      </c>
      <c r="T37" s="13" t="e">
        <f>_xll.qlRateHelperEarliestDate(R37,Trigger)</f>
        <v>#NUM!</v>
      </c>
      <c r="U37" s="13" t="e">
        <f ca="1">_xll.qlRateHelperLatestDate(R37,Trigger)</f>
        <v>#NAME?</v>
      </c>
      <c r="V37" s="106" t="e">
        <v>#VALUE!</v>
      </c>
    </row>
    <row r="38" spans="1:22" ht="11.25" customHeight="1" x14ac:dyDescent="0.2">
      <c r="A38" s="96" t="s">
        <v>38</v>
      </c>
      <c r="B38" s="126"/>
      <c r="C38" s="126" t="s">
        <v>14</v>
      </c>
      <c r="D38" s="127" t="e">
        <v>#NUM!</v>
      </c>
      <c r="E38" s="119" t="s">
        <v>15</v>
      </c>
      <c r="F38" s="126" t="s">
        <v>16</v>
      </c>
      <c r="G38" s="119" t="s">
        <v>17</v>
      </c>
      <c r="H38" s="128" t="e">
        <v>#NUM!</v>
      </c>
      <c r="I38" s="94" t="e">
        <f>_xll.qlSwapRateHelper2(,$H38,,$D38,Calendar,$F38,$E38,$G38,$I$30,0,C38,Discounting,Permanent,Trigger,ObjectOverwrite)</f>
        <v>#VALUE!</v>
      </c>
      <c r="J38" s="91" t="b">
        <f t="shared" si="16"/>
        <v>0</v>
      </c>
      <c r="L38" s="21" t="str">
        <f t="shared" si="13"/>
        <v>Sw</v>
      </c>
      <c r="M38" s="21" t="e">
        <f t="shared" si="14"/>
        <v>#NUM!</v>
      </c>
      <c r="N38" s="21" t="e">
        <f t="shared" si="15"/>
        <v>#VALUE!</v>
      </c>
      <c r="O38" s="21" t="b">
        <f t="shared" si="15"/>
        <v>0</v>
      </c>
      <c r="P38" s="12">
        <v>0</v>
      </c>
      <c r="Q38" s="12">
        <v>0</v>
      </c>
      <c r="R38" s="12">
        <v>0</v>
      </c>
      <c r="S38" s="106" t="e">
        <f>_xll.qlRateHelperRate(R38,Trigger)</f>
        <v>#NUM!</v>
      </c>
      <c r="T38" s="13" t="e">
        <f>_xll.qlRateHelperEarliestDate(R38,Trigger)</f>
        <v>#NUM!</v>
      </c>
      <c r="U38" s="13" t="e">
        <f ca="1">_xll.qlRateHelperLatestDate(R38,Trigger)</f>
        <v>#NAME?</v>
      </c>
      <c r="V38" s="106" t="e">
        <v>#VALUE!</v>
      </c>
    </row>
    <row r="39" spans="1:22" ht="11.25" customHeight="1" x14ac:dyDescent="0.2">
      <c r="A39" s="96" t="s">
        <v>38</v>
      </c>
      <c r="B39" s="126"/>
      <c r="C39" s="126" t="s">
        <v>14</v>
      </c>
      <c r="D39" s="127" t="e">
        <v>#NUM!</v>
      </c>
      <c r="E39" s="119" t="s">
        <v>15</v>
      </c>
      <c r="F39" s="126" t="s">
        <v>16</v>
      </c>
      <c r="G39" s="119" t="s">
        <v>17</v>
      </c>
      <c r="H39" s="128" t="e">
        <v>#NUM!</v>
      </c>
      <c r="I39" s="94" t="e">
        <f>_xll.qlSwapRateHelper2(,$H39,,$D39,Calendar,$F39,$E39,$G39,$I$30,0,C39,Discounting,Permanent,Trigger,ObjectOverwrite)</f>
        <v>#VALUE!</v>
      </c>
      <c r="J39" s="91" t="b">
        <f t="shared" si="16"/>
        <v>0</v>
      </c>
      <c r="L39" s="21" t="str">
        <f t="shared" si="13"/>
        <v>Sw</v>
      </c>
      <c r="M39" s="21" t="e">
        <f t="shared" si="14"/>
        <v>#NUM!</v>
      </c>
      <c r="N39" s="21" t="e">
        <f t="shared" si="15"/>
        <v>#VALUE!</v>
      </c>
      <c r="O39" s="21" t="b">
        <f t="shared" si="15"/>
        <v>0</v>
      </c>
      <c r="P39" s="12">
        <v>0</v>
      </c>
      <c r="Q39" s="12">
        <v>0</v>
      </c>
      <c r="R39" s="12">
        <v>0</v>
      </c>
      <c r="S39" s="106" t="e">
        <f>_xll.qlRateHelperRate(R39,Trigger)</f>
        <v>#NUM!</v>
      </c>
      <c r="T39" s="13" t="e">
        <f>_xll.qlRateHelperEarliestDate(R39,Trigger)</f>
        <v>#NUM!</v>
      </c>
      <c r="U39" s="13" t="e">
        <f ca="1">_xll.qlRateHelperLatestDate(R39,Trigger)</f>
        <v>#NAME?</v>
      </c>
      <c r="V39" s="106" t="e">
        <v>#VALUE!</v>
      </c>
    </row>
    <row r="40" spans="1:22" ht="11.25" customHeight="1" x14ac:dyDescent="0.2">
      <c r="A40" s="96" t="s">
        <v>38</v>
      </c>
      <c r="B40" s="126"/>
      <c r="C40" s="126" t="s">
        <v>14</v>
      </c>
      <c r="D40" s="127" t="e">
        <v>#NUM!</v>
      </c>
      <c r="E40" s="119" t="s">
        <v>15</v>
      </c>
      <c r="F40" s="126" t="s">
        <v>16</v>
      </c>
      <c r="G40" s="119" t="s">
        <v>17</v>
      </c>
      <c r="H40" s="128" t="e">
        <v>#NUM!</v>
      </c>
      <c r="I40" s="94" t="e">
        <f>_xll.qlSwapRateHelper2(,$H40,,$D40,Calendar,$F40,$E40,$G40,$I$30,0,C40,Discounting,Permanent,Trigger,ObjectOverwrite)</f>
        <v>#VALUE!</v>
      </c>
      <c r="J40" s="91" t="b">
        <f t="shared" si="16"/>
        <v>0</v>
      </c>
      <c r="L40" s="21" t="str">
        <f t="shared" si="13"/>
        <v>Sw</v>
      </c>
      <c r="M40" s="21" t="e">
        <f t="shared" si="14"/>
        <v>#NUM!</v>
      </c>
      <c r="N40" s="21" t="e">
        <f t="shared" si="15"/>
        <v>#VALUE!</v>
      </c>
      <c r="O40" s="21" t="b">
        <f t="shared" si="15"/>
        <v>0</v>
      </c>
      <c r="P40" s="12">
        <v>0</v>
      </c>
      <c r="Q40" s="12">
        <v>0</v>
      </c>
      <c r="R40" s="12">
        <v>0</v>
      </c>
      <c r="S40" s="106" t="e">
        <f>_xll.qlRateHelperRate(R40,Trigger)</f>
        <v>#NUM!</v>
      </c>
      <c r="T40" s="13" t="e">
        <f>_xll.qlRateHelperEarliestDate(R40,Trigger)</f>
        <v>#NUM!</v>
      </c>
      <c r="U40" s="13" t="e">
        <f ca="1">_xll.qlRateHelperLatestDate(R40,Trigger)</f>
        <v>#NAME?</v>
      </c>
      <c r="V40" s="106" t="e">
        <v>#VALUE!</v>
      </c>
    </row>
    <row r="41" spans="1:22" ht="11.25" customHeight="1" x14ac:dyDescent="0.2">
      <c r="A41" s="96" t="s">
        <v>38</v>
      </c>
      <c r="B41" s="126"/>
      <c r="C41" s="126" t="s">
        <v>14</v>
      </c>
      <c r="D41" s="127" t="e">
        <v>#NUM!</v>
      </c>
      <c r="E41" s="119" t="s">
        <v>15</v>
      </c>
      <c r="F41" s="126" t="s">
        <v>16</v>
      </c>
      <c r="G41" s="119" t="s">
        <v>17</v>
      </c>
      <c r="H41" s="128" t="e">
        <v>#NUM!</v>
      </c>
      <c r="I41" s="94" t="e">
        <f>_xll.qlSwapRateHelper2(,$H41,,$D41,Calendar,$F41,$E41,$G41,$I$30,0,C41,Discounting,Permanent,Trigger,ObjectOverwrite)</f>
        <v>#VALUE!</v>
      </c>
      <c r="J41" s="91" t="b">
        <f t="shared" si="16"/>
        <v>0</v>
      </c>
      <c r="L41" s="21" t="str">
        <f t="shared" si="13"/>
        <v>Sw</v>
      </c>
      <c r="M41" s="21" t="e">
        <f t="shared" si="14"/>
        <v>#NUM!</v>
      </c>
      <c r="N41" s="21" t="e">
        <f t="shared" si="15"/>
        <v>#VALUE!</v>
      </c>
      <c r="O41" s="21" t="b">
        <f t="shared" si="15"/>
        <v>0</v>
      </c>
      <c r="P41" s="12">
        <v>0</v>
      </c>
      <c r="Q41" s="12">
        <v>0</v>
      </c>
      <c r="R41" s="12">
        <v>0</v>
      </c>
      <c r="S41" s="106" t="e">
        <f>_xll.qlRateHelperRate(R41,Trigger)</f>
        <v>#NUM!</v>
      </c>
      <c r="T41" s="13" t="e">
        <f>_xll.qlRateHelperEarliestDate(R41,Trigger)</f>
        <v>#NUM!</v>
      </c>
      <c r="U41" s="13" t="e">
        <f ca="1">_xll.qlRateHelperLatestDate(R41,Trigger)</f>
        <v>#NAME?</v>
      </c>
      <c r="V41" s="106" t="e">
        <v>#VALUE!</v>
      </c>
    </row>
    <row r="42" spans="1:22" ht="11.25" customHeight="1" x14ac:dyDescent="0.2">
      <c r="A42" s="96" t="s">
        <v>38</v>
      </c>
      <c r="B42" s="126"/>
      <c r="C42" s="126" t="s">
        <v>14</v>
      </c>
      <c r="D42" s="127" t="e">
        <v>#NUM!</v>
      </c>
      <c r="E42" s="119" t="s">
        <v>15</v>
      </c>
      <c r="F42" s="126" t="s">
        <v>16</v>
      </c>
      <c r="G42" s="119" t="s">
        <v>17</v>
      </c>
      <c r="H42" s="128" t="e">
        <v>#NUM!</v>
      </c>
      <c r="I42" s="94" t="e">
        <f>_xll.qlSwapRateHelper2(,$H42,,$D42,Calendar,$F42,$E42,$G42,$I$30,0,C42,Discounting,Permanent,Trigger,ObjectOverwrite)</f>
        <v>#VALUE!</v>
      </c>
      <c r="J42" s="91" t="b">
        <f t="shared" si="16"/>
        <v>0</v>
      </c>
      <c r="L42" s="21" t="str">
        <f t="shared" si="13"/>
        <v>Sw</v>
      </c>
      <c r="M42" s="21" t="e">
        <f t="shared" si="14"/>
        <v>#NUM!</v>
      </c>
      <c r="N42" s="21" t="e">
        <f t="shared" si="15"/>
        <v>#VALUE!</v>
      </c>
      <c r="O42" s="21" t="b">
        <f t="shared" si="15"/>
        <v>0</v>
      </c>
      <c r="P42" s="12">
        <v>0</v>
      </c>
      <c r="Q42" s="12">
        <v>0</v>
      </c>
      <c r="R42" s="12">
        <v>0</v>
      </c>
      <c r="S42" s="106" t="e">
        <f>_xll.qlRateHelperRate(R42,Trigger)</f>
        <v>#NUM!</v>
      </c>
      <c r="T42" s="13" t="e">
        <f>_xll.qlRateHelperEarliestDate(R42,Trigger)</f>
        <v>#NUM!</v>
      </c>
      <c r="U42" s="13" t="e">
        <f ca="1">_xll.qlRateHelperLatestDate(R42,Trigger)</f>
        <v>#NAME?</v>
      </c>
      <c r="V42" s="106" t="e">
        <v>#VALUE!</v>
      </c>
    </row>
    <row r="43" spans="1:22" ht="11.25" customHeight="1" x14ac:dyDescent="0.2">
      <c r="A43" s="96" t="s">
        <v>38</v>
      </c>
      <c r="B43" s="126"/>
      <c r="C43" s="126" t="s">
        <v>14</v>
      </c>
      <c r="D43" s="127" t="e">
        <v>#NUM!</v>
      </c>
      <c r="E43" s="119" t="s">
        <v>15</v>
      </c>
      <c r="F43" s="126" t="s">
        <v>16</v>
      </c>
      <c r="G43" s="119" t="s">
        <v>17</v>
      </c>
      <c r="H43" s="128" t="e">
        <v>#NUM!</v>
      </c>
      <c r="I43" s="94" t="e">
        <f>_xll.qlSwapRateHelper2(,$H43,,$D43,Calendar,$F43,$E43,$G43,$I$30,0,C43,Discounting,Permanent,Trigger,ObjectOverwrite)</f>
        <v>#VALUE!</v>
      </c>
      <c r="J43" s="91" t="b">
        <f t="shared" si="16"/>
        <v>0</v>
      </c>
      <c r="L43" s="21" t="str">
        <f t="shared" si="13"/>
        <v>Sw</v>
      </c>
      <c r="M43" s="21" t="e">
        <f t="shared" si="14"/>
        <v>#NUM!</v>
      </c>
      <c r="N43" s="21" t="e">
        <f t="shared" si="15"/>
        <v>#VALUE!</v>
      </c>
      <c r="O43" s="21" t="b">
        <f t="shared" si="15"/>
        <v>0</v>
      </c>
      <c r="P43" s="12">
        <v>0</v>
      </c>
      <c r="Q43" s="12">
        <v>0</v>
      </c>
      <c r="R43" s="12">
        <v>0</v>
      </c>
      <c r="S43" s="106" t="e">
        <f>_xll.qlRateHelperRate(R43,Trigger)</f>
        <v>#NUM!</v>
      </c>
      <c r="T43" s="13" t="e">
        <f>_xll.qlRateHelperEarliestDate(R43,Trigger)</f>
        <v>#NUM!</v>
      </c>
      <c r="U43" s="13" t="e">
        <f ca="1">_xll.qlRateHelperLatestDate(R43,Trigger)</f>
        <v>#NAME?</v>
      </c>
      <c r="V43" s="106" t="e">
        <v>#VALUE!</v>
      </c>
    </row>
    <row r="44" spans="1:22" ht="11.25" customHeight="1" x14ac:dyDescent="0.2">
      <c r="A44" s="96" t="s">
        <v>38</v>
      </c>
      <c r="B44" s="126"/>
      <c r="C44" s="126" t="s">
        <v>14</v>
      </c>
      <c r="D44" s="127" t="e">
        <v>#NUM!</v>
      </c>
      <c r="E44" s="119" t="s">
        <v>15</v>
      </c>
      <c r="F44" s="126" t="s">
        <v>16</v>
      </c>
      <c r="G44" s="119" t="s">
        <v>17</v>
      </c>
      <c r="H44" s="128" t="e">
        <v>#NUM!</v>
      </c>
      <c r="I44" s="94" t="e">
        <f>_xll.qlSwapRateHelper2(,$H44,,$D44,Calendar,$F44,$E44,$G44,$I$30,0,C44,Discounting,Permanent,Trigger,ObjectOverwrite)</f>
        <v>#VALUE!</v>
      </c>
      <c r="J44" s="91" t="b">
        <f t="shared" si="16"/>
        <v>0</v>
      </c>
      <c r="L44" s="21" t="str">
        <f t="shared" si="13"/>
        <v>Sw</v>
      </c>
      <c r="M44" s="21" t="e">
        <f t="shared" si="14"/>
        <v>#NUM!</v>
      </c>
      <c r="N44" s="21" t="e">
        <f t="shared" ref="N44:O59" si="17">I49</f>
        <v>#VALUE!</v>
      </c>
      <c r="O44" s="21" t="b">
        <f t="shared" si="17"/>
        <v>0</v>
      </c>
      <c r="P44" s="12">
        <v>0</v>
      </c>
      <c r="Q44" s="12">
        <v>0</v>
      </c>
      <c r="R44" s="12">
        <v>0</v>
      </c>
      <c r="S44" s="106" t="e">
        <f>_xll.qlRateHelperRate(R44,Trigger)</f>
        <v>#NUM!</v>
      </c>
      <c r="T44" s="13" t="e">
        <f>_xll.qlRateHelperEarliestDate(R44,Trigger)</f>
        <v>#NUM!</v>
      </c>
      <c r="U44" s="13" t="e">
        <f ca="1">_xll.qlRateHelperLatestDate(R44,Trigger)</f>
        <v>#NAME?</v>
      </c>
      <c r="V44" s="106" t="e">
        <v>#VALUE!</v>
      </c>
    </row>
    <row r="45" spans="1:22" ht="11.25" customHeight="1" x14ac:dyDescent="0.2">
      <c r="A45" s="96" t="s">
        <v>38</v>
      </c>
      <c r="B45" s="126"/>
      <c r="C45" s="126" t="s">
        <v>14</v>
      </c>
      <c r="D45" s="127" t="e">
        <v>#NUM!</v>
      </c>
      <c r="E45" s="119" t="s">
        <v>15</v>
      </c>
      <c r="F45" s="126" t="s">
        <v>16</v>
      </c>
      <c r="G45" s="119" t="s">
        <v>17</v>
      </c>
      <c r="H45" s="128" t="e">
        <v>#NUM!</v>
      </c>
      <c r="I45" s="94" t="e">
        <f>_xll.qlSwapRateHelper2(,$H45,,$D45,Calendar,$F45,$E45,$G45,$I$30,0,C45,Discounting,Permanent,Trigger,ObjectOverwrite)</f>
        <v>#VALUE!</v>
      </c>
      <c r="J45" s="91" t="b">
        <f t="shared" si="16"/>
        <v>0</v>
      </c>
      <c r="L45" s="21" t="str">
        <f t="shared" si="13"/>
        <v>Sw</v>
      </c>
      <c r="M45" s="21" t="e">
        <f t="shared" si="14"/>
        <v>#NUM!</v>
      </c>
      <c r="N45" s="21" t="e">
        <f t="shared" si="17"/>
        <v>#VALUE!</v>
      </c>
      <c r="O45" s="21" t="b">
        <f t="shared" si="17"/>
        <v>0</v>
      </c>
      <c r="P45" s="12">
        <v>0</v>
      </c>
      <c r="Q45" s="12">
        <v>0</v>
      </c>
      <c r="R45" s="12">
        <v>0</v>
      </c>
      <c r="S45" s="106" t="e">
        <f>_xll.qlRateHelperRate(R45,Trigger)</f>
        <v>#NUM!</v>
      </c>
      <c r="T45" s="13" t="e">
        <f>_xll.qlRateHelperEarliestDate(R45,Trigger)</f>
        <v>#NUM!</v>
      </c>
      <c r="U45" s="13" t="e">
        <f ca="1">_xll.qlRateHelperLatestDate(R45,Trigger)</f>
        <v>#NAME?</v>
      </c>
      <c r="V45" s="106" t="e">
        <v>#VALUE!</v>
      </c>
    </row>
    <row r="46" spans="1:22" ht="11.25" customHeight="1" x14ac:dyDescent="0.2">
      <c r="A46" s="96" t="s">
        <v>38</v>
      </c>
      <c r="B46" s="126"/>
      <c r="C46" s="126" t="s">
        <v>14</v>
      </c>
      <c r="D46" s="127" t="e">
        <v>#NUM!</v>
      </c>
      <c r="E46" s="119" t="s">
        <v>15</v>
      </c>
      <c r="F46" s="126" t="s">
        <v>16</v>
      </c>
      <c r="G46" s="119" t="s">
        <v>17</v>
      </c>
      <c r="H46" s="128" t="e">
        <v>#NUM!</v>
      </c>
      <c r="I46" s="94" t="e">
        <f>_xll.qlSwapRateHelper2(,$H46,,$D46,Calendar,$F46,$E46,$G46,$I$30,0,C46,Discounting,Permanent,Trigger,ObjectOverwrite)</f>
        <v>#VALUE!</v>
      </c>
      <c r="J46" s="91" t="b">
        <f t="shared" si="16"/>
        <v>0</v>
      </c>
      <c r="L46" s="21" t="str">
        <f t="shared" si="13"/>
        <v>Sw</v>
      </c>
      <c r="M46" s="21" t="e">
        <f t="shared" si="14"/>
        <v>#NUM!</v>
      </c>
      <c r="N46" s="21" t="e">
        <f t="shared" si="17"/>
        <v>#VALUE!</v>
      </c>
      <c r="O46" s="21" t="b">
        <f t="shared" si="17"/>
        <v>0</v>
      </c>
      <c r="P46" s="12">
        <v>0</v>
      </c>
      <c r="Q46" s="12">
        <v>0</v>
      </c>
      <c r="R46" s="12">
        <v>0</v>
      </c>
      <c r="S46" s="106" t="e">
        <f>_xll.qlRateHelperRate(R46,Trigger)</f>
        <v>#NUM!</v>
      </c>
      <c r="T46" s="13" t="e">
        <f>_xll.qlRateHelperEarliestDate(R46,Trigger)</f>
        <v>#NUM!</v>
      </c>
      <c r="U46" s="13" t="e">
        <f ca="1">_xll.qlRateHelperLatestDate(R46,Trigger)</f>
        <v>#NAME?</v>
      </c>
      <c r="V46" s="106" t="e">
        <v>#VALUE!</v>
      </c>
    </row>
    <row r="47" spans="1:22" ht="11.25" customHeight="1" x14ac:dyDescent="0.2">
      <c r="A47" s="96" t="s">
        <v>38</v>
      </c>
      <c r="B47" s="126"/>
      <c r="C47" s="126" t="s">
        <v>14</v>
      </c>
      <c r="D47" s="127" t="e">
        <v>#NUM!</v>
      </c>
      <c r="E47" s="119" t="s">
        <v>15</v>
      </c>
      <c r="F47" s="126" t="s">
        <v>16</v>
      </c>
      <c r="G47" s="119" t="s">
        <v>17</v>
      </c>
      <c r="H47" s="128" t="e">
        <v>#NUM!</v>
      </c>
      <c r="I47" s="94" t="e">
        <f>_xll.qlSwapRateHelper2(,$H47,,$D47,Calendar,$F47,$E47,$G47,$I$30,0,C47,Discounting,Permanent,Trigger,ObjectOverwrite)</f>
        <v>#VALUE!</v>
      </c>
      <c r="J47" s="91" t="b">
        <f t="shared" si="16"/>
        <v>0</v>
      </c>
      <c r="L47" s="21" t="str">
        <f t="shared" si="13"/>
        <v>Sw</v>
      </c>
      <c r="M47" s="21" t="e">
        <f t="shared" si="14"/>
        <v>#NUM!</v>
      </c>
      <c r="N47" s="21" t="e">
        <f t="shared" si="17"/>
        <v>#VALUE!</v>
      </c>
      <c r="O47" s="21" t="b">
        <f t="shared" si="17"/>
        <v>0</v>
      </c>
      <c r="P47" s="12">
        <v>0</v>
      </c>
      <c r="Q47" s="12">
        <v>0</v>
      </c>
      <c r="R47" s="12">
        <v>0</v>
      </c>
      <c r="S47" s="106" t="e">
        <f>_xll.qlRateHelperRate(R47,Trigger)</f>
        <v>#NUM!</v>
      </c>
      <c r="T47" s="13" t="e">
        <f>_xll.qlRateHelperEarliestDate(R47,Trigger)</f>
        <v>#NUM!</v>
      </c>
      <c r="U47" s="13" t="e">
        <f ca="1">_xll.qlRateHelperLatestDate(R47,Trigger)</f>
        <v>#NAME?</v>
      </c>
      <c r="V47" s="106" t="e">
        <v>#VALUE!</v>
      </c>
    </row>
    <row r="48" spans="1:22" ht="11.25" customHeight="1" x14ac:dyDescent="0.2">
      <c r="A48" s="96" t="s">
        <v>38</v>
      </c>
      <c r="B48" s="126"/>
      <c r="C48" s="126" t="s">
        <v>14</v>
      </c>
      <c r="D48" s="127" t="e">
        <v>#NUM!</v>
      </c>
      <c r="E48" s="119" t="s">
        <v>15</v>
      </c>
      <c r="F48" s="126" t="s">
        <v>16</v>
      </c>
      <c r="G48" s="119" t="s">
        <v>17</v>
      </c>
      <c r="H48" s="128" t="e">
        <v>#NUM!</v>
      </c>
      <c r="I48" s="94" t="e">
        <f>_xll.qlSwapRateHelper2(,$H48,,$D48,Calendar,$F48,$E48,$G48,$I$30,0,C48,Discounting,Permanent,Trigger,ObjectOverwrite)</f>
        <v>#VALUE!</v>
      </c>
      <c r="J48" s="91" t="b">
        <f t="shared" si="16"/>
        <v>0</v>
      </c>
      <c r="L48" s="21" t="str">
        <f t="shared" si="13"/>
        <v>Sw</v>
      </c>
      <c r="M48" s="21" t="e">
        <f t="shared" si="14"/>
        <v>#NUM!</v>
      </c>
      <c r="N48" s="21" t="e">
        <f t="shared" si="17"/>
        <v>#VALUE!</v>
      </c>
      <c r="O48" s="21" t="b">
        <f t="shared" si="17"/>
        <v>0</v>
      </c>
      <c r="P48" s="12">
        <v>0</v>
      </c>
      <c r="Q48" s="12">
        <v>0</v>
      </c>
      <c r="R48" s="12">
        <v>0</v>
      </c>
      <c r="S48" s="106" t="e">
        <f>_xll.qlRateHelperRate(R48,Trigger)</f>
        <v>#NUM!</v>
      </c>
      <c r="T48" s="13" t="e">
        <f>_xll.qlRateHelperEarliestDate(R48,Trigger)</f>
        <v>#NUM!</v>
      </c>
      <c r="U48" s="13" t="e">
        <f ca="1">_xll.qlRateHelperLatestDate(R48,Trigger)</f>
        <v>#NAME?</v>
      </c>
      <c r="V48" s="106" t="e">
        <v>#VALUE!</v>
      </c>
    </row>
    <row r="49" spans="1:22" ht="11.25" customHeight="1" x14ac:dyDescent="0.2">
      <c r="A49" s="96" t="s">
        <v>38</v>
      </c>
      <c r="B49" s="126"/>
      <c r="C49" s="126" t="s">
        <v>14</v>
      </c>
      <c r="D49" s="127" t="e">
        <v>#NUM!</v>
      </c>
      <c r="E49" s="119" t="s">
        <v>15</v>
      </c>
      <c r="F49" s="126" t="s">
        <v>16</v>
      </c>
      <c r="G49" s="119" t="s">
        <v>17</v>
      </c>
      <c r="H49" s="128" t="e">
        <v>#NUM!</v>
      </c>
      <c r="I49" s="94" t="e">
        <f>_xll.qlSwapRateHelper2(,$H49,,$D49,Calendar,$F49,$E49,$G49,$I$30,0,C49,Discounting,Permanent,Trigger,ObjectOverwrite)</f>
        <v>#VALUE!</v>
      </c>
      <c r="J49" s="91" t="b">
        <f t="shared" si="16"/>
        <v>0</v>
      </c>
      <c r="L49" s="21" t="str">
        <f t="shared" si="13"/>
        <v>Sw</v>
      </c>
      <c r="M49" s="21" t="e">
        <f t="shared" si="14"/>
        <v>#NUM!</v>
      </c>
      <c r="N49" s="21" t="e">
        <f t="shared" si="17"/>
        <v>#VALUE!</v>
      </c>
      <c r="O49" s="21" t="b">
        <f t="shared" si="17"/>
        <v>0</v>
      </c>
      <c r="P49" s="12">
        <v>0</v>
      </c>
      <c r="Q49" s="12">
        <v>0</v>
      </c>
      <c r="R49" s="12">
        <v>0</v>
      </c>
      <c r="S49" s="106" t="e">
        <f>_xll.qlRateHelperRate(R49,Trigger)</f>
        <v>#NUM!</v>
      </c>
      <c r="T49" s="13" t="e">
        <f>_xll.qlRateHelperEarliestDate(R49,Trigger)</f>
        <v>#NUM!</v>
      </c>
      <c r="U49" s="13" t="e">
        <f ca="1">_xll.qlRateHelperLatestDate(R49,Trigger)</f>
        <v>#NAME?</v>
      </c>
      <c r="V49" s="106" t="e">
        <v>#VALUE!</v>
      </c>
    </row>
    <row r="50" spans="1:22" ht="11.25" customHeight="1" x14ac:dyDescent="0.2">
      <c r="A50" s="96" t="s">
        <v>38</v>
      </c>
      <c r="B50" s="126"/>
      <c r="C50" s="126" t="s">
        <v>14</v>
      </c>
      <c r="D50" s="127" t="e">
        <v>#NUM!</v>
      </c>
      <c r="E50" s="119" t="s">
        <v>15</v>
      </c>
      <c r="F50" s="126" t="s">
        <v>16</v>
      </c>
      <c r="G50" s="119" t="s">
        <v>17</v>
      </c>
      <c r="H50" s="128" t="e">
        <v>#NUM!</v>
      </c>
      <c r="I50" s="94" t="e">
        <f>_xll.qlSwapRateHelper2(,$H50,,$D50,Calendar,$F50,$E50,$G50,$I$30,0,C50,Discounting,Permanent,Trigger,ObjectOverwrite)</f>
        <v>#VALUE!</v>
      </c>
      <c r="J50" s="91" t="b">
        <f t="shared" si="16"/>
        <v>0</v>
      </c>
      <c r="L50" s="21" t="str">
        <f t="shared" si="13"/>
        <v>Sw</v>
      </c>
      <c r="M50" s="21" t="e">
        <f t="shared" si="14"/>
        <v>#NUM!</v>
      </c>
      <c r="N50" s="21" t="e">
        <f t="shared" si="17"/>
        <v>#VALUE!</v>
      </c>
      <c r="O50" s="21" t="b">
        <f t="shared" si="17"/>
        <v>0</v>
      </c>
      <c r="P50" s="12">
        <v>0</v>
      </c>
      <c r="Q50" s="12">
        <v>0</v>
      </c>
      <c r="R50" s="12">
        <v>0</v>
      </c>
      <c r="S50" s="106" t="e">
        <f>_xll.qlRateHelperRate(R50,Trigger)</f>
        <v>#NUM!</v>
      </c>
      <c r="T50" s="13" t="e">
        <f>_xll.qlRateHelperEarliestDate(R50,Trigger)</f>
        <v>#NUM!</v>
      </c>
      <c r="U50" s="13" t="e">
        <f ca="1">_xll.qlRateHelperLatestDate(R50,Trigger)</f>
        <v>#NAME?</v>
      </c>
      <c r="V50" s="106" t="e">
        <v>#VALUE!</v>
      </c>
    </row>
    <row r="51" spans="1:22" ht="11.25" customHeight="1" x14ac:dyDescent="0.2">
      <c r="A51" s="96" t="s">
        <v>38</v>
      </c>
      <c r="B51" s="126"/>
      <c r="C51" s="126" t="s">
        <v>14</v>
      </c>
      <c r="D51" s="127" t="e">
        <v>#NUM!</v>
      </c>
      <c r="E51" s="119" t="s">
        <v>15</v>
      </c>
      <c r="F51" s="126" t="s">
        <v>16</v>
      </c>
      <c r="G51" s="119" t="s">
        <v>17</v>
      </c>
      <c r="H51" s="128" t="e">
        <v>#NUM!</v>
      </c>
      <c r="I51" s="94" t="e">
        <f>_xll.qlSwapRateHelper2(,$H51,,$D51,Calendar,$F51,$E51,$G51,$I$30,0,C51,Discounting,Permanent,Trigger,ObjectOverwrite)</f>
        <v>#VALUE!</v>
      </c>
      <c r="J51" s="91" t="b">
        <f t="shared" si="16"/>
        <v>0</v>
      </c>
      <c r="L51" s="21" t="str">
        <f t="shared" si="13"/>
        <v>Sw</v>
      </c>
      <c r="M51" s="21" t="e">
        <f t="shared" si="14"/>
        <v>#NUM!</v>
      </c>
      <c r="N51" s="21" t="e">
        <f t="shared" si="17"/>
        <v>#VALUE!</v>
      </c>
      <c r="O51" s="21" t="b">
        <f t="shared" si="17"/>
        <v>0</v>
      </c>
      <c r="P51" s="12">
        <v>0</v>
      </c>
      <c r="Q51" s="12">
        <v>0</v>
      </c>
      <c r="R51" s="12">
        <v>0</v>
      </c>
      <c r="S51" s="106" t="e">
        <f>_xll.qlRateHelperRate(R51,Trigger)</f>
        <v>#NUM!</v>
      </c>
      <c r="T51" s="13" t="e">
        <f>_xll.qlRateHelperEarliestDate(R51,Trigger)</f>
        <v>#NUM!</v>
      </c>
      <c r="U51" s="13" t="e">
        <f ca="1">_xll.qlRateHelperLatestDate(R51,Trigger)</f>
        <v>#NAME?</v>
      </c>
      <c r="V51" s="106" t="e">
        <v>#VALUE!</v>
      </c>
    </row>
    <row r="52" spans="1:22" ht="11.25" customHeight="1" x14ac:dyDescent="0.2">
      <c r="A52" s="96" t="s">
        <v>38</v>
      </c>
      <c r="B52" s="126"/>
      <c r="C52" s="126" t="s">
        <v>14</v>
      </c>
      <c r="D52" s="127" t="e">
        <v>#NUM!</v>
      </c>
      <c r="E52" s="119" t="s">
        <v>15</v>
      </c>
      <c r="F52" s="126" t="s">
        <v>16</v>
      </c>
      <c r="G52" s="119" t="s">
        <v>17</v>
      </c>
      <c r="H52" s="128" t="e">
        <v>#NUM!</v>
      </c>
      <c r="I52" s="94" t="e">
        <f>_xll.qlSwapRateHelper2(,$H52,,$D52,Calendar,$F52,$E52,$G52,$I$30,0,C52,Discounting,Permanent,Trigger,ObjectOverwrite)</f>
        <v>#VALUE!</v>
      </c>
      <c r="J52" s="91" t="b">
        <f t="shared" si="16"/>
        <v>0</v>
      </c>
      <c r="L52" s="21" t="str">
        <f t="shared" si="13"/>
        <v>Sw</v>
      </c>
      <c r="M52" s="21" t="e">
        <f t="shared" si="14"/>
        <v>#NUM!</v>
      </c>
      <c r="N52" s="21" t="e">
        <f t="shared" si="17"/>
        <v>#VALUE!</v>
      </c>
      <c r="O52" s="21" t="b">
        <f t="shared" si="17"/>
        <v>0</v>
      </c>
      <c r="P52" s="12">
        <v>0</v>
      </c>
      <c r="Q52" s="12">
        <v>0</v>
      </c>
      <c r="R52" s="12">
        <v>0</v>
      </c>
      <c r="S52" s="106" t="e">
        <f>_xll.qlRateHelperRate(R52,Trigger)</f>
        <v>#NUM!</v>
      </c>
      <c r="T52" s="13" t="e">
        <f>_xll.qlRateHelperEarliestDate(R52,Trigger)</f>
        <v>#NUM!</v>
      </c>
      <c r="U52" s="13" t="e">
        <f ca="1">_xll.qlRateHelperLatestDate(R52,Trigger)</f>
        <v>#NAME?</v>
      </c>
      <c r="V52" s="106" t="e">
        <v>#VALUE!</v>
      </c>
    </row>
    <row r="53" spans="1:22" ht="11.25" customHeight="1" x14ac:dyDescent="0.2">
      <c r="A53" s="96" t="s">
        <v>38</v>
      </c>
      <c r="B53" s="126"/>
      <c r="C53" s="126" t="s">
        <v>14</v>
      </c>
      <c r="D53" s="127" t="e">
        <v>#NUM!</v>
      </c>
      <c r="E53" s="119" t="s">
        <v>15</v>
      </c>
      <c r="F53" s="126" t="s">
        <v>16</v>
      </c>
      <c r="G53" s="119" t="s">
        <v>17</v>
      </c>
      <c r="H53" s="128" t="e">
        <v>#NUM!</v>
      </c>
      <c r="I53" s="94" t="e">
        <f>_xll.qlSwapRateHelper2(,$H53,,$D53,Calendar,$F53,$E53,$G53,$I$30,0,C53,Discounting,Permanent,Trigger,ObjectOverwrite)</f>
        <v>#VALUE!</v>
      </c>
      <c r="J53" s="91" t="b">
        <f t="shared" si="16"/>
        <v>0</v>
      </c>
      <c r="L53" s="21" t="str">
        <f t="shared" si="13"/>
        <v>Sw</v>
      </c>
      <c r="M53" s="21" t="e">
        <f t="shared" si="14"/>
        <v>#NUM!</v>
      </c>
      <c r="N53" s="21" t="e">
        <f t="shared" si="17"/>
        <v>#VALUE!</v>
      </c>
      <c r="O53" s="21" t="b">
        <f t="shared" si="17"/>
        <v>0</v>
      </c>
      <c r="P53" s="12">
        <v>0</v>
      </c>
      <c r="Q53" s="12">
        <v>0</v>
      </c>
      <c r="R53" s="12">
        <v>0</v>
      </c>
      <c r="S53" s="106" t="e">
        <f>_xll.qlRateHelperRate(R53,Trigger)</f>
        <v>#NUM!</v>
      </c>
      <c r="T53" s="13" t="e">
        <f>_xll.qlRateHelperEarliestDate(R53,Trigger)</f>
        <v>#NUM!</v>
      </c>
      <c r="U53" s="13" t="e">
        <f ca="1">_xll.qlRateHelperLatestDate(R53,Trigger)</f>
        <v>#NAME?</v>
      </c>
      <c r="V53" s="106" t="e">
        <v>#VALUE!</v>
      </c>
    </row>
    <row r="54" spans="1:22" ht="11.25" customHeight="1" x14ac:dyDescent="0.2">
      <c r="A54" s="96" t="s">
        <v>38</v>
      </c>
      <c r="B54" s="126"/>
      <c r="C54" s="126" t="s">
        <v>14</v>
      </c>
      <c r="D54" s="127" t="e">
        <v>#NUM!</v>
      </c>
      <c r="E54" s="119" t="s">
        <v>15</v>
      </c>
      <c r="F54" s="126" t="s">
        <v>16</v>
      </c>
      <c r="G54" s="119" t="s">
        <v>17</v>
      </c>
      <c r="H54" s="128" t="e">
        <v>#NUM!</v>
      </c>
      <c r="I54" s="94" t="e">
        <f>_xll.qlSwapRateHelper2(,$H54,,$D54,Calendar,$F54,$E54,$G54,$I$30,0,C54,Discounting,Permanent,Trigger,ObjectOverwrite)</f>
        <v>#VALUE!</v>
      </c>
      <c r="J54" s="91" t="b">
        <f t="shared" si="16"/>
        <v>0</v>
      </c>
      <c r="L54" s="21" t="str">
        <f t="shared" si="13"/>
        <v>Sw</v>
      </c>
      <c r="M54" s="21" t="e">
        <f t="shared" si="14"/>
        <v>#NUM!</v>
      </c>
      <c r="N54" s="21" t="e">
        <f t="shared" si="17"/>
        <v>#VALUE!</v>
      </c>
      <c r="O54" s="21" t="b">
        <f t="shared" si="17"/>
        <v>0</v>
      </c>
      <c r="P54" s="12">
        <v>0</v>
      </c>
      <c r="Q54" s="12">
        <v>0</v>
      </c>
      <c r="R54" s="12">
        <v>0</v>
      </c>
      <c r="S54" s="106" t="e">
        <f>_xll.qlRateHelperRate(R54,Trigger)</f>
        <v>#NUM!</v>
      </c>
      <c r="T54" s="13" t="e">
        <f>_xll.qlRateHelperEarliestDate(R54,Trigger)</f>
        <v>#NUM!</v>
      </c>
      <c r="U54" s="13" t="e">
        <f ca="1">_xll.qlRateHelperLatestDate(R54,Trigger)</f>
        <v>#NAME?</v>
      </c>
      <c r="V54" s="106" t="e">
        <v>#VALUE!</v>
      </c>
    </row>
    <row r="55" spans="1:22" ht="11.25" customHeight="1" x14ac:dyDescent="0.2">
      <c r="A55" s="96" t="s">
        <v>38</v>
      </c>
      <c r="B55" s="126"/>
      <c r="C55" s="126" t="s">
        <v>14</v>
      </c>
      <c r="D55" s="127" t="e">
        <v>#NUM!</v>
      </c>
      <c r="E55" s="119" t="s">
        <v>15</v>
      </c>
      <c r="F55" s="126" t="s">
        <v>16</v>
      </c>
      <c r="G55" s="119" t="s">
        <v>17</v>
      </c>
      <c r="H55" s="128" t="e">
        <v>#NUM!</v>
      </c>
      <c r="I55" s="94" t="e">
        <f>_xll.qlSwapRateHelper2(,$H55,,$D55,Calendar,$F55,$E55,$G55,$I$30,0,C55,Discounting,Permanent,Trigger,ObjectOverwrite)</f>
        <v>#VALUE!</v>
      </c>
      <c r="J55" s="91" t="b">
        <f t="shared" si="16"/>
        <v>0</v>
      </c>
      <c r="L55" s="21" t="str">
        <f t="shared" si="13"/>
        <v>Sw</v>
      </c>
      <c r="M55" s="21" t="e">
        <f t="shared" si="14"/>
        <v>#NUM!</v>
      </c>
      <c r="N55" s="21" t="e">
        <f t="shared" si="17"/>
        <v>#VALUE!</v>
      </c>
      <c r="O55" s="21" t="b">
        <f t="shared" si="17"/>
        <v>0</v>
      </c>
      <c r="P55" s="12">
        <v>0</v>
      </c>
      <c r="Q55" s="12">
        <v>0</v>
      </c>
      <c r="R55" s="12">
        <v>0</v>
      </c>
      <c r="S55" s="106" t="e">
        <f>_xll.qlRateHelperRate(R55,Trigger)</f>
        <v>#NUM!</v>
      </c>
      <c r="T55" s="13" t="e">
        <f>_xll.qlRateHelperEarliestDate(R55,Trigger)</f>
        <v>#NUM!</v>
      </c>
      <c r="U55" s="13" t="e">
        <f ca="1">_xll.qlRateHelperLatestDate(R55,Trigger)</f>
        <v>#NAME?</v>
      </c>
      <c r="V55" s="106" t="e">
        <v>#VALUE!</v>
      </c>
    </row>
    <row r="56" spans="1:22" ht="11.25" customHeight="1" x14ac:dyDescent="0.2">
      <c r="A56" s="96" t="s">
        <v>38</v>
      </c>
      <c r="B56" s="126"/>
      <c r="C56" s="126" t="s">
        <v>14</v>
      </c>
      <c r="D56" s="127" t="e">
        <v>#NUM!</v>
      </c>
      <c r="E56" s="119" t="s">
        <v>15</v>
      </c>
      <c r="F56" s="126" t="s">
        <v>16</v>
      </c>
      <c r="G56" s="119" t="s">
        <v>17</v>
      </c>
      <c r="H56" s="128" t="e">
        <v>#NUM!</v>
      </c>
      <c r="I56" s="94" t="e">
        <f>_xll.qlSwapRateHelper2(,$H56,,$D56,Calendar,$F56,$E56,$G56,$I$30,0,C56,Discounting,Permanent,Trigger,ObjectOverwrite)</f>
        <v>#VALUE!</v>
      </c>
      <c r="J56" s="91" t="b">
        <f t="shared" si="16"/>
        <v>0</v>
      </c>
      <c r="L56" s="21" t="str">
        <f t="shared" si="13"/>
        <v>Sw</v>
      </c>
      <c r="M56" s="21" t="e">
        <f t="shared" si="14"/>
        <v>#NUM!</v>
      </c>
      <c r="N56" s="21" t="e">
        <f t="shared" si="17"/>
        <v>#VALUE!</v>
      </c>
      <c r="O56" s="21" t="b">
        <f t="shared" si="17"/>
        <v>0</v>
      </c>
      <c r="P56" s="12">
        <v>0</v>
      </c>
      <c r="Q56" s="12">
        <v>0</v>
      </c>
      <c r="R56" s="12">
        <v>0</v>
      </c>
      <c r="S56" s="106" t="e">
        <f>_xll.qlRateHelperRate(R56,Trigger)</f>
        <v>#NUM!</v>
      </c>
      <c r="T56" s="13" t="e">
        <f>_xll.qlRateHelperEarliestDate(R56,Trigger)</f>
        <v>#NUM!</v>
      </c>
      <c r="U56" s="13" t="e">
        <f ca="1">_xll.qlRateHelperLatestDate(R56,Trigger)</f>
        <v>#NAME?</v>
      </c>
      <c r="V56" s="106" t="e">
        <v>#VALUE!</v>
      </c>
    </row>
    <row r="57" spans="1:22" ht="11.25" customHeight="1" x14ac:dyDescent="0.2">
      <c r="A57" s="96" t="s">
        <v>38</v>
      </c>
      <c r="B57" s="126"/>
      <c r="C57" s="126" t="s">
        <v>14</v>
      </c>
      <c r="D57" s="127" t="e">
        <v>#NUM!</v>
      </c>
      <c r="E57" s="119" t="s">
        <v>15</v>
      </c>
      <c r="F57" s="126" t="s">
        <v>16</v>
      </c>
      <c r="G57" s="119" t="s">
        <v>17</v>
      </c>
      <c r="H57" s="128" t="e">
        <v>#NUM!</v>
      </c>
      <c r="I57" s="94" t="e">
        <f>_xll.qlSwapRateHelper2(,$H57,,$D57,Calendar,$F57,$E57,$G57,$I$30,0,C57,Discounting,Permanent,Trigger,ObjectOverwrite)</f>
        <v>#VALUE!</v>
      </c>
      <c r="J57" s="91" t="b">
        <f t="shared" si="16"/>
        <v>0</v>
      </c>
      <c r="L57" s="21" t="str">
        <f t="shared" si="13"/>
        <v>Sw</v>
      </c>
      <c r="M57" s="21" t="e">
        <f t="shared" si="14"/>
        <v>#NUM!</v>
      </c>
      <c r="N57" s="21" t="e">
        <f t="shared" si="17"/>
        <v>#VALUE!</v>
      </c>
      <c r="O57" s="21" t="b">
        <f t="shared" si="17"/>
        <v>0</v>
      </c>
      <c r="P57" s="12">
        <v>0</v>
      </c>
      <c r="Q57" s="12">
        <v>0</v>
      </c>
      <c r="R57" s="12">
        <v>0</v>
      </c>
      <c r="S57" s="106" t="e">
        <f>_xll.qlRateHelperRate(R57,Trigger)</f>
        <v>#NUM!</v>
      </c>
      <c r="T57" s="13" t="e">
        <f>_xll.qlRateHelperEarliestDate(R57,Trigger)</f>
        <v>#NUM!</v>
      </c>
      <c r="U57" s="13" t="e">
        <f ca="1">_xll.qlRateHelperLatestDate(R57,Trigger)</f>
        <v>#NAME?</v>
      </c>
      <c r="V57" s="106" t="e">
        <v>#VALUE!</v>
      </c>
    </row>
    <row r="58" spans="1:22" ht="11.25" customHeight="1" x14ac:dyDescent="0.2">
      <c r="A58" s="96" t="s">
        <v>38</v>
      </c>
      <c r="B58" s="126"/>
      <c r="C58" s="126" t="s">
        <v>14</v>
      </c>
      <c r="D58" s="127" t="e">
        <v>#NUM!</v>
      </c>
      <c r="E58" s="119" t="s">
        <v>15</v>
      </c>
      <c r="F58" s="126" t="s">
        <v>16</v>
      </c>
      <c r="G58" s="119" t="s">
        <v>17</v>
      </c>
      <c r="H58" s="128" t="e">
        <v>#NUM!</v>
      </c>
      <c r="I58" s="94" t="e">
        <f>_xll.qlSwapRateHelper2(,$H58,,$D58,Calendar,$F58,$E58,$G58,$I$30,0,C58,Discounting,Permanent,Trigger,ObjectOverwrite)</f>
        <v>#VALUE!</v>
      </c>
      <c r="J58" s="91" t="b">
        <f t="shared" si="16"/>
        <v>0</v>
      </c>
      <c r="L58" s="21" t="str">
        <f t="shared" si="13"/>
        <v>Sw</v>
      </c>
      <c r="M58" s="21" t="e">
        <f t="shared" si="14"/>
        <v>#NUM!</v>
      </c>
      <c r="N58" s="21" t="e">
        <f t="shared" si="17"/>
        <v>#VALUE!</v>
      </c>
      <c r="O58" s="21" t="b">
        <f t="shared" si="17"/>
        <v>0</v>
      </c>
      <c r="P58" s="12">
        <v>0</v>
      </c>
      <c r="Q58" s="12">
        <v>0</v>
      </c>
      <c r="R58" s="12">
        <v>0</v>
      </c>
      <c r="S58" s="106" t="e">
        <f>_xll.qlRateHelperRate(R58,Trigger)</f>
        <v>#NUM!</v>
      </c>
      <c r="T58" s="13" t="e">
        <f>_xll.qlRateHelperEarliestDate(R58,Trigger)</f>
        <v>#NUM!</v>
      </c>
      <c r="U58" s="13" t="e">
        <f ca="1">_xll.qlRateHelperLatestDate(R58,Trigger)</f>
        <v>#NAME?</v>
      </c>
      <c r="V58" s="106" t="e">
        <v>#VALUE!</v>
      </c>
    </row>
    <row r="59" spans="1:22" ht="11.25" customHeight="1" x14ac:dyDescent="0.2">
      <c r="A59" s="96" t="s">
        <v>38</v>
      </c>
      <c r="B59" s="126"/>
      <c r="C59" s="126" t="s">
        <v>14</v>
      </c>
      <c r="D59" s="127" t="e">
        <v>#NUM!</v>
      </c>
      <c r="E59" s="119" t="s">
        <v>15</v>
      </c>
      <c r="F59" s="126" t="s">
        <v>16</v>
      </c>
      <c r="G59" s="119" t="s">
        <v>17</v>
      </c>
      <c r="H59" s="128" t="e">
        <v>#NUM!</v>
      </c>
      <c r="I59" s="94" t="e">
        <f>_xll.qlSwapRateHelper2(,$H59,,$D59,Calendar,$F59,$E59,$G59,$I$30,0,C59,Discounting,Permanent,Trigger,ObjectOverwrite)</f>
        <v>#VALUE!</v>
      </c>
      <c r="J59" s="91" t="b">
        <f t="shared" si="16"/>
        <v>0</v>
      </c>
      <c r="L59" s="21" t="str">
        <f t="shared" si="13"/>
        <v>Sw</v>
      </c>
      <c r="M59" s="21" t="e">
        <f t="shared" si="14"/>
        <v>#NUM!</v>
      </c>
      <c r="N59" s="21" t="e">
        <f t="shared" si="17"/>
        <v>#VALUE!</v>
      </c>
      <c r="O59" s="21" t="b">
        <f t="shared" si="17"/>
        <v>0</v>
      </c>
      <c r="P59" s="12">
        <v>0</v>
      </c>
      <c r="Q59" s="12">
        <v>0</v>
      </c>
      <c r="R59" s="12">
        <v>0</v>
      </c>
      <c r="S59" s="106" t="e">
        <f>_xll.qlRateHelperRate(R59,Trigger)</f>
        <v>#NUM!</v>
      </c>
      <c r="T59" s="13" t="e">
        <f>_xll.qlRateHelperEarliestDate(R59,Trigger)</f>
        <v>#NUM!</v>
      </c>
      <c r="U59" s="13" t="e">
        <f ca="1">_xll.qlRateHelperLatestDate(R59,Trigger)</f>
        <v>#NAME?</v>
      </c>
      <c r="V59" s="106" t="e">
        <v>#VALUE!</v>
      </c>
    </row>
    <row r="60" spans="1:22" ht="11.25" customHeight="1" x14ac:dyDescent="0.2">
      <c r="A60" s="96" t="s">
        <v>38</v>
      </c>
      <c r="B60" s="126"/>
      <c r="C60" s="126" t="s">
        <v>14</v>
      </c>
      <c r="D60" s="127" t="e">
        <v>#NUM!</v>
      </c>
      <c r="E60" s="119" t="s">
        <v>15</v>
      </c>
      <c r="F60" s="126" t="s">
        <v>16</v>
      </c>
      <c r="G60" s="119" t="s">
        <v>17</v>
      </c>
      <c r="H60" s="128" t="e">
        <v>#NUM!</v>
      </c>
      <c r="I60" s="94" t="e">
        <f>_xll.qlSwapRateHelper2(,$H60,,$D60,Calendar,$F60,$E60,$G60,$I$30,0,C60,Discounting,Permanent,Trigger,ObjectOverwrite)</f>
        <v>#VALUE!</v>
      </c>
      <c r="J60" s="91" t="b">
        <f t="shared" si="16"/>
        <v>0</v>
      </c>
      <c r="L60" s="21" t="str">
        <f t="shared" si="13"/>
        <v>Sw</v>
      </c>
      <c r="M60" s="21" t="e">
        <f t="shared" si="14"/>
        <v>#NUM!</v>
      </c>
      <c r="N60" s="21" t="e">
        <f t="shared" ref="N60:O71" si="18">I65</f>
        <v>#VALUE!</v>
      </c>
      <c r="O60" s="21" t="b">
        <f t="shared" si="18"/>
        <v>0</v>
      </c>
      <c r="P60" s="12">
        <v>0</v>
      </c>
      <c r="Q60" s="12">
        <v>0</v>
      </c>
      <c r="R60" s="12">
        <v>0</v>
      </c>
      <c r="S60" s="106" t="e">
        <f>_xll.qlRateHelperRate(R60,Trigger)</f>
        <v>#NUM!</v>
      </c>
      <c r="T60" s="13" t="e">
        <f>_xll.qlRateHelperEarliestDate(R60,Trigger)</f>
        <v>#NUM!</v>
      </c>
      <c r="U60" s="13" t="e">
        <f ca="1">_xll.qlRateHelperLatestDate(R60,Trigger)</f>
        <v>#NAME?</v>
      </c>
      <c r="V60" s="106" t="e">
        <v>#VALUE!</v>
      </c>
    </row>
    <row r="61" spans="1:22" ht="11.25" customHeight="1" x14ac:dyDescent="0.2">
      <c r="A61" s="96" t="s">
        <v>38</v>
      </c>
      <c r="B61" s="126"/>
      <c r="C61" s="126" t="s">
        <v>14</v>
      </c>
      <c r="D61" s="127" t="e">
        <v>#NUM!</v>
      </c>
      <c r="E61" s="119" t="s">
        <v>15</v>
      </c>
      <c r="F61" s="126" t="s">
        <v>16</v>
      </c>
      <c r="G61" s="119" t="s">
        <v>17</v>
      </c>
      <c r="H61" s="128" t="e">
        <v>#NUM!</v>
      </c>
      <c r="I61" s="94" t="e">
        <f>_xll.qlSwapRateHelper2(,$H61,,$D61,Calendar,$F61,$E61,$G61,$I$30,0,C61,Discounting,Permanent,Trigger,ObjectOverwrite)</f>
        <v>#VALUE!</v>
      </c>
      <c r="J61" s="91" t="b">
        <f t="shared" si="16"/>
        <v>0</v>
      </c>
      <c r="L61" s="21" t="str">
        <f t="shared" si="13"/>
        <v>Sw</v>
      </c>
      <c r="M61" s="21" t="e">
        <f t="shared" si="14"/>
        <v>#NUM!</v>
      </c>
      <c r="N61" s="21" t="e">
        <f t="shared" si="18"/>
        <v>#VALUE!</v>
      </c>
      <c r="O61" s="21" t="b">
        <f t="shared" si="18"/>
        <v>0</v>
      </c>
      <c r="P61" s="12">
        <v>0</v>
      </c>
      <c r="Q61" s="12">
        <v>0</v>
      </c>
      <c r="R61" s="12">
        <v>0</v>
      </c>
      <c r="S61" s="106" t="e">
        <f>_xll.qlRateHelperRate(R61,Trigger)</f>
        <v>#NUM!</v>
      </c>
      <c r="T61" s="13" t="e">
        <f>_xll.qlRateHelperEarliestDate(R61,Trigger)</f>
        <v>#NUM!</v>
      </c>
      <c r="U61" s="13" t="e">
        <f ca="1">_xll.qlRateHelperLatestDate(R61,Trigger)</f>
        <v>#NAME?</v>
      </c>
      <c r="V61" s="106" t="e">
        <v>#VALUE!</v>
      </c>
    </row>
    <row r="62" spans="1:22" ht="11.25" customHeight="1" x14ac:dyDescent="0.2">
      <c r="A62" s="96" t="s">
        <v>38</v>
      </c>
      <c r="B62" s="126"/>
      <c r="C62" s="126" t="s">
        <v>14</v>
      </c>
      <c r="D62" s="127" t="e">
        <v>#NUM!</v>
      </c>
      <c r="E62" s="119" t="s">
        <v>15</v>
      </c>
      <c r="F62" s="126" t="s">
        <v>16</v>
      </c>
      <c r="G62" s="119" t="s">
        <v>17</v>
      </c>
      <c r="H62" s="128" t="e">
        <v>#NUM!</v>
      </c>
      <c r="I62" s="94" t="e">
        <f>_xll.qlSwapRateHelper2(,$H62,,$D62,Calendar,$F62,$E62,$G62,$I$30,0,C62,Discounting,Permanent,Trigger,ObjectOverwrite)</f>
        <v>#VALUE!</v>
      </c>
      <c r="J62" s="91" t="b">
        <f t="shared" si="16"/>
        <v>0</v>
      </c>
      <c r="L62" s="21" t="str">
        <f t="shared" si="13"/>
        <v>Sw</v>
      </c>
      <c r="M62" s="21" t="e">
        <f t="shared" si="14"/>
        <v>#NUM!</v>
      </c>
      <c r="N62" s="21" t="e">
        <f t="shared" si="18"/>
        <v>#VALUE!</v>
      </c>
      <c r="O62" s="21" t="b">
        <f t="shared" si="18"/>
        <v>0</v>
      </c>
      <c r="P62" s="12">
        <v>0</v>
      </c>
      <c r="Q62" s="12">
        <v>0</v>
      </c>
      <c r="R62" s="12">
        <v>0</v>
      </c>
      <c r="S62" s="106" t="e">
        <f>_xll.qlRateHelperRate(R62,Trigger)</f>
        <v>#NUM!</v>
      </c>
      <c r="T62" s="13" t="e">
        <f>_xll.qlRateHelperEarliestDate(R62,Trigger)</f>
        <v>#NUM!</v>
      </c>
      <c r="U62" s="13" t="e">
        <f ca="1">_xll.qlRateHelperLatestDate(R62,Trigger)</f>
        <v>#NAME?</v>
      </c>
      <c r="V62" s="106" t="e">
        <v>#VALUE!</v>
      </c>
    </row>
    <row r="63" spans="1:22" ht="11.25" customHeight="1" x14ac:dyDescent="0.2">
      <c r="A63" s="96" t="s">
        <v>38</v>
      </c>
      <c r="B63" s="126"/>
      <c r="C63" s="126" t="s">
        <v>14</v>
      </c>
      <c r="D63" s="127" t="e">
        <v>#NUM!</v>
      </c>
      <c r="E63" s="119" t="s">
        <v>15</v>
      </c>
      <c r="F63" s="126" t="s">
        <v>16</v>
      </c>
      <c r="G63" s="119" t="s">
        <v>17</v>
      </c>
      <c r="H63" s="128" t="e">
        <v>#NUM!</v>
      </c>
      <c r="I63" s="94" t="e">
        <f>_xll.qlSwapRateHelper2(,$H63,,$D63,Calendar,$F63,$E63,$G63,$I$30,0,C63,Discounting,Permanent,Trigger,ObjectOverwrite)</f>
        <v>#VALUE!</v>
      </c>
      <c r="J63" s="91" t="b">
        <f t="shared" si="16"/>
        <v>0</v>
      </c>
      <c r="L63" s="21" t="str">
        <f t="shared" si="13"/>
        <v>Sw</v>
      </c>
      <c r="M63" s="21" t="e">
        <f t="shared" si="14"/>
        <v>#NUM!</v>
      </c>
      <c r="N63" s="21" t="e">
        <f t="shared" si="18"/>
        <v>#VALUE!</v>
      </c>
      <c r="O63" s="21" t="b">
        <f t="shared" si="18"/>
        <v>0</v>
      </c>
      <c r="P63" s="12">
        <v>0</v>
      </c>
      <c r="Q63" s="12">
        <v>0</v>
      </c>
      <c r="R63" s="12">
        <v>0</v>
      </c>
      <c r="S63" s="106" t="e">
        <f>_xll.qlRateHelperRate(R63,Trigger)</f>
        <v>#NUM!</v>
      </c>
      <c r="T63" s="13" t="e">
        <f>_xll.qlRateHelperEarliestDate(R63,Trigger)</f>
        <v>#NUM!</v>
      </c>
      <c r="U63" s="13" t="e">
        <f ca="1">_xll.qlRateHelperLatestDate(R63,Trigger)</f>
        <v>#NAME?</v>
      </c>
      <c r="V63" s="106" t="e">
        <v>#VALUE!</v>
      </c>
    </row>
    <row r="64" spans="1:22" ht="11.25" customHeight="1" x14ac:dyDescent="0.2">
      <c r="A64" s="96" t="s">
        <v>38</v>
      </c>
      <c r="B64" s="126"/>
      <c r="C64" s="126" t="s">
        <v>14</v>
      </c>
      <c r="D64" s="127" t="e">
        <v>#NUM!</v>
      </c>
      <c r="E64" s="119" t="s">
        <v>15</v>
      </c>
      <c r="F64" s="126" t="s">
        <v>16</v>
      </c>
      <c r="G64" s="119" t="s">
        <v>17</v>
      </c>
      <c r="H64" s="128" t="e">
        <v>#NUM!</v>
      </c>
      <c r="I64" s="94" t="e">
        <f>_xll.qlSwapRateHelper2(,$H64,,$D64,Calendar,$F64,$E64,$G64,$I$30,0,C64,Discounting,Permanent,Trigger,ObjectOverwrite)</f>
        <v>#VALUE!</v>
      </c>
      <c r="J64" s="91" t="b">
        <f t="shared" si="16"/>
        <v>0</v>
      </c>
      <c r="L64" s="21" t="str">
        <f t="shared" si="13"/>
        <v>Sw</v>
      </c>
      <c r="M64" s="21" t="e">
        <f t="shared" si="14"/>
        <v>#NUM!</v>
      </c>
      <c r="N64" s="21" t="e">
        <f t="shared" si="18"/>
        <v>#VALUE!</v>
      </c>
      <c r="O64" s="21" t="b">
        <f t="shared" si="18"/>
        <v>0</v>
      </c>
      <c r="P64" s="12">
        <v>0</v>
      </c>
      <c r="Q64" s="12">
        <v>0</v>
      </c>
      <c r="R64" s="12">
        <v>0</v>
      </c>
      <c r="S64" s="106" t="e">
        <f>_xll.qlRateHelperRate(R64,Trigger)</f>
        <v>#NUM!</v>
      </c>
      <c r="T64" s="13" t="e">
        <f>_xll.qlRateHelperEarliestDate(R64,Trigger)</f>
        <v>#NUM!</v>
      </c>
      <c r="U64" s="13" t="e">
        <f ca="1">_xll.qlRateHelperLatestDate(R64,Trigger)</f>
        <v>#NAME?</v>
      </c>
      <c r="V64" s="12" t="e">
        <v>#VALUE!</v>
      </c>
    </row>
    <row r="65" spans="1:22" ht="11.25" customHeight="1" x14ac:dyDescent="0.2">
      <c r="A65" s="96" t="s">
        <v>38</v>
      </c>
      <c r="B65" s="126"/>
      <c r="C65" s="126" t="s">
        <v>14</v>
      </c>
      <c r="D65" s="127" t="e">
        <v>#NUM!</v>
      </c>
      <c r="E65" s="119" t="s">
        <v>15</v>
      </c>
      <c r="F65" s="126" t="s">
        <v>16</v>
      </c>
      <c r="G65" s="119" t="s">
        <v>17</v>
      </c>
      <c r="H65" s="128" t="e">
        <v>#NUM!</v>
      </c>
      <c r="I65" s="94" t="e">
        <f>_xll.qlSwapRateHelper2(,$H65,,$D65,Calendar,$F65,$E65,$G65,$I$30,0,C65,Discounting,Permanent,Trigger,ObjectOverwrite)</f>
        <v>#VALUE!</v>
      </c>
      <c r="J65" s="91" t="b">
        <f t="shared" si="16"/>
        <v>0</v>
      </c>
      <c r="L65" s="21" t="str">
        <f t="shared" si="13"/>
        <v>Sw</v>
      </c>
      <c r="M65" s="21" t="e">
        <f t="shared" si="14"/>
        <v>#NUM!</v>
      </c>
      <c r="N65" s="21" t="e">
        <f t="shared" si="18"/>
        <v>#VALUE!</v>
      </c>
      <c r="O65" s="21" t="b">
        <f t="shared" si="18"/>
        <v>0</v>
      </c>
      <c r="P65" s="12">
        <v>0</v>
      </c>
      <c r="Q65" s="12">
        <v>0</v>
      </c>
      <c r="R65" s="12">
        <v>0</v>
      </c>
      <c r="S65" s="106" t="e">
        <f>_xll.qlRateHelperRate(R65,Trigger)</f>
        <v>#NUM!</v>
      </c>
      <c r="T65" s="13" t="e">
        <f>_xll.qlRateHelperEarliestDate(R65,Trigger)</f>
        <v>#NUM!</v>
      </c>
      <c r="U65" s="13" t="e">
        <f ca="1">_xll.qlRateHelperLatestDate(R65,Trigger)</f>
        <v>#NAME?</v>
      </c>
      <c r="V65" s="12" t="e">
        <v>#VALUE!</v>
      </c>
    </row>
    <row r="66" spans="1:22" ht="11.25" customHeight="1" x14ac:dyDescent="0.2">
      <c r="A66" s="96" t="s">
        <v>38</v>
      </c>
      <c r="B66" s="126"/>
      <c r="C66" s="126" t="s">
        <v>14</v>
      </c>
      <c r="D66" s="127" t="e">
        <v>#NUM!</v>
      </c>
      <c r="E66" s="119" t="s">
        <v>15</v>
      </c>
      <c r="F66" s="126" t="s">
        <v>16</v>
      </c>
      <c r="G66" s="119" t="s">
        <v>17</v>
      </c>
      <c r="H66" s="128" t="e">
        <v>#NUM!</v>
      </c>
      <c r="I66" s="94" t="e">
        <f>_xll.qlSwapRateHelper2(,$H66,,$D66,Calendar,$F66,$E66,$G66,$I$30,0,C66,Discounting,Permanent,Trigger,ObjectOverwrite)</f>
        <v>#VALUE!</v>
      </c>
      <c r="J66" s="91" t="b">
        <f t="shared" si="16"/>
        <v>0</v>
      </c>
      <c r="L66" s="21" t="str">
        <f t="shared" si="13"/>
        <v>Sw</v>
      </c>
      <c r="M66" s="21" t="e">
        <f t="shared" si="14"/>
        <v>#NUM!</v>
      </c>
      <c r="N66" s="21" t="e">
        <f t="shared" si="18"/>
        <v>#VALUE!</v>
      </c>
      <c r="O66" s="21" t="b">
        <f t="shared" si="18"/>
        <v>0</v>
      </c>
      <c r="P66" s="12">
        <v>0</v>
      </c>
      <c r="Q66" s="12">
        <v>0</v>
      </c>
      <c r="R66" s="12">
        <v>0</v>
      </c>
      <c r="S66" s="106" t="e">
        <f>_xll.qlRateHelperRate(R66,Trigger)</f>
        <v>#NUM!</v>
      </c>
      <c r="T66" s="13" t="e">
        <f>_xll.qlRateHelperEarliestDate(R66,Trigger)</f>
        <v>#NUM!</v>
      </c>
      <c r="U66" s="13" t="e">
        <f ca="1">_xll.qlRateHelperLatestDate(R66,Trigger)</f>
        <v>#NAME?</v>
      </c>
      <c r="V66" s="12" t="e">
        <v>#VALUE!</v>
      </c>
    </row>
    <row r="67" spans="1:22" ht="11.25" customHeight="1" x14ac:dyDescent="0.2">
      <c r="A67" s="96" t="s">
        <v>38</v>
      </c>
      <c r="B67" s="126"/>
      <c r="C67" s="126" t="s">
        <v>14</v>
      </c>
      <c r="D67" s="127" t="e">
        <v>#NUM!</v>
      </c>
      <c r="E67" s="119" t="s">
        <v>15</v>
      </c>
      <c r="F67" s="126" t="s">
        <v>16</v>
      </c>
      <c r="G67" s="119" t="s">
        <v>17</v>
      </c>
      <c r="H67" s="128" t="e">
        <v>#NUM!</v>
      </c>
      <c r="I67" s="94" t="e">
        <f>_xll.qlSwapRateHelper2(,$H67,,$D67,Calendar,$F67,$E67,$G67,$I$30,0,C67,Discounting,Permanent,Trigger,ObjectOverwrite)</f>
        <v>#VALUE!</v>
      </c>
      <c r="J67" s="91" t="b">
        <f t="shared" si="16"/>
        <v>0</v>
      </c>
      <c r="L67" s="21" t="str">
        <f t="shared" si="13"/>
        <v>Sw</v>
      </c>
      <c r="M67" s="21" t="e">
        <f t="shared" si="14"/>
        <v>#NUM!</v>
      </c>
      <c r="N67" s="21" t="e">
        <f t="shared" si="18"/>
        <v>#VALUE!</v>
      </c>
      <c r="O67" s="21" t="b">
        <f t="shared" si="18"/>
        <v>0</v>
      </c>
      <c r="P67" s="12">
        <v>0</v>
      </c>
      <c r="Q67" s="12">
        <v>0</v>
      </c>
      <c r="R67" s="12">
        <v>0</v>
      </c>
      <c r="S67" s="106" t="e">
        <f>_xll.qlRateHelperRate(R67,Trigger)</f>
        <v>#NUM!</v>
      </c>
      <c r="T67" s="13" t="e">
        <f>_xll.qlRateHelperEarliestDate(R67,Trigger)</f>
        <v>#NUM!</v>
      </c>
      <c r="U67" s="13" t="e">
        <f ca="1">_xll.qlRateHelperLatestDate(R67,Trigger)</f>
        <v>#NAME?</v>
      </c>
      <c r="V67" s="12" t="e">
        <v>#VALUE!</v>
      </c>
    </row>
    <row r="68" spans="1:22" ht="11.25" customHeight="1" x14ac:dyDescent="0.2">
      <c r="A68" s="96" t="s">
        <v>38</v>
      </c>
      <c r="B68" s="126"/>
      <c r="C68" s="126" t="s">
        <v>14</v>
      </c>
      <c r="D68" s="127" t="e">
        <v>#NUM!</v>
      </c>
      <c r="E68" s="119" t="s">
        <v>15</v>
      </c>
      <c r="F68" s="126" t="s">
        <v>16</v>
      </c>
      <c r="G68" s="119" t="s">
        <v>17</v>
      </c>
      <c r="H68" s="128" t="e">
        <v>#NUM!</v>
      </c>
      <c r="I68" s="94" t="e">
        <f>_xll.qlSwapRateHelper2(,$H68,,$D68,Calendar,$F68,$E68,$G68,$I$30,0,C68,Discounting,Permanent,Trigger,ObjectOverwrite)</f>
        <v>#VALUE!</v>
      </c>
      <c r="J68" s="91" t="b">
        <f t="shared" si="16"/>
        <v>0</v>
      </c>
      <c r="L68" s="21" t="str">
        <f t="shared" si="13"/>
        <v>Sw</v>
      </c>
      <c r="M68" s="21" t="e">
        <f t="shared" si="14"/>
        <v>#NUM!</v>
      </c>
      <c r="N68" s="21" t="e">
        <f t="shared" si="18"/>
        <v>#VALUE!</v>
      </c>
      <c r="O68" s="21" t="b">
        <f t="shared" si="18"/>
        <v>0</v>
      </c>
      <c r="P68" s="12">
        <v>0</v>
      </c>
      <c r="Q68" s="12">
        <v>0</v>
      </c>
      <c r="R68" s="12">
        <v>0</v>
      </c>
      <c r="S68" s="106" t="e">
        <f>_xll.qlRateHelperRate(R68,Trigger)</f>
        <v>#NUM!</v>
      </c>
      <c r="T68" s="13" t="e">
        <f>_xll.qlRateHelperEarliestDate(R68,Trigger)</f>
        <v>#NUM!</v>
      </c>
      <c r="U68" s="13" t="e">
        <f ca="1">_xll.qlRateHelperLatestDate(R68,Trigger)</f>
        <v>#NAME?</v>
      </c>
      <c r="V68" s="12" t="e">
        <v>#VALUE!</v>
      </c>
    </row>
    <row r="69" spans="1:22" ht="11.25" customHeight="1" x14ac:dyDescent="0.2">
      <c r="A69" s="96" t="s">
        <v>38</v>
      </c>
      <c r="B69" s="126"/>
      <c r="C69" s="126" t="s">
        <v>14</v>
      </c>
      <c r="D69" s="127" t="e">
        <v>#NUM!</v>
      </c>
      <c r="E69" s="119" t="s">
        <v>15</v>
      </c>
      <c r="F69" s="126" t="s">
        <v>16</v>
      </c>
      <c r="G69" s="119" t="s">
        <v>17</v>
      </c>
      <c r="H69" s="128" t="e">
        <v>#NUM!</v>
      </c>
      <c r="I69" s="94" t="e">
        <f>_xll.qlSwapRateHelper2(,$H69,,$D69,Calendar,$F69,$E69,$G69,$I$30,0,C69,Discounting,Permanent,Trigger,ObjectOverwrite)</f>
        <v>#VALUE!</v>
      </c>
      <c r="J69" s="91" t="b">
        <f t="shared" si="16"/>
        <v>0</v>
      </c>
      <c r="L69" s="21" t="str">
        <f t="shared" si="13"/>
        <v>Sw</v>
      </c>
      <c r="M69" s="21" t="e">
        <f t="shared" si="14"/>
        <v>#NUM!</v>
      </c>
      <c r="N69" s="21" t="e">
        <f t="shared" si="18"/>
        <v>#VALUE!</v>
      </c>
      <c r="O69" s="21" t="b">
        <f t="shared" si="18"/>
        <v>0</v>
      </c>
      <c r="P69" s="12">
        <v>0</v>
      </c>
      <c r="Q69" s="12">
        <v>0</v>
      </c>
      <c r="R69" s="12">
        <v>0</v>
      </c>
      <c r="S69" s="106" t="e">
        <f>_xll.qlRateHelperRate(R69,Trigger)</f>
        <v>#NUM!</v>
      </c>
      <c r="T69" s="13" t="e">
        <f>_xll.qlRateHelperEarliestDate(R69,Trigger)</f>
        <v>#NUM!</v>
      </c>
      <c r="U69" s="13" t="e">
        <f ca="1">_xll.qlRateHelperLatestDate(R69,Trigger)</f>
        <v>#NAME?</v>
      </c>
      <c r="V69" s="12" t="e">
        <v>#VALUE!</v>
      </c>
    </row>
    <row r="70" spans="1:22" ht="11.25" customHeight="1" x14ac:dyDescent="0.2">
      <c r="A70" s="96" t="s">
        <v>38</v>
      </c>
      <c r="B70" s="126"/>
      <c r="C70" s="126" t="s">
        <v>14</v>
      </c>
      <c r="D70" s="127" t="e">
        <v>#NUM!</v>
      </c>
      <c r="E70" s="119" t="s">
        <v>15</v>
      </c>
      <c r="F70" s="126" t="s">
        <v>16</v>
      </c>
      <c r="G70" s="119" t="s">
        <v>17</v>
      </c>
      <c r="H70" s="128" t="e">
        <v>#NUM!</v>
      </c>
      <c r="I70" s="94" t="e">
        <f>_xll.qlSwapRateHelper2(,$H70,,$D70,Calendar,$F70,$E70,$G70,$I$30,0,C70,Discounting,Permanent,Trigger,ObjectOverwrite)</f>
        <v>#VALUE!</v>
      </c>
      <c r="J70" s="91" t="b">
        <f t="shared" si="16"/>
        <v>0</v>
      </c>
      <c r="L70" s="21" t="str">
        <f t="shared" si="13"/>
        <v>Sw</v>
      </c>
      <c r="M70" s="21" t="e">
        <f t="shared" si="14"/>
        <v>#NUM!</v>
      </c>
      <c r="N70" s="21" t="e">
        <f t="shared" si="18"/>
        <v>#VALUE!</v>
      </c>
      <c r="O70" s="21" t="b">
        <f t="shared" si="18"/>
        <v>0</v>
      </c>
      <c r="P70" s="12">
        <v>0</v>
      </c>
      <c r="Q70" s="12">
        <v>0</v>
      </c>
      <c r="R70" s="12">
        <v>0</v>
      </c>
      <c r="S70" s="106" t="e">
        <f>_xll.qlRateHelperRate(R70,Trigger)</f>
        <v>#NUM!</v>
      </c>
      <c r="T70" s="13" t="e">
        <f>_xll.qlRateHelperEarliestDate(R70,Trigger)</f>
        <v>#NUM!</v>
      </c>
      <c r="U70" s="13" t="e">
        <f ca="1">_xll.qlRateHelperLatestDate(R70,Trigger)</f>
        <v>#NAME?</v>
      </c>
      <c r="V70" s="12" t="e">
        <v>#VALUE!</v>
      </c>
    </row>
    <row r="71" spans="1:22" ht="11.25" customHeight="1" x14ac:dyDescent="0.2">
      <c r="A71" s="96" t="s">
        <v>38</v>
      </c>
      <c r="B71" s="126"/>
      <c r="C71" s="126" t="s">
        <v>14</v>
      </c>
      <c r="D71" s="127" t="e">
        <v>#NUM!</v>
      </c>
      <c r="E71" s="119" t="s">
        <v>15</v>
      </c>
      <c r="F71" s="126" t="s">
        <v>16</v>
      </c>
      <c r="G71" s="119" t="s">
        <v>17</v>
      </c>
      <c r="H71" s="128" t="e">
        <v>#NUM!</v>
      </c>
      <c r="I71" s="94" t="e">
        <f>_xll.qlSwapRateHelper2(,$H71,,$D71,Calendar,$F71,$E71,$G71,$I$30,0,C71,Discounting,Permanent,Trigger,ObjectOverwrite)</f>
        <v>#VALUE!</v>
      </c>
      <c r="J71" s="91" t="b">
        <f t="shared" si="16"/>
        <v>0</v>
      </c>
      <c r="L71" s="22" t="str">
        <f t="shared" si="13"/>
        <v>Sw</v>
      </c>
      <c r="M71" s="22" t="e">
        <f t="shared" si="14"/>
        <v>#NUM!</v>
      </c>
      <c r="N71" s="22" t="e">
        <f t="shared" si="18"/>
        <v>#VALUE!</v>
      </c>
      <c r="O71" s="22" t="b">
        <f t="shared" si="18"/>
        <v>0</v>
      </c>
      <c r="P71" s="14">
        <v>0</v>
      </c>
      <c r="Q71" s="14">
        <v>0</v>
      </c>
      <c r="R71" s="14">
        <v>0</v>
      </c>
      <c r="S71" s="146" t="e">
        <f>_xll.qlRateHelperRate(R71,Trigger)</f>
        <v>#NUM!</v>
      </c>
      <c r="T71" s="25" t="e">
        <f>_xll.qlRateHelperEarliestDate(R71,Trigger)</f>
        <v>#NUM!</v>
      </c>
      <c r="U71" s="25" t="e">
        <f ca="1">_xll.qlRateHelperLatestDate(R71,Trigger)</f>
        <v>#NAME?</v>
      </c>
      <c r="V71" s="14" t="e">
        <v>#VALUE!</v>
      </c>
    </row>
    <row r="72" spans="1:22" ht="11.25" customHeight="1" x14ac:dyDescent="0.2">
      <c r="A72" s="96" t="s">
        <v>38</v>
      </c>
      <c r="B72" s="126"/>
      <c r="C72" s="126" t="s">
        <v>14</v>
      </c>
      <c r="D72" s="127" t="e">
        <v>#NUM!</v>
      </c>
      <c r="E72" s="119" t="s">
        <v>15</v>
      </c>
      <c r="F72" s="126" t="s">
        <v>16</v>
      </c>
      <c r="G72" s="119" t="s">
        <v>17</v>
      </c>
      <c r="H72" s="128" t="e">
        <v>#NUM!</v>
      </c>
      <c r="I72" s="94" t="e">
        <f>_xll.qlSwapRateHelper2(,$H72,,$D72,Calendar,$F72,$E72,$G72,$I$30,0,C72,Discounting,Permanent,Trigger,ObjectOverwrite)</f>
        <v>#VALUE!</v>
      </c>
      <c r="J72" s="91" t="b">
        <f t="shared" si="16"/>
        <v>0</v>
      </c>
    </row>
    <row r="73" spans="1:22" ht="11.25" customHeight="1" x14ac:dyDescent="0.2">
      <c r="A73" s="96" t="s">
        <v>38</v>
      </c>
      <c r="B73" s="126"/>
      <c r="C73" s="126" t="s">
        <v>14</v>
      </c>
      <c r="D73" s="127" t="e">
        <v>#NUM!</v>
      </c>
      <c r="E73" s="119" t="s">
        <v>15</v>
      </c>
      <c r="F73" s="126" t="s">
        <v>16</v>
      </c>
      <c r="G73" s="119" t="s">
        <v>17</v>
      </c>
      <c r="H73" s="128" t="e">
        <v>#NUM!</v>
      </c>
      <c r="I73" s="94" t="e">
        <f>_xll.qlSwapRateHelper2(,$H73,,$D73,Calendar,$F73,$E73,$G73,$I$30,0,C73,Discounting,Permanent,Trigger,ObjectOverwrite)</f>
        <v>#VALUE!</v>
      </c>
      <c r="J73" s="91" t="b">
        <f t="shared" si="16"/>
        <v>0</v>
      </c>
    </row>
    <row r="74" spans="1:22" ht="11.25" customHeight="1" x14ac:dyDescent="0.2">
      <c r="A74" s="96" t="s">
        <v>38</v>
      </c>
      <c r="B74" s="126"/>
      <c r="C74" s="126" t="s">
        <v>14</v>
      </c>
      <c r="D74" s="127" t="e">
        <v>#NUM!</v>
      </c>
      <c r="E74" s="119" t="s">
        <v>15</v>
      </c>
      <c r="F74" s="126" t="s">
        <v>16</v>
      </c>
      <c r="G74" s="119" t="s">
        <v>17</v>
      </c>
      <c r="H74" s="128" t="e">
        <v>#NUM!</v>
      </c>
      <c r="I74" s="94" t="e">
        <f>_xll.qlSwapRateHelper2(,$H74,,$D74,Calendar,$F74,$E74,$G74,$I$30,0,C74,Discounting,Permanent,Trigger,ObjectOverwrite)</f>
        <v>#VALUE!</v>
      </c>
      <c r="J74" s="91" t="b">
        <f t="shared" si="16"/>
        <v>0</v>
      </c>
    </row>
    <row r="75" spans="1:22" ht="11.25" customHeight="1" x14ac:dyDescent="0.2">
      <c r="A75" s="96" t="s">
        <v>38</v>
      </c>
      <c r="B75" s="126"/>
      <c r="C75" s="126" t="s">
        <v>14</v>
      </c>
      <c r="D75" s="127" t="e">
        <v>#NUM!</v>
      </c>
      <c r="E75" s="119" t="s">
        <v>15</v>
      </c>
      <c r="F75" s="126" t="s">
        <v>16</v>
      </c>
      <c r="G75" s="119" t="s">
        <v>17</v>
      </c>
      <c r="H75" s="128" t="e">
        <v>#NUM!</v>
      </c>
      <c r="I75" s="94" t="e">
        <f>_xll.qlSwapRateHelper2(,$H75,,$D75,Calendar,$F75,$E75,$G75,$I$30,0,C75,Discounting,Permanent,Trigger,ObjectOverwrite)</f>
        <v>#VALUE!</v>
      </c>
      <c r="J75" s="91" t="b">
        <f t="shared" si="16"/>
        <v>0</v>
      </c>
    </row>
    <row r="76" spans="1:22" ht="11.25" customHeight="1" x14ac:dyDescent="0.2">
      <c r="A76" s="6" t="s">
        <v>38</v>
      </c>
      <c r="B76" s="129"/>
      <c r="C76" s="129" t="s">
        <v>14</v>
      </c>
      <c r="D76" s="130" t="e">
        <v>#NUM!</v>
      </c>
      <c r="E76" s="2" t="s">
        <v>15</v>
      </c>
      <c r="F76" s="129" t="s">
        <v>16</v>
      </c>
      <c r="G76" s="2" t="s">
        <v>17</v>
      </c>
      <c r="H76" s="131" t="e">
        <v>#NUM!</v>
      </c>
      <c r="I76" s="4" t="e">
        <f>_xll.qlSwapRateHelper2(,$H76,,$D76,Calendar,$F76,$E76,$G76,$I$30,0,C76,Discounting,Permanent,Trigger,ObjectOverwrite)</f>
        <v>#VALUE!</v>
      </c>
      <c r="J76" s="16" t="b">
        <f t="shared" si="16"/>
        <v>0</v>
      </c>
    </row>
    <row r="77" spans="1:22" ht="11.25" customHeight="1" x14ac:dyDescent="0.2"/>
    <row r="78" spans="1:22" ht="11.25" customHeight="1" x14ac:dyDescent="0.2"/>
    <row r="79" spans="1:22" ht="11.25" customHeight="1" x14ac:dyDescent="0.2"/>
    <row r="80" spans="1:22" ht="11.25" customHeight="1" x14ac:dyDescent="0.2"/>
    <row r="81" ht="11.25" customHeight="1" x14ac:dyDescent="0.2"/>
  </sheetData>
  <dataValidations count="4">
    <dataValidation type="list" allowBlank="1" showInputMessage="1" showErrorMessage="1" sqref="E32:E76">
      <formula1>"Following,Modified Following,Preceding,Modified Preceding,Month End Reference,Unadjusted Month End,Unadjusted"</formula1>
    </dataValidation>
    <dataValidation type="list" allowBlank="1" showInputMessage="1" showErrorMessage="1" sqref="F32:F76">
      <formula1>"Annual,Semiannual,EveryFourthMonth,Quarterly,Bimonthly,Monthly,Biweekly,Weekly,Daily,Once,NoFrequency"</formula1>
    </dataValidation>
    <dataValidation type="list" allowBlank="1" showInputMessage="1" showErrorMessage="1" sqref="G32:G76 G3:G1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21:E28">
      <formula1>"Following,Modified Following,Preceding,Modified Preceding,Unadjusted"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V80"/>
  <sheetViews>
    <sheetView showGridLines="0" topLeftCell="K1" zoomScaleNormal="100" workbookViewId="0">
      <selection activeCell="V1" sqref="V1"/>
    </sheetView>
  </sheetViews>
  <sheetFormatPr defaultRowHeight="11.25" outlineLevelCol="2" x14ac:dyDescent="0.2"/>
  <cols>
    <col min="1" max="1" width="7.5703125" style="64" hidden="1" customWidth="1" outlineLevel="1"/>
    <col min="2" max="2" width="17.28515625" style="64" hidden="1" customWidth="1" outlineLevel="2"/>
    <col min="3" max="3" width="10" style="78" hidden="1" customWidth="1" outlineLevel="1" collapsed="1"/>
    <col min="4" max="4" width="7.85546875" style="77" hidden="1" customWidth="1" outlineLevel="1"/>
    <col min="5" max="5" width="19.42578125" style="79" hidden="1" customWidth="1" outlineLevel="1"/>
    <col min="6" max="6" width="10.140625" style="64" hidden="1" customWidth="1" outlineLevel="1"/>
    <col min="7" max="7" width="19.5703125" style="64" hidden="1" customWidth="1" outlineLevel="1"/>
    <col min="8" max="8" width="11.42578125" style="64" hidden="1" customWidth="1" outlineLevel="1"/>
    <col min="9" max="9" width="15.28515625" style="64" hidden="1" customWidth="1" outlineLevel="1"/>
    <col min="10" max="10" width="9.140625" style="77" hidden="1" customWidth="1" outlineLevel="1"/>
    <col min="11" max="11" width="2.7109375" style="64" customWidth="1" collapsed="1"/>
    <col min="12" max="12" width="5" style="64" hidden="1" customWidth="1" outlineLevel="1"/>
    <col min="13" max="13" width="6" style="64" hidden="1" customWidth="1" outlineLevel="1"/>
    <col min="14" max="14" width="15.140625" style="64" hidden="1" customWidth="1" outlineLevel="1"/>
    <col min="15" max="15" width="6" style="64" hidden="1" customWidth="1" outlineLevel="1"/>
    <col min="16" max="16" width="5" style="64" bestFit="1" customWidth="1" collapsed="1"/>
    <col min="17" max="17" width="6" style="64" customWidth="1"/>
    <col min="18" max="18" width="15.140625" style="64" hidden="1" customWidth="1" outlineLevel="1"/>
    <col min="19" max="19" width="9" style="64" bestFit="1" customWidth="1" collapsed="1"/>
    <col min="20" max="21" width="17.28515625" style="64" bestFit="1" customWidth="1"/>
    <col min="22" max="22" width="9" style="64" customWidth="1"/>
    <col min="23" max="23" width="15.140625" style="64" bestFit="1" customWidth="1"/>
    <col min="24" max="24" width="9" style="64" bestFit="1" customWidth="1"/>
    <col min="25" max="16384" width="9.140625" style="64"/>
  </cols>
  <sheetData>
    <row r="1" spans="1:22" ht="21" customHeight="1" x14ac:dyDescent="0.2">
      <c r="B1" s="67"/>
      <c r="C1" s="68"/>
      <c r="D1" s="69"/>
      <c r="E1" s="70"/>
      <c r="F1" s="71"/>
      <c r="J1" s="69"/>
      <c r="L1" s="98"/>
      <c r="M1" s="99"/>
      <c r="N1" s="99"/>
      <c r="O1" s="100"/>
      <c r="P1" s="136" t="s">
        <v>48</v>
      </c>
      <c r="Q1" s="99"/>
      <c r="R1" s="99"/>
      <c r="S1" s="104"/>
      <c r="T1" s="99"/>
      <c r="U1" s="99"/>
      <c r="V1" s="135" t="s">
        <v>54</v>
      </c>
    </row>
    <row r="2" spans="1:22" ht="21" customHeight="1" x14ac:dyDescent="0.2">
      <c r="A2" s="97" t="s">
        <v>18</v>
      </c>
      <c r="B2" s="97"/>
      <c r="C2" s="97" t="s">
        <v>1</v>
      </c>
      <c r="D2" s="97" t="s">
        <v>2</v>
      </c>
      <c r="E2" s="97" t="s">
        <v>13</v>
      </c>
      <c r="F2" s="97" t="s">
        <v>3</v>
      </c>
      <c r="G2" s="97" t="s">
        <v>4</v>
      </c>
      <c r="H2" s="97" t="s">
        <v>5</v>
      </c>
      <c r="I2" s="97" t="s">
        <v>36</v>
      </c>
      <c r="J2" s="97" t="s">
        <v>40</v>
      </c>
      <c r="L2" s="132" t="s">
        <v>18</v>
      </c>
      <c r="M2" s="132"/>
      <c r="N2" s="132" t="s">
        <v>36</v>
      </c>
      <c r="O2" s="132"/>
      <c r="P2" s="132" t="s">
        <v>18</v>
      </c>
      <c r="Q2" s="132" t="s">
        <v>44</v>
      </c>
      <c r="R2" s="132" t="s">
        <v>36</v>
      </c>
      <c r="S2" s="133" t="s">
        <v>35</v>
      </c>
      <c r="T2" s="132" t="s">
        <v>33</v>
      </c>
      <c r="U2" s="132" t="s">
        <v>34</v>
      </c>
      <c r="V2" s="105" t="e">
        <f t="array" ref="V2:V71">_xll.qlPiecewiseYieldCurveData(YieldCurve_1Y,Trigger)</f>
        <v>#VALUE!</v>
      </c>
    </row>
    <row r="3" spans="1:22" ht="11.25" customHeight="1" x14ac:dyDescent="0.2">
      <c r="A3" s="81" t="s">
        <v>39</v>
      </c>
      <c r="B3" s="81" t="e">
        <f t="array" ref="B3:B18">_xll.ohFilter(#REF!,#REF!="Dp")</f>
        <v>#NUM!</v>
      </c>
      <c r="C3" s="82" t="e">
        <f>IF(LEFT(B3,1)="#",(_xll.qlCalendarBusinessDaysBetween(Calendar,Settlementdate,DATE(RIGHT(LEFT(B3,5),4),LEFT(RIGHT(B3,4),2),RIGHT(B3,2)),,TRUE,Trigger)-1)&amp;"D",B3)</f>
        <v>#NUM!</v>
      </c>
      <c r="D3" s="83" t="e">
        <f>IF(C3="O/N",0,IF(C3="T/N",1,2))</f>
        <v>#NUM!</v>
      </c>
      <c r="E3" s="84" t="e">
        <f>IF(OR(RIGHT(C3,1)="M",RIGHT(C3,1)="D"),"Modified Following","Following")</f>
        <v>#NUM!</v>
      </c>
      <c r="F3" s="85" t="e">
        <f>IF(OR(RIGHT(C3,1)="M",RIGHT(C3,1)="D"),"TRUE","FALSE")</f>
        <v>#NUM!</v>
      </c>
      <c r="G3" s="86" t="s">
        <v>41</v>
      </c>
      <c r="H3" s="87" t="e">
        <f t="array" ref="H3:H18">_xll.ohFilter(#REF!,#REF!="Dp")/100</f>
        <v>#NUM!</v>
      </c>
      <c r="I3" s="88" t="e">
        <f>_xll.qlDepositRateHelper2(,H3,IF(RIGHT(C3,1)="N","1D",C3),D3,Calendar,E3,F3,G3,,Trigger)</f>
        <v>#VALUE!</v>
      </c>
      <c r="J3" s="83" t="b">
        <f>IF(ISNUMBER(H3),TRUE,FALSE)</f>
        <v>0</v>
      </c>
      <c r="K3" s="67"/>
      <c r="L3" s="21" t="str">
        <f>A3</f>
        <v>Dp</v>
      </c>
      <c r="M3" s="21" t="e">
        <f>C3</f>
        <v>#NUM!</v>
      </c>
      <c r="N3" s="12" t="e">
        <f>I3</f>
        <v>#VALUE!</v>
      </c>
      <c r="O3" s="12" t="b">
        <f>J3</f>
        <v>0</v>
      </c>
      <c r="P3" s="12">
        <f t="array" ref="P3:P71">_xll.ohPack(_xll.ohFilter(L3:L71,O3:O71),Trigger)</f>
        <v>0</v>
      </c>
      <c r="Q3" s="12">
        <f t="array" ref="Q3:Q71">_xll.ohPack(_xll.ohFilter(M3:M71,O3:O71),Trigger)</f>
        <v>0</v>
      </c>
      <c r="R3" s="12">
        <f t="array" ref="R3:R71">_xll.ohPack(_xll.ohFilter(N3:N71,O3:O71))</f>
        <v>0</v>
      </c>
      <c r="S3" s="106" t="e">
        <f>_xll.qlRateHelperRate(R3,Trigger)</f>
        <v>#NUM!</v>
      </c>
      <c r="T3" s="13" t="e">
        <f>_xll.qlRateHelperEarliestDate(R3,Trigger)</f>
        <v>#NUM!</v>
      </c>
      <c r="U3" s="13" t="e">
        <f ca="1">_xll.qlRateHelperLatestDate(R3,Trigger)</f>
        <v>#NAME?</v>
      </c>
      <c r="V3" s="106" t="e">
        <v>#VALUE!</v>
      </c>
    </row>
    <row r="4" spans="1:22" ht="11.25" customHeight="1" x14ac:dyDescent="0.2">
      <c r="A4" s="89" t="s">
        <v>39</v>
      </c>
      <c r="B4" s="89" t="e">
        <v>#NUM!</v>
      </c>
      <c r="C4" s="90" t="e">
        <f>IF(LEFT(B4,1)="#",(_xll.qlCalendarBusinessDaysBetween(Calendar,Settlementdate,DATE(RIGHT(LEFT(B4,5),4),LEFT(RIGHT(B4,4),2),RIGHT(B4,2)),,TRUE,Trigger)-1)&amp;"D",B4)</f>
        <v>#NUM!</v>
      </c>
      <c r="D4" s="91" t="e">
        <f t="shared" ref="D4:D18" si="0">IF(C4="O/N",0,IF(C4="T/N",1,2))</f>
        <v>#NUM!</v>
      </c>
      <c r="E4" s="92" t="e">
        <f t="shared" ref="E4:E18" si="1">IF(OR(RIGHT(C4,1)="M",RIGHT(C4,1)="D"),"Modified Following","Following")</f>
        <v>#NUM!</v>
      </c>
      <c r="F4" s="93" t="e">
        <f t="shared" ref="F4:F18" si="2">IF(OR(RIGHT(C4,1)="M",RIGHT(C4,1)="D"),"TRUE","FALSE")</f>
        <v>#NUM!</v>
      </c>
      <c r="G4" s="94" t="s">
        <v>41</v>
      </c>
      <c r="H4" s="95" t="e">
        <v>#NUM!</v>
      </c>
      <c r="I4" s="96" t="e">
        <f>_xll.qlDepositRateHelper2(,H4,IF(RIGHT(C4,1)="N","1D",C4),D4,Calendar,E4,F4,G4,,Trigger)</f>
        <v>#VALUE!</v>
      </c>
      <c r="J4" s="91" t="b">
        <f t="shared" ref="J4:J18" si="3">IF(ISNUMBER(H4),TRUE,FALSE)</f>
        <v>0</v>
      </c>
      <c r="K4" s="66"/>
      <c r="L4" s="21" t="str">
        <f t="shared" ref="L4:L18" si="4">A4</f>
        <v>Dp</v>
      </c>
      <c r="M4" s="21" t="e">
        <f t="shared" ref="M4:M18" si="5">C4</f>
        <v>#NUM!</v>
      </c>
      <c r="N4" s="12" t="e">
        <f t="shared" ref="N4:O18" si="6">I4</f>
        <v>#VALUE!</v>
      </c>
      <c r="O4" s="12" t="b">
        <f t="shared" si="6"/>
        <v>0</v>
      </c>
      <c r="P4" s="12">
        <v>0</v>
      </c>
      <c r="Q4" s="12">
        <v>0</v>
      </c>
      <c r="R4" s="12">
        <v>0</v>
      </c>
      <c r="S4" s="106" t="e">
        <f>_xll.qlRateHelperRate(R4,Trigger)</f>
        <v>#NUM!</v>
      </c>
      <c r="T4" s="13" t="e">
        <f>_xll.qlRateHelperEarliestDate(R4,Trigger)</f>
        <v>#NUM!</v>
      </c>
      <c r="U4" s="13" t="e">
        <f ca="1">_xll.qlRateHelperLatestDate(R4,Trigger)</f>
        <v>#NAME?</v>
      </c>
      <c r="V4" s="106" t="e">
        <v>#VALUE!</v>
      </c>
    </row>
    <row r="5" spans="1:22" ht="11.25" customHeight="1" x14ac:dyDescent="0.2">
      <c r="A5" s="89" t="s">
        <v>39</v>
      </c>
      <c r="B5" s="89" t="e">
        <v>#NUM!</v>
      </c>
      <c r="C5" s="90" t="e">
        <f>IF(LEFT(B5,1)="#",(_xll.qlCalendarBusinessDaysBetween(Calendar,Settlementdate,DATE(RIGHT(LEFT(B5,5),4),LEFT(RIGHT(B5,4),2),RIGHT(B5,2)),,TRUE,Trigger)-1)&amp;"D",B5)</f>
        <v>#NUM!</v>
      </c>
      <c r="D5" s="91" t="e">
        <f t="shared" si="0"/>
        <v>#NUM!</v>
      </c>
      <c r="E5" s="92" t="e">
        <f t="shared" si="1"/>
        <v>#NUM!</v>
      </c>
      <c r="F5" s="93" t="e">
        <f t="shared" si="2"/>
        <v>#NUM!</v>
      </c>
      <c r="G5" s="94" t="s">
        <v>41</v>
      </c>
      <c r="H5" s="95" t="e">
        <v>#NUM!</v>
      </c>
      <c r="I5" s="96" t="e">
        <f>_xll.qlDepositRateHelper2(,H5,IF(RIGHT(C5,1)="N","1D",C5),D5,Calendar,E5,F5,G5,,Trigger)</f>
        <v>#VALUE!</v>
      </c>
      <c r="J5" s="91" t="b">
        <f t="shared" si="3"/>
        <v>0</v>
      </c>
      <c r="K5" s="66"/>
      <c r="L5" s="21" t="str">
        <f t="shared" si="4"/>
        <v>Dp</v>
      </c>
      <c r="M5" s="21" t="e">
        <f t="shared" si="5"/>
        <v>#NUM!</v>
      </c>
      <c r="N5" s="12" t="e">
        <f t="shared" si="6"/>
        <v>#VALUE!</v>
      </c>
      <c r="O5" s="12" t="b">
        <f t="shared" si="6"/>
        <v>0</v>
      </c>
      <c r="P5" s="12">
        <v>0</v>
      </c>
      <c r="Q5" s="12">
        <v>0</v>
      </c>
      <c r="R5" s="12">
        <v>0</v>
      </c>
      <c r="S5" s="106" t="e">
        <f>_xll.qlRateHelperRate(R5,Trigger)</f>
        <v>#NUM!</v>
      </c>
      <c r="T5" s="13" t="e">
        <f>_xll.qlRateHelperEarliestDate(R5,Trigger)</f>
        <v>#NUM!</v>
      </c>
      <c r="U5" s="13" t="e">
        <f ca="1">_xll.qlRateHelperLatestDate(R5,Trigger)</f>
        <v>#NAME?</v>
      </c>
      <c r="V5" s="106" t="e">
        <v>#VALUE!</v>
      </c>
    </row>
    <row r="6" spans="1:22" ht="11.25" customHeight="1" x14ac:dyDescent="0.2">
      <c r="A6" s="89" t="s">
        <v>39</v>
      </c>
      <c r="B6" s="89" t="e">
        <v>#NUM!</v>
      </c>
      <c r="C6" s="90" t="e">
        <f>IF(LEFT(B6,1)="#",(_xll.qlCalendarBusinessDaysBetween(Calendar,Settlementdate,DATE(RIGHT(LEFT(B6,5),4),LEFT(RIGHT(B6,4),2),RIGHT(B6,2)),,TRUE,Trigger)-1)&amp;"D",B6)</f>
        <v>#NUM!</v>
      </c>
      <c r="D6" s="91" t="e">
        <f t="shared" si="0"/>
        <v>#NUM!</v>
      </c>
      <c r="E6" s="92" t="e">
        <f t="shared" si="1"/>
        <v>#NUM!</v>
      </c>
      <c r="F6" s="93" t="e">
        <f t="shared" si="2"/>
        <v>#NUM!</v>
      </c>
      <c r="G6" s="94" t="s">
        <v>41</v>
      </c>
      <c r="H6" s="95" t="e">
        <v>#NUM!</v>
      </c>
      <c r="I6" s="96" t="e">
        <f>_xll.qlDepositRateHelper2(,H6,IF(RIGHT(C6,1)="N","1D",C6),D6,Calendar,E6,F6,G6,,Trigger)</f>
        <v>#VALUE!</v>
      </c>
      <c r="J6" s="91" t="b">
        <f t="shared" si="3"/>
        <v>0</v>
      </c>
      <c r="K6" s="66"/>
      <c r="L6" s="21" t="str">
        <f t="shared" si="4"/>
        <v>Dp</v>
      </c>
      <c r="M6" s="21" t="e">
        <f t="shared" si="5"/>
        <v>#NUM!</v>
      </c>
      <c r="N6" s="12" t="e">
        <f t="shared" si="6"/>
        <v>#VALUE!</v>
      </c>
      <c r="O6" s="12" t="b">
        <f t="shared" si="6"/>
        <v>0</v>
      </c>
      <c r="P6" s="12">
        <v>0</v>
      </c>
      <c r="Q6" s="12">
        <v>0</v>
      </c>
      <c r="R6" s="12">
        <v>0</v>
      </c>
      <c r="S6" s="106" t="e">
        <f>_xll.qlRateHelperRate(R6,Trigger)</f>
        <v>#NUM!</v>
      </c>
      <c r="T6" s="13" t="e">
        <f>_xll.qlRateHelperEarliestDate(R6,Trigger)</f>
        <v>#NUM!</v>
      </c>
      <c r="U6" s="13" t="e">
        <f ca="1">_xll.qlRateHelperLatestDate(R6,Trigger)</f>
        <v>#NAME?</v>
      </c>
      <c r="V6" s="106" t="e">
        <v>#VALUE!</v>
      </c>
    </row>
    <row r="7" spans="1:22" ht="11.25" customHeight="1" x14ac:dyDescent="0.2">
      <c r="A7" s="89" t="s">
        <v>39</v>
      </c>
      <c r="B7" s="89" t="e">
        <v>#NUM!</v>
      </c>
      <c r="C7" s="90" t="e">
        <f>IF(LEFT(B7,1)="#",(_xll.qlCalendarBusinessDaysBetween(Calendar,Settlementdate,DATE(RIGHT(LEFT(B7,5),4),LEFT(RIGHT(B7,4),2),RIGHT(B7,2)),,TRUE,Trigger)-1)&amp;"D",B7)</f>
        <v>#NUM!</v>
      </c>
      <c r="D7" s="91" t="e">
        <f t="shared" si="0"/>
        <v>#NUM!</v>
      </c>
      <c r="E7" s="92" t="e">
        <f t="shared" si="1"/>
        <v>#NUM!</v>
      </c>
      <c r="F7" s="93" t="e">
        <f t="shared" si="2"/>
        <v>#NUM!</v>
      </c>
      <c r="G7" s="94" t="s">
        <v>41</v>
      </c>
      <c r="H7" s="95" t="e">
        <v>#NUM!</v>
      </c>
      <c r="I7" s="96" t="e">
        <f>_xll.qlDepositRateHelper2(,H7,IF(RIGHT(C7,1)="N","1D",C7),D7,Calendar,E7,F7,G7,,Trigger)</f>
        <v>#VALUE!</v>
      </c>
      <c r="J7" s="91" t="b">
        <f t="shared" si="3"/>
        <v>0</v>
      </c>
      <c r="K7" s="66"/>
      <c r="L7" s="21" t="str">
        <f t="shared" si="4"/>
        <v>Dp</v>
      </c>
      <c r="M7" s="21" t="e">
        <f t="shared" si="5"/>
        <v>#NUM!</v>
      </c>
      <c r="N7" s="12" t="e">
        <f t="shared" si="6"/>
        <v>#VALUE!</v>
      </c>
      <c r="O7" s="12" t="b">
        <f t="shared" si="6"/>
        <v>0</v>
      </c>
      <c r="P7" s="12">
        <v>0</v>
      </c>
      <c r="Q7" s="12">
        <v>0</v>
      </c>
      <c r="R7" s="12">
        <v>0</v>
      </c>
      <c r="S7" s="106" t="e">
        <f>_xll.qlRateHelperRate(R7,Trigger)</f>
        <v>#NUM!</v>
      </c>
      <c r="T7" s="13" t="e">
        <f>_xll.qlRateHelperEarliestDate(R7,Trigger)</f>
        <v>#NUM!</v>
      </c>
      <c r="U7" s="13" t="e">
        <f ca="1">_xll.qlRateHelperLatestDate(R7,Trigger)</f>
        <v>#NAME?</v>
      </c>
      <c r="V7" s="106" t="e">
        <v>#VALUE!</v>
      </c>
    </row>
    <row r="8" spans="1:22" ht="11.25" customHeight="1" x14ac:dyDescent="0.2">
      <c r="A8" s="89" t="s">
        <v>39</v>
      </c>
      <c r="B8" s="89" t="e">
        <v>#NUM!</v>
      </c>
      <c r="C8" s="90" t="e">
        <f>IF(LEFT(B8,1)="#",(_xll.qlCalendarBusinessDaysBetween(Calendar,Settlementdate,DATE(RIGHT(LEFT(B8,5),4),LEFT(RIGHT(B8,4),2),RIGHT(B8,2)),,TRUE,Trigger)-1)&amp;"D",B8)</f>
        <v>#NUM!</v>
      </c>
      <c r="D8" s="91" t="e">
        <f t="shared" si="0"/>
        <v>#NUM!</v>
      </c>
      <c r="E8" s="92" t="e">
        <f t="shared" si="1"/>
        <v>#NUM!</v>
      </c>
      <c r="F8" s="93" t="e">
        <f t="shared" si="2"/>
        <v>#NUM!</v>
      </c>
      <c r="G8" s="94" t="s">
        <v>41</v>
      </c>
      <c r="H8" s="95" t="e">
        <v>#NUM!</v>
      </c>
      <c r="I8" s="96" t="e">
        <f>_xll.qlDepositRateHelper2(,H8,IF(RIGHT(C8,1)="N","1D",C8),D8,Calendar,E8,F8,G8,,Trigger)</f>
        <v>#VALUE!</v>
      </c>
      <c r="J8" s="91" t="b">
        <f t="shared" si="3"/>
        <v>0</v>
      </c>
      <c r="K8" s="66"/>
      <c r="L8" s="21" t="str">
        <f t="shared" si="4"/>
        <v>Dp</v>
      </c>
      <c r="M8" s="21" t="e">
        <f t="shared" si="5"/>
        <v>#NUM!</v>
      </c>
      <c r="N8" s="12" t="e">
        <f t="shared" si="6"/>
        <v>#VALUE!</v>
      </c>
      <c r="O8" s="12" t="b">
        <f t="shared" si="6"/>
        <v>0</v>
      </c>
      <c r="P8" s="12">
        <v>0</v>
      </c>
      <c r="Q8" s="12">
        <v>0</v>
      </c>
      <c r="R8" s="12">
        <v>0</v>
      </c>
      <c r="S8" s="106" t="e">
        <f>_xll.qlRateHelperRate(R8,Trigger)</f>
        <v>#NUM!</v>
      </c>
      <c r="T8" s="13" t="e">
        <f>_xll.qlRateHelperEarliestDate(R8,Trigger)</f>
        <v>#NUM!</v>
      </c>
      <c r="U8" s="13" t="e">
        <f ca="1">_xll.qlRateHelperLatestDate(R8,Trigger)</f>
        <v>#NAME?</v>
      </c>
      <c r="V8" s="106" t="e">
        <v>#VALUE!</v>
      </c>
    </row>
    <row r="9" spans="1:22" ht="11.25" customHeight="1" x14ac:dyDescent="0.2">
      <c r="A9" s="89" t="s">
        <v>39</v>
      </c>
      <c r="B9" s="89" t="e">
        <v>#NUM!</v>
      </c>
      <c r="C9" s="90" t="e">
        <f>IF(LEFT(B9,1)="#",(_xll.qlCalendarBusinessDaysBetween(Calendar,Settlementdate,DATE(RIGHT(LEFT(B9,5),4),LEFT(RIGHT(B9,4),2),RIGHT(B9,2)),,TRUE,Trigger)-1)&amp;"D",B9)</f>
        <v>#NUM!</v>
      </c>
      <c r="D9" s="91" t="e">
        <f t="shared" si="0"/>
        <v>#NUM!</v>
      </c>
      <c r="E9" s="92" t="e">
        <f t="shared" si="1"/>
        <v>#NUM!</v>
      </c>
      <c r="F9" s="93" t="e">
        <f t="shared" si="2"/>
        <v>#NUM!</v>
      </c>
      <c r="G9" s="94" t="s">
        <v>41</v>
      </c>
      <c r="H9" s="95" t="e">
        <v>#NUM!</v>
      </c>
      <c r="I9" s="96" t="e">
        <f>_xll.qlDepositRateHelper2(,H9,IF(RIGHT(C9,1)="N","1D",C9),D9,Calendar,E9,F9,G9,,Trigger)</f>
        <v>#VALUE!</v>
      </c>
      <c r="J9" s="91" t="b">
        <f t="shared" si="3"/>
        <v>0</v>
      </c>
      <c r="K9" s="66"/>
      <c r="L9" s="21" t="str">
        <f t="shared" si="4"/>
        <v>Dp</v>
      </c>
      <c r="M9" s="21" t="e">
        <f t="shared" si="5"/>
        <v>#NUM!</v>
      </c>
      <c r="N9" s="12" t="e">
        <f t="shared" si="6"/>
        <v>#VALUE!</v>
      </c>
      <c r="O9" s="12" t="b">
        <f t="shared" si="6"/>
        <v>0</v>
      </c>
      <c r="P9" s="12">
        <v>0</v>
      </c>
      <c r="Q9" s="12">
        <v>0</v>
      </c>
      <c r="R9" s="12">
        <v>0</v>
      </c>
      <c r="S9" s="106" t="e">
        <f>_xll.qlRateHelperRate(R9,Trigger)</f>
        <v>#NUM!</v>
      </c>
      <c r="T9" s="13" t="e">
        <f>_xll.qlRateHelperEarliestDate(R9,Trigger)</f>
        <v>#NUM!</v>
      </c>
      <c r="U9" s="13" t="e">
        <f ca="1">_xll.qlRateHelperLatestDate(R9,Trigger)</f>
        <v>#NAME?</v>
      </c>
      <c r="V9" s="106" t="e">
        <v>#VALUE!</v>
      </c>
    </row>
    <row r="10" spans="1:22" ht="11.25" customHeight="1" x14ac:dyDescent="0.2">
      <c r="A10" s="89" t="s">
        <v>39</v>
      </c>
      <c r="B10" s="89" t="e">
        <v>#NUM!</v>
      </c>
      <c r="C10" s="90" t="e">
        <f>IF(LEFT(B10,1)="#",(_xll.qlCalendarBusinessDaysBetween(Calendar,Settlementdate,DATE(RIGHT(LEFT(B10,5),4),LEFT(RIGHT(B10,4),2),RIGHT(B10,2)),,TRUE,Trigger)-1)&amp;"D",B10)</f>
        <v>#NUM!</v>
      </c>
      <c r="D10" s="91" t="e">
        <f t="shared" si="0"/>
        <v>#NUM!</v>
      </c>
      <c r="E10" s="92" t="e">
        <f t="shared" si="1"/>
        <v>#NUM!</v>
      </c>
      <c r="F10" s="93" t="e">
        <f t="shared" si="2"/>
        <v>#NUM!</v>
      </c>
      <c r="G10" s="94" t="s">
        <v>41</v>
      </c>
      <c r="H10" s="95" t="e">
        <v>#NUM!</v>
      </c>
      <c r="I10" s="96" t="e">
        <f>_xll.qlDepositRateHelper2(,H10,IF(RIGHT(C10,1)="N","1D",C10),D10,Calendar,E10,F10,G10,,Trigger)</f>
        <v>#VALUE!</v>
      </c>
      <c r="J10" s="91" t="b">
        <f t="shared" si="3"/>
        <v>0</v>
      </c>
      <c r="K10" s="66"/>
      <c r="L10" s="21" t="str">
        <f t="shared" si="4"/>
        <v>Dp</v>
      </c>
      <c r="M10" s="21" t="e">
        <f t="shared" si="5"/>
        <v>#NUM!</v>
      </c>
      <c r="N10" s="12" t="e">
        <f t="shared" si="6"/>
        <v>#VALUE!</v>
      </c>
      <c r="O10" s="12" t="b">
        <f t="shared" si="6"/>
        <v>0</v>
      </c>
      <c r="P10" s="12">
        <v>0</v>
      </c>
      <c r="Q10" s="12">
        <v>0</v>
      </c>
      <c r="R10" s="12">
        <v>0</v>
      </c>
      <c r="S10" s="106" t="e">
        <f>_xll.qlRateHelperRate(R10,Trigger)</f>
        <v>#NUM!</v>
      </c>
      <c r="T10" s="13" t="e">
        <f>_xll.qlRateHelperEarliestDate(R10,Trigger)</f>
        <v>#NUM!</v>
      </c>
      <c r="U10" s="13" t="e">
        <f ca="1">_xll.qlRateHelperLatestDate(R10,Trigger)</f>
        <v>#NAME?</v>
      </c>
      <c r="V10" s="106" t="e">
        <v>#VALUE!</v>
      </c>
    </row>
    <row r="11" spans="1:22" ht="11.25" customHeight="1" x14ac:dyDescent="0.2">
      <c r="A11" s="89" t="s">
        <v>39</v>
      </c>
      <c r="B11" s="89" t="e">
        <v>#NUM!</v>
      </c>
      <c r="C11" s="90" t="e">
        <f>IF(LEFT(B11,1)="#",(_xll.qlCalendarBusinessDaysBetween(Calendar,Settlementdate,DATE(RIGHT(LEFT(B11,5),4),LEFT(RIGHT(B11,4),2),RIGHT(B11,2)),,TRUE,Trigger)-1)&amp;"D",B11)</f>
        <v>#NUM!</v>
      </c>
      <c r="D11" s="91" t="e">
        <f t="shared" si="0"/>
        <v>#NUM!</v>
      </c>
      <c r="E11" s="92" t="e">
        <f t="shared" si="1"/>
        <v>#NUM!</v>
      </c>
      <c r="F11" s="93" t="e">
        <f t="shared" si="2"/>
        <v>#NUM!</v>
      </c>
      <c r="G11" s="94" t="s">
        <v>41</v>
      </c>
      <c r="H11" s="95" t="e">
        <v>#NUM!</v>
      </c>
      <c r="I11" s="96" t="e">
        <f>_xll.qlDepositRateHelper2(,H11,IF(RIGHT(C11,1)="N","1D",C11),D11,Calendar,E11,F11,G11,,Trigger)</f>
        <v>#VALUE!</v>
      </c>
      <c r="J11" s="91" t="b">
        <f t="shared" si="3"/>
        <v>0</v>
      </c>
      <c r="K11" s="66"/>
      <c r="L11" s="21" t="str">
        <f t="shared" si="4"/>
        <v>Dp</v>
      </c>
      <c r="M11" s="21" t="e">
        <f t="shared" si="5"/>
        <v>#NUM!</v>
      </c>
      <c r="N11" s="12" t="e">
        <f t="shared" si="6"/>
        <v>#VALUE!</v>
      </c>
      <c r="O11" s="12" t="b">
        <f t="shared" si="6"/>
        <v>0</v>
      </c>
      <c r="P11" s="12">
        <v>0</v>
      </c>
      <c r="Q11" s="12">
        <v>0</v>
      </c>
      <c r="R11" s="12">
        <v>0</v>
      </c>
      <c r="S11" s="106" t="e">
        <f>_xll.qlRateHelperRate(R11,Trigger)</f>
        <v>#NUM!</v>
      </c>
      <c r="T11" s="13" t="e">
        <f>_xll.qlRateHelperEarliestDate(R11,Trigger)</f>
        <v>#NUM!</v>
      </c>
      <c r="U11" s="13" t="e">
        <f ca="1">_xll.qlRateHelperLatestDate(R11,Trigger)</f>
        <v>#NAME?</v>
      </c>
      <c r="V11" s="106" t="e">
        <v>#VALUE!</v>
      </c>
    </row>
    <row r="12" spans="1:22" ht="11.25" customHeight="1" x14ac:dyDescent="0.2">
      <c r="A12" s="89" t="s">
        <v>39</v>
      </c>
      <c r="B12" s="89" t="e">
        <v>#NUM!</v>
      </c>
      <c r="C12" s="90" t="e">
        <f>IF(LEFT(B12,1)="#",(_xll.qlCalendarBusinessDaysBetween(Calendar,Settlementdate,DATE(RIGHT(LEFT(B12,5),4),LEFT(RIGHT(B12,4),2),RIGHT(B12,2)),,TRUE,Trigger)-1)&amp;"D",B12)</f>
        <v>#NUM!</v>
      </c>
      <c r="D12" s="91" t="e">
        <f t="shared" si="0"/>
        <v>#NUM!</v>
      </c>
      <c r="E12" s="92" t="e">
        <f t="shared" si="1"/>
        <v>#NUM!</v>
      </c>
      <c r="F12" s="93" t="e">
        <f t="shared" si="2"/>
        <v>#NUM!</v>
      </c>
      <c r="G12" s="94" t="s">
        <v>41</v>
      </c>
      <c r="H12" s="95" t="e">
        <v>#NUM!</v>
      </c>
      <c r="I12" s="96" t="e">
        <f>_xll.qlDepositRateHelper2(,H12,IF(RIGHT(C12,1)="N","1D",C12),D12,Calendar,E12,F12,G12,,Trigger)</f>
        <v>#VALUE!</v>
      </c>
      <c r="J12" s="91" t="b">
        <f t="shared" si="3"/>
        <v>0</v>
      </c>
      <c r="K12" s="66"/>
      <c r="L12" s="21" t="str">
        <f t="shared" si="4"/>
        <v>Dp</v>
      </c>
      <c r="M12" s="21" t="e">
        <f t="shared" si="5"/>
        <v>#NUM!</v>
      </c>
      <c r="N12" s="12" t="e">
        <f t="shared" si="6"/>
        <v>#VALUE!</v>
      </c>
      <c r="O12" s="12" t="b">
        <f t="shared" si="6"/>
        <v>0</v>
      </c>
      <c r="P12" s="12">
        <v>0</v>
      </c>
      <c r="Q12" s="12">
        <v>0</v>
      </c>
      <c r="R12" s="12">
        <v>0</v>
      </c>
      <c r="S12" s="106" t="e">
        <f>_xll.qlRateHelperRate(R12,Trigger)</f>
        <v>#NUM!</v>
      </c>
      <c r="T12" s="13" t="e">
        <f>_xll.qlRateHelperEarliestDate(R12,Trigger)</f>
        <v>#NUM!</v>
      </c>
      <c r="U12" s="13" t="e">
        <f ca="1">_xll.qlRateHelperLatestDate(R12,Trigger)</f>
        <v>#NAME?</v>
      </c>
      <c r="V12" s="106" t="e">
        <v>#VALUE!</v>
      </c>
    </row>
    <row r="13" spans="1:22" ht="11.25" customHeight="1" x14ac:dyDescent="0.2">
      <c r="A13" s="89" t="s">
        <v>39</v>
      </c>
      <c r="B13" s="89" t="e">
        <v>#NUM!</v>
      </c>
      <c r="C13" s="90" t="e">
        <f>IF(LEFT(B13,1)="#",(_xll.qlCalendarBusinessDaysBetween(Calendar,Settlementdate,DATE(RIGHT(LEFT(B13,5),4),LEFT(RIGHT(B13,4),2),RIGHT(B13,2)),,TRUE,Trigger)-1)&amp;"D",B13)</f>
        <v>#NUM!</v>
      </c>
      <c r="D13" s="91" t="e">
        <f t="shared" si="0"/>
        <v>#NUM!</v>
      </c>
      <c r="E13" s="92" t="e">
        <f t="shared" si="1"/>
        <v>#NUM!</v>
      </c>
      <c r="F13" s="93" t="e">
        <f t="shared" si="2"/>
        <v>#NUM!</v>
      </c>
      <c r="G13" s="94" t="s">
        <v>41</v>
      </c>
      <c r="H13" s="95" t="e">
        <v>#NUM!</v>
      </c>
      <c r="I13" s="96" t="e">
        <f>_xll.qlDepositRateHelper2(,H13,IF(RIGHT(C13,1)="N","1D",C13),D13,Calendar,E13,F13,G13,,Trigger)</f>
        <v>#VALUE!</v>
      </c>
      <c r="J13" s="91" t="b">
        <f t="shared" si="3"/>
        <v>0</v>
      </c>
      <c r="K13" s="66"/>
      <c r="L13" s="21" t="str">
        <f t="shared" si="4"/>
        <v>Dp</v>
      </c>
      <c r="M13" s="21" t="e">
        <f t="shared" si="5"/>
        <v>#NUM!</v>
      </c>
      <c r="N13" s="12" t="e">
        <f t="shared" si="6"/>
        <v>#VALUE!</v>
      </c>
      <c r="O13" s="12" t="b">
        <f t="shared" si="6"/>
        <v>0</v>
      </c>
      <c r="P13" s="12">
        <v>0</v>
      </c>
      <c r="Q13" s="12">
        <v>0</v>
      </c>
      <c r="R13" s="12">
        <v>0</v>
      </c>
      <c r="S13" s="106" t="e">
        <f>_xll.qlRateHelperRate(R13,Trigger)</f>
        <v>#NUM!</v>
      </c>
      <c r="T13" s="13" t="e">
        <f>_xll.qlRateHelperEarliestDate(R13,Trigger)</f>
        <v>#NUM!</v>
      </c>
      <c r="U13" s="13" t="e">
        <f ca="1">_xll.qlRateHelperLatestDate(R13,Trigger)</f>
        <v>#NAME?</v>
      </c>
      <c r="V13" s="106" t="e">
        <v>#VALUE!</v>
      </c>
    </row>
    <row r="14" spans="1:22" ht="11.25" customHeight="1" x14ac:dyDescent="0.2">
      <c r="A14" s="89" t="s">
        <v>39</v>
      </c>
      <c r="B14" s="89" t="e">
        <v>#NUM!</v>
      </c>
      <c r="C14" s="90" t="e">
        <f>IF(LEFT(B14,1)="#",(_xll.qlCalendarBusinessDaysBetween(Calendar,Settlementdate,DATE(RIGHT(LEFT(B14,5),4),LEFT(RIGHT(B14,4),2),RIGHT(B14,2)),,TRUE,Trigger)-1)&amp;"D",B14)</f>
        <v>#NUM!</v>
      </c>
      <c r="D14" s="91" t="e">
        <f t="shared" si="0"/>
        <v>#NUM!</v>
      </c>
      <c r="E14" s="92" t="e">
        <f t="shared" si="1"/>
        <v>#NUM!</v>
      </c>
      <c r="F14" s="93" t="e">
        <f t="shared" si="2"/>
        <v>#NUM!</v>
      </c>
      <c r="G14" s="94" t="s">
        <v>41</v>
      </c>
      <c r="H14" s="95" t="e">
        <v>#NUM!</v>
      </c>
      <c r="I14" s="96" t="e">
        <f>_xll.qlDepositRateHelper2(,H14,IF(RIGHT(C14,1)="N","1D",C14),D14,Calendar,E14,F14,G14,,Trigger)</f>
        <v>#VALUE!</v>
      </c>
      <c r="J14" s="91" t="b">
        <f t="shared" si="3"/>
        <v>0</v>
      </c>
      <c r="K14" s="66"/>
      <c r="L14" s="21" t="str">
        <f t="shared" si="4"/>
        <v>Dp</v>
      </c>
      <c r="M14" s="21" t="e">
        <f t="shared" si="5"/>
        <v>#NUM!</v>
      </c>
      <c r="N14" s="12" t="e">
        <f t="shared" si="6"/>
        <v>#VALUE!</v>
      </c>
      <c r="O14" s="12" t="b">
        <f t="shared" si="6"/>
        <v>0</v>
      </c>
      <c r="P14" s="12">
        <v>0</v>
      </c>
      <c r="Q14" s="12">
        <v>0</v>
      </c>
      <c r="R14" s="12">
        <v>0</v>
      </c>
      <c r="S14" s="106" t="e">
        <f>_xll.qlRateHelperRate(R14,Trigger)</f>
        <v>#NUM!</v>
      </c>
      <c r="T14" s="13" t="e">
        <f>_xll.qlRateHelperEarliestDate(R14,Trigger)</f>
        <v>#NUM!</v>
      </c>
      <c r="U14" s="13" t="e">
        <f ca="1">_xll.qlRateHelperLatestDate(R14,Trigger)</f>
        <v>#NAME?</v>
      </c>
      <c r="V14" s="106" t="e">
        <v>#VALUE!</v>
      </c>
    </row>
    <row r="15" spans="1:22" ht="11.25" customHeight="1" x14ac:dyDescent="0.2">
      <c r="A15" s="89" t="s">
        <v>39</v>
      </c>
      <c r="B15" s="89" t="e">
        <v>#NUM!</v>
      </c>
      <c r="C15" s="90" t="e">
        <f>IF(LEFT(B15,1)="#",(_xll.qlCalendarBusinessDaysBetween(Calendar,Settlementdate,DATE(RIGHT(LEFT(B15,5),4),LEFT(RIGHT(B15,4),2),RIGHT(B15,2)),,TRUE,Trigger)-1)&amp;"D",B15)</f>
        <v>#NUM!</v>
      </c>
      <c r="D15" s="91" t="e">
        <f t="shared" si="0"/>
        <v>#NUM!</v>
      </c>
      <c r="E15" s="92" t="e">
        <f t="shared" si="1"/>
        <v>#NUM!</v>
      </c>
      <c r="F15" s="93" t="e">
        <f t="shared" si="2"/>
        <v>#NUM!</v>
      </c>
      <c r="G15" s="94" t="s">
        <v>41</v>
      </c>
      <c r="H15" s="95" t="e">
        <v>#NUM!</v>
      </c>
      <c r="I15" s="96" t="e">
        <f>_xll.qlDepositRateHelper2(,H15,IF(RIGHT(C15,1)="N","1D",C15),D15,Calendar,E15,F15,G15,,Trigger)</f>
        <v>#VALUE!</v>
      </c>
      <c r="J15" s="91" t="b">
        <f t="shared" si="3"/>
        <v>0</v>
      </c>
      <c r="K15" s="66"/>
      <c r="L15" s="21" t="str">
        <f t="shared" si="4"/>
        <v>Dp</v>
      </c>
      <c r="M15" s="21" t="e">
        <f t="shared" si="5"/>
        <v>#NUM!</v>
      </c>
      <c r="N15" s="12" t="e">
        <f t="shared" si="6"/>
        <v>#VALUE!</v>
      </c>
      <c r="O15" s="12" t="b">
        <f t="shared" si="6"/>
        <v>0</v>
      </c>
      <c r="P15" s="12">
        <v>0</v>
      </c>
      <c r="Q15" s="12">
        <v>0</v>
      </c>
      <c r="R15" s="12">
        <v>0</v>
      </c>
      <c r="S15" s="106" t="e">
        <f>_xll.qlRateHelperRate(R15,Trigger)</f>
        <v>#NUM!</v>
      </c>
      <c r="T15" s="13" t="e">
        <f>_xll.qlRateHelperEarliestDate(R15,Trigger)</f>
        <v>#NUM!</v>
      </c>
      <c r="U15" s="13" t="e">
        <f ca="1">_xll.qlRateHelperLatestDate(R15,Trigger)</f>
        <v>#NAME?</v>
      </c>
      <c r="V15" s="106" t="e">
        <v>#VALUE!</v>
      </c>
    </row>
    <row r="16" spans="1:22" ht="11.25" customHeight="1" x14ac:dyDescent="0.2">
      <c r="A16" s="89" t="s">
        <v>39</v>
      </c>
      <c r="B16" s="89" t="e">
        <v>#NUM!</v>
      </c>
      <c r="C16" s="90" t="e">
        <f>IF(LEFT(B16,1)="#",(_xll.qlCalendarBusinessDaysBetween(Calendar,Settlementdate,DATE(RIGHT(LEFT(B16,5),4),LEFT(RIGHT(B16,4),2),RIGHT(B16,2)),,TRUE,Trigger)-1)&amp;"D",B16)</f>
        <v>#NUM!</v>
      </c>
      <c r="D16" s="91" t="e">
        <f t="shared" si="0"/>
        <v>#NUM!</v>
      </c>
      <c r="E16" s="92" t="e">
        <f t="shared" si="1"/>
        <v>#NUM!</v>
      </c>
      <c r="F16" s="93" t="e">
        <f t="shared" si="2"/>
        <v>#NUM!</v>
      </c>
      <c r="G16" s="94" t="s">
        <v>41</v>
      </c>
      <c r="H16" s="95" t="e">
        <v>#NUM!</v>
      </c>
      <c r="I16" s="96" t="e">
        <f>_xll.qlDepositRateHelper2(,H16,IF(RIGHT(C16,1)="N","1D",C16),D16,Calendar,E16,F16,G16,,Trigger)</f>
        <v>#VALUE!</v>
      </c>
      <c r="J16" s="91" t="b">
        <f t="shared" si="3"/>
        <v>0</v>
      </c>
      <c r="K16" s="66"/>
      <c r="L16" s="21" t="str">
        <f t="shared" si="4"/>
        <v>Dp</v>
      </c>
      <c r="M16" s="21" t="e">
        <f t="shared" si="5"/>
        <v>#NUM!</v>
      </c>
      <c r="N16" s="12" t="e">
        <f t="shared" si="6"/>
        <v>#VALUE!</v>
      </c>
      <c r="O16" s="12" t="b">
        <f t="shared" si="6"/>
        <v>0</v>
      </c>
      <c r="P16" s="12">
        <v>0</v>
      </c>
      <c r="Q16" s="12">
        <v>0</v>
      </c>
      <c r="R16" s="12">
        <v>0</v>
      </c>
      <c r="S16" s="106" t="e">
        <f>_xll.qlRateHelperRate(R16,Trigger)</f>
        <v>#NUM!</v>
      </c>
      <c r="T16" s="13" t="e">
        <f>_xll.qlRateHelperEarliestDate(R16,Trigger)</f>
        <v>#NUM!</v>
      </c>
      <c r="U16" s="13" t="e">
        <f ca="1">_xll.qlRateHelperLatestDate(R16,Trigger)</f>
        <v>#NAME?</v>
      </c>
      <c r="V16" s="106" t="e">
        <v>#VALUE!</v>
      </c>
    </row>
    <row r="17" spans="1:22" ht="11.25" customHeight="1" x14ac:dyDescent="0.2">
      <c r="A17" s="89" t="s">
        <v>39</v>
      </c>
      <c r="B17" s="89" t="e">
        <v>#NUM!</v>
      </c>
      <c r="C17" s="90" t="e">
        <f>IF(LEFT(B17,1)="#",(_xll.qlCalendarBusinessDaysBetween(Calendar,Settlementdate,DATE(RIGHT(LEFT(B17,5),4),LEFT(RIGHT(B17,4),2),RIGHT(B17,2)),,TRUE,Trigger)-1)&amp;"D",B17)</f>
        <v>#NUM!</v>
      </c>
      <c r="D17" s="91" t="e">
        <f t="shared" si="0"/>
        <v>#NUM!</v>
      </c>
      <c r="E17" s="92" t="e">
        <f t="shared" si="1"/>
        <v>#NUM!</v>
      </c>
      <c r="F17" s="93" t="e">
        <f t="shared" si="2"/>
        <v>#NUM!</v>
      </c>
      <c r="G17" s="94" t="s">
        <v>41</v>
      </c>
      <c r="H17" s="95" t="e">
        <v>#NUM!</v>
      </c>
      <c r="I17" s="96" t="e">
        <f>_xll.qlDepositRateHelper2(,H17,IF(RIGHT(C17,1)="N","1D",C17),D17,Calendar,E17,F17,G17,,Trigger)</f>
        <v>#VALUE!</v>
      </c>
      <c r="J17" s="91" t="b">
        <f t="shared" si="3"/>
        <v>0</v>
      </c>
      <c r="K17" s="66"/>
      <c r="L17" s="21" t="str">
        <f t="shared" si="4"/>
        <v>Dp</v>
      </c>
      <c r="M17" s="21" t="e">
        <f t="shared" si="5"/>
        <v>#NUM!</v>
      </c>
      <c r="N17" s="12" t="e">
        <f t="shared" si="6"/>
        <v>#VALUE!</v>
      </c>
      <c r="O17" s="12" t="b">
        <f t="shared" si="6"/>
        <v>0</v>
      </c>
      <c r="P17" s="12">
        <v>0</v>
      </c>
      <c r="Q17" s="12">
        <v>0</v>
      </c>
      <c r="R17" s="12">
        <v>0</v>
      </c>
      <c r="S17" s="106" t="e">
        <f>_xll.qlRateHelperRate(R17,Trigger)</f>
        <v>#NUM!</v>
      </c>
      <c r="T17" s="13" t="e">
        <f>_xll.qlRateHelperEarliestDate(R17,Trigger)</f>
        <v>#NUM!</v>
      </c>
      <c r="U17" s="13" t="e">
        <f ca="1">_xll.qlRateHelperLatestDate(R17,Trigger)</f>
        <v>#NAME?</v>
      </c>
      <c r="V17" s="106" t="e">
        <v>#VALUE!</v>
      </c>
    </row>
    <row r="18" spans="1:22" ht="11.25" customHeight="1" x14ac:dyDescent="0.2">
      <c r="A18" s="3" t="s">
        <v>39</v>
      </c>
      <c r="B18" s="3" t="e">
        <v>#NUM!</v>
      </c>
      <c r="C18" s="18" t="e">
        <f>IF(LEFT(B18,1)="#",(_xll.qlCalendarBusinessDaysBetween(Calendar,Settlementdate,DATE(RIGHT(LEFT(B18,5),4),LEFT(RIGHT(B18,4),2),RIGHT(B18,2)),,TRUE,Trigger)-1)&amp;"D",B18)</f>
        <v>#NUM!</v>
      </c>
      <c r="D18" s="16" t="e">
        <f t="shared" si="0"/>
        <v>#NUM!</v>
      </c>
      <c r="E18" s="17" t="e">
        <f t="shared" si="1"/>
        <v>#NUM!</v>
      </c>
      <c r="F18" s="19" t="e">
        <f t="shared" si="2"/>
        <v>#NUM!</v>
      </c>
      <c r="G18" s="4" t="s">
        <v>41</v>
      </c>
      <c r="H18" s="5" t="e">
        <v>#NUM!</v>
      </c>
      <c r="I18" s="6" t="e">
        <f>_xll.qlDepositRateHelper2(,H18,IF(RIGHT(C18,1)="N","1D",C18),D18,Calendar,E18,F18,G18,,Trigger)</f>
        <v>#VALUE!</v>
      </c>
      <c r="J18" s="16" t="b">
        <f t="shared" si="3"/>
        <v>0</v>
      </c>
      <c r="K18" s="66"/>
      <c r="L18" s="22" t="str">
        <f t="shared" si="4"/>
        <v>Dp</v>
      </c>
      <c r="M18" s="22" t="e">
        <f t="shared" si="5"/>
        <v>#NUM!</v>
      </c>
      <c r="N18" s="14" t="e">
        <f t="shared" si="6"/>
        <v>#VALUE!</v>
      </c>
      <c r="O18" s="14" t="b">
        <f t="shared" si="6"/>
        <v>0</v>
      </c>
      <c r="P18" s="12">
        <v>0</v>
      </c>
      <c r="Q18" s="12">
        <v>0</v>
      </c>
      <c r="R18" s="12">
        <v>0</v>
      </c>
      <c r="S18" s="106" t="e">
        <f>_xll.qlRateHelperRate(R18,Trigger)</f>
        <v>#NUM!</v>
      </c>
      <c r="T18" s="13" t="e">
        <f>_xll.qlRateHelperEarliestDate(R18,Trigger)</f>
        <v>#NUM!</v>
      </c>
      <c r="U18" s="13" t="e">
        <f ca="1">_xll.qlRateHelperLatestDate(R18,Trigger)</f>
        <v>#NAME?</v>
      </c>
      <c r="V18" s="106" t="e">
        <v>#VALUE!</v>
      </c>
    </row>
    <row r="19" spans="1:22" ht="11.25" customHeight="1" x14ac:dyDescent="0.2">
      <c r="C19" s="64"/>
      <c r="D19" s="64"/>
      <c r="E19" s="64"/>
      <c r="F19" s="64" t="str">
        <f>_xll.qlEuribor(,"3M",,,Trigger)</f>
        <v>obj_00395#0010</v>
      </c>
      <c r="K19" s="66"/>
      <c r="L19" s="21" t="str">
        <f>A21</f>
        <v>Sf</v>
      </c>
      <c r="M19" s="21" t="e">
        <f>D21</f>
        <v>#NUM!</v>
      </c>
      <c r="N19" s="21" t="e">
        <f>I21</f>
        <v>#NUM!</v>
      </c>
      <c r="O19" s="12" t="b">
        <f>J21</f>
        <v>0</v>
      </c>
      <c r="P19" s="12">
        <v>0</v>
      </c>
      <c r="Q19" s="12">
        <v>0</v>
      </c>
      <c r="R19" s="12">
        <v>0</v>
      </c>
      <c r="S19" s="106" t="e">
        <f>_xll.qlRateHelperRate(R19,Trigger)</f>
        <v>#NUM!</v>
      </c>
      <c r="T19" s="13" t="e">
        <f>_xll.qlRateHelperEarliestDate(R19,Trigger)</f>
        <v>#NUM!</v>
      </c>
      <c r="U19" s="13" t="e">
        <f ca="1">_xll.qlRateHelperLatestDate(R19,Trigger)</f>
        <v>#NAME?</v>
      </c>
      <c r="V19" s="106" t="e">
        <v>#VALUE!</v>
      </c>
    </row>
    <row r="20" spans="1:22" ht="11.25" customHeight="1" x14ac:dyDescent="0.2">
      <c r="A20" s="97" t="s">
        <v>18</v>
      </c>
      <c r="B20" s="97" t="s">
        <v>32</v>
      </c>
      <c r="C20" s="97" t="s">
        <v>32</v>
      </c>
      <c r="D20" s="97" t="s">
        <v>8</v>
      </c>
      <c r="E20" s="97" t="s">
        <v>13</v>
      </c>
      <c r="F20" s="97" t="s">
        <v>9</v>
      </c>
      <c r="G20" s="97" t="s">
        <v>5</v>
      </c>
      <c r="H20" s="97" t="s">
        <v>10</v>
      </c>
      <c r="I20" s="97" t="s">
        <v>36</v>
      </c>
      <c r="J20" s="97" t="s">
        <v>40</v>
      </c>
      <c r="K20" s="66"/>
      <c r="L20" s="21" t="str">
        <f t="shared" ref="L20:L26" si="7">A22</f>
        <v>Sf</v>
      </c>
      <c r="M20" s="21" t="e">
        <f t="shared" ref="M20:M26" si="8">D22</f>
        <v>#NUM!</v>
      </c>
      <c r="N20" s="21" t="e">
        <f t="shared" ref="N20:O26" si="9">I22</f>
        <v>#NUM!</v>
      </c>
      <c r="O20" s="12" t="b">
        <f t="shared" si="9"/>
        <v>0</v>
      </c>
      <c r="P20" s="12">
        <v>0</v>
      </c>
      <c r="Q20" s="12">
        <v>0</v>
      </c>
      <c r="R20" s="12">
        <v>0</v>
      </c>
      <c r="S20" s="106" t="e">
        <f>_xll.qlRateHelperRate(R20,Trigger)</f>
        <v>#NUM!</v>
      </c>
      <c r="T20" s="13" t="e">
        <f>_xll.qlRateHelperEarliestDate(R20,Trigger)</f>
        <v>#NUM!</v>
      </c>
      <c r="U20" s="13" t="e">
        <f ca="1">_xll.qlRateHelperLatestDate(R20,Trigger)</f>
        <v>#NAME?</v>
      </c>
      <c r="V20" s="106" t="e">
        <v>#VALUE!</v>
      </c>
    </row>
    <row r="21" spans="1:22" ht="11.25" customHeight="1" x14ac:dyDescent="0.2">
      <c r="A21" s="109" t="s">
        <v>37</v>
      </c>
      <c r="B21" s="110" t="e">
        <f t="shared" ref="B21:B28" si="10">DATE(2000+RIGHT(C21,2),RIGHT(LEFT(C21,5),2),LEFT(C21,2))</f>
        <v>#NUM!</v>
      </c>
      <c r="C21" s="137" t="e">
        <f t="array" ref="C21:C28">_xll.ohFilter(#REF!,#REF!="Sf")</f>
        <v>#NUM!</v>
      </c>
      <c r="D21" s="111" t="e">
        <f>_xll.qlIMMcode(C21)</f>
        <v>#NUM!</v>
      </c>
      <c r="E21" s="84" t="s">
        <v>15</v>
      </c>
      <c r="F21" s="140" t="str">
        <f>$F$19</f>
        <v>obj_00395#0010</v>
      </c>
      <c r="G21" s="113" t="e">
        <f t="array" ref="G21:G28">_xll.ohFilter(#REF!,#REF!="Sf")</f>
        <v>#NUM!</v>
      </c>
      <c r="H21" s="114">
        <v>0</v>
      </c>
      <c r="I21" s="115" t="e">
        <f>_xll.qlFuturesRateHelper(,$G21,"IMM",$D21,$F21,$H21,Permanent,Trigger,ObjectOverwrite)</f>
        <v>#NUM!</v>
      </c>
      <c r="J21" s="83" t="b">
        <f>IF(ISNUMBER(G21),TRUE,FALSE)</f>
        <v>0</v>
      </c>
      <c r="K21" s="66"/>
      <c r="L21" s="21" t="str">
        <f t="shared" si="7"/>
        <v>Sf</v>
      </c>
      <c r="M21" s="21" t="e">
        <f t="shared" si="8"/>
        <v>#NUM!</v>
      </c>
      <c r="N21" s="21" t="e">
        <f t="shared" si="9"/>
        <v>#NUM!</v>
      </c>
      <c r="O21" s="12" t="b">
        <f t="shared" si="9"/>
        <v>0</v>
      </c>
      <c r="P21" s="12">
        <v>0</v>
      </c>
      <c r="Q21" s="12">
        <v>0</v>
      </c>
      <c r="R21" s="12">
        <v>0</v>
      </c>
      <c r="S21" s="106" t="e">
        <f>_xll.qlRateHelperRate(R21,Trigger)</f>
        <v>#NUM!</v>
      </c>
      <c r="T21" s="13" t="e">
        <f>_xll.qlRateHelperEarliestDate(R21,Trigger)</f>
        <v>#NUM!</v>
      </c>
      <c r="U21" s="13" t="e">
        <f ca="1">_xll.qlRateHelperLatestDate(R21,Trigger)</f>
        <v>#NAME?</v>
      </c>
      <c r="V21" s="106" t="e">
        <v>#VALUE!</v>
      </c>
    </row>
    <row r="22" spans="1:22" ht="11.25" customHeight="1" x14ac:dyDescent="0.2">
      <c r="A22" s="116" t="s">
        <v>37</v>
      </c>
      <c r="B22" s="117" t="e">
        <f t="shared" si="10"/>
        <v>#NUM!</v>
      </c>
      <c r="C22" s="138" t="e">
        <v>#NUM!</v>
      </c>
      <c r="D22" s="118" t="e">
        <f>_xll.qlIMMcode(C22)</f>
        <v>#NUM!</v>
      </c>
      <c r="E22" s="92" t="s">
        <v>15</v>
      </c>
      <c r="F22" s="141" t="str">
        <f t="shared" ref="F22:F28" si="11">$F$19</f>
        <v>obj_00395#0010</v>
      </c>
      <c r="G22" s="120" t="e">
        <v>#NUM!</v>
      </c>
      <c r="H22" s="121">
        <v>0</v>
      </c>
      <c r="I22" s="122" t="e">
        <f>_xll.qlFuturesRateHelper(,$G22,"IMM",$D22,$F22,$H22,Permanent,Trigger,ObjectOverwrite)</f>
        <v>#NUM!</v>
      </c>
      <c r="J22" s="91" t="b">
        <f t="shared" ref="J22:J28" si="12">IF(ISNUMBER(G22),TRUE,FALSE)</f>
        <v>0</v>
      </c>
      <c r="K22" s="66"/>
      <c r="L22" s="21" t="str">
        <f t="shared" si="7"/>
        <v>Sf</v>
      </c>
      <c r="M22" s="21" t="e">
        <f t="shared" si="8"/>
        <v>#NUM!</v>
      </c>
      <c r="N22" s="21" t="e">
        <f t="shared" si="9"/>
        <v>#NUM!</v>
      </c>
      <c r="O22" s="12" t="b">
        <f t="shared" si="9"/>
        <v>0</v>
      </c>
      <c r="P22" s="12">
        <v>0</v>
      </c>
      <c r="Q22" s="12">
        <v>0</v>
      </c>
      <c r="R22" s="12">
        <v>0</v>
      </c>
      <c r="S22" s="106" t="e">
        <f>_xll.qlRateHelperRate(R22,Trigger)</f>
        <v>#NUM!</v>
      </c>
      <c r="T22" s="13" t="e">
        <f>_xll.qlRateHelperEarliestDate(R22,Trigger)</f>
        <v>#NUM!</v>
      </c>
      <c r="U22" s="13" t="e">
        <f ca="1">_xll.qlRateHelperLatestDate(R22,Trigger)</f>
        <v>#NAME?</v>
      </c>
      <c r="V22" s="106" t="e">
        <v>#VALUE!</v>
      </c>
    </row>
    <row r="23" spans="1:22" ht="11.25" customHeight="1" x14ac:dyDescent="0.2">
      <c r="A23" s="116" t="s">
        <v>37</v>
      </c>
      <c r="B23" s="117" t="e">
        <f t="shared" si="10"/>
        <v>#NUM!</v>
      </c>
      <c r="C23" s="138" t="e">
        <v>#NUM!</v>
      </c>
      <c r="D23" s="118" t="e">
        <f>_xll.qlIMMcode(C23)</f>
        <v>#NUM!</v>
      </c>
      <c r="E23" s="92" t="s">
        <v>15</v>
      </c>
      <c r="F23" s="141" t="str">
        <f t="shared" si="11"/>
        <v>obj_00395#0010</v>
      </c>
      <c r="G23" s="120" t="e">
        <v>#NUM!</v>
      </c>
      <c r="H23" s="121">
        <v>0</v>
      </c>
      <c r="I23" s="122" t="e">
        <f>_xll.qlFuturesRateHelper(,$G23,"IMM",$D23,$F23,$H23,Permanent,Trigger,ObjectOverwrite)</f>
        <v>#NUM!</v>
      </c>
      <c r="J23" s="91" t="b">
        <f t="shared" si="12"/>
        <v>0</v>
      </c>
      <c r="K23" s="66"/>
      <c r="L23" s="21" t="str">
        <f t="shared" si="7"/>
        <v>Sf</v>
      </c>
      <c r="M23" s="21" t="e">
        <f t="shared" si="8"/>
        <v>#NUM!</v>
      </c>
      <c r="N23" s="21" t="e">
        <f t="shared" si="9"/>
        <v>#NUM!</v>
      </c>
      <c r="O23" s="12" t="b">
        <f t="shared" si="9"/>
        <v>0</v>
      </c>
      <c r="P23" s="12">
        <v>0</v>
      </c>
      <c r="Q23" s="12">
        <v>0</v>
      </c>
      <c r="R23" s="12">
        <v>0</v>
      </c>
      <c r="S23" s="106" t="e">
        <f>_xll.qlRateHelperRate(R23,Trigger)</f>
        <v>#NUM!</v>
      </c>
      <c r="T23" s="13" t="e">
        <f>_xll.qlRateHelperEarliestDate(R23,Trigger)</f>
        <v>#NUM!</v>
      </c>
      <c r="U23" s="13" t="e">
        <f ca="1">_xll.qlRateHelperLatestDate(R23,Trigger)</f>
        <v>#NAME?</v>
      </c>
      <c r="V23" s="106" t="e">
        <v>#VALUE!</v>
      </c>
    </row>
    <row r="24" spans="1:22" ht="11.25" customHeight="1" x14ac:dyDescent="0.2">
      <c r="A24" s="116" t="s">
        <v>37</v>
      </c>
      <c r="B24" s="117" t="e">
        <f t="shared" si="10"/>
        <v>#NUM!</v>
      </c>
      <c r="C24" s="138" t="e">
        <v>#NUM!</v>
      </c>
      <c r="D24" s="118" t="e">
        <f>_xll.qlIMMcode(C24)</f>
        <v>#NUM!</v>
      </c>
      <c r="E24" s="92" t="s">
        <v>15</v>
      </c>
      <c r="F24" s="141" t="str">
        <f t="shared" si="11"/>
        <v>obj_00395#0010</v>
      </c>
      <c r="G24" s="120" t="e">
        <v>#NUM!</v>
      </c>
      <c r="H24" s="121">
        <v>0</v>
      </c>
      <c r="I24" s="122" t="e">
        <f>_xll.qlFuturesRateHelper(,$G24,"IMM",$D24,$F24,$H24,Permanent,Trigger,ObjectOverwrite)</f>
        <v>#NUM!</v>
      </c>
      <c r="J24" s="91" t="b">
        <f t="shared" si="12"/>
        <v>0</v>
      </c>
      <c r="K24" s="66"/>
      <c r="L24" s="21" t="str">
        <f t="shared" si="7"/>
        <v>Sf</v>
      </c>
      <c r="M24" s="21" t="e">
        <f t="shared" si="8"/>
        <v>#NUM!</v>
      </c>
      <c r="N24" s="21" t="e">
        <f t="shared" si="9"/>
        <v>#NUM!</v>
      </c>
      <c r="O24" s="12" t="b">
        <f t="shared" si="9"/>
        <v>0</v>
      </c>
      <c r="P24" s="12">
        <v>0</v>
      </c>
      <c r="Q24" s="12">
        <v>0</v>
      </c>
      <c r="R24" s="12">
        <v>0</v>
      </c>
      <c r="S24" s="106" t="e">
        <f>_xll.qlRateHelperRate(R24,Trigger)</f>
        <v>#NUM!</v>
      </c>
      <c r="T24" s="13" t="e">
        <f>_xll.qlRateHelperEarliestDate(R24,Trigger)</f>
        <v>#NUM!</v>
      </c>
      <c r="U24" s="13" t="e">
        <f ca="1">_xll.qlRateHelperLatestDate(R24,Trigger)</f>
        <v>#NAME?</v>
      </c>
      <c r="V24" s="106" t="e">
        <v>#VALUE!</v>
      </c>
    </row>
    <row r="25" spans="1:22" ht="11.25" customHeight="1" x14ac:dyDescent="0.2">
      <c r="A25" s="116" t="s">
        <v>37</v>
      </c>
      <c r="B25" s="117" t="e">
        <f t="shared" si="10"/>
        <v>#NUM!</v>
      </c>
      <c r="C25" s="138" t="e">
        <v>#NUM!</v>
      </c>
      <c r="D25" s="118" t="e">
        <f>_xll.qlIMMcode(C25)</f>
        <v>#NUM!</v>
      </c>
      <c r="E25" s="92" t="s">
        <v>15</v>
      </c>
      <c r="F25" s="141" t="str">
        <f t="shared" si="11"/>
        <v>obj_00395#0010</v>
      </c>
      <c r="G25" s="120" t="e">
        <v>#NUM!</v>
      </c>
      <c r="H25" s="121">
        <v>0</v>
      </c>
      <c r="I25" s="122" t="e">
        <f>_xll.qlFuturesRateHelper(,$G25,"IMM",$D25,$F25,$H25,Permanent,Trigger,ObjectOverwrite)</f>
        <v>#NUM!</v>
      </c>
      <c r="J25" s="91" t="b">
        <f t="shared" si="12"/>
        <v>0</v>
      </c>
      <c r="K25" s="66"/>
      <c r="L25" s="21" t="str">
        <f t="shared" si="7"/>
        <v>Sf</v>
      </c>
      <c r="M25" s="21" t="e">
        <f t="shared" si="8"/>
        <v>#NUM!</v>
      </c>
      <c r="N25" s="21" t="e">
        <f t="shared" si="9"/>
        <v>#NUM!</v>
      </c>
      <c r="O25" s="12" t="b">
        <f t="shared" si="9"/>
        <v>0</v>
      </c>
      <c r="P25" s="12">
        <v>0</v>
      </c>
      <c r="Q25" s="12">
        <v>0</v>
      </c>
      <c r="R25" s="12">
        <v>0</v>
      </c>
      <c r="S25" s="106" t="e">
        <f>_xll.qlRateHelperRate(R25,Trigger)</f>
        <v>#NUM!</v>
      </c>
      <c r="T25" s="13" t="e">
        <f>_xll.qlRateHelperEarliestDate(R25,Trigger)</f>
        <v>#NUM!</v>
      </c>
      <c r="U25" s="13" t="e">
        <f ca="1">_xll.qlRateHelperLatestDate(R25,Trigger)</f>
        <v>#NAME?</v>
      </c>
      <c r="V25" s="106" t="e">
        <v>#VALUE!</v>
      </c>
    </row>
    <row r="26" spans="1:22" ht="11.25" customHeight="1" x14ac:dyDescent="0.2">
      <c r="A26" s="116" t="s">
        <v>37</v>
      </c>
      <c r="B26" s="117" t="e">
        <f t="shared" si="10"/>
        <v>#NUM!</v>
      </c>
      <c r="C26" s="138" t="e">
        <v>#NUM!</v>
      </c>
      <c r="D26" s="118" t="e">
        <f>_xll.qlIMMcode(C26)</f>
        <v>#NUM!</v>
      </c>
      <c r="E26" s="92" t="s">
        <v>15</v>
      </c>
      <c r="F26" s="141" t="str">
        <f t="shared" si="11"/>
        <v>obj_00395#0010</v>
      </c>
      <c r="G26" s="120" t="e">
        <v>#NUM!</v>
      </c>
      <c r="H26" s="121">
        <v>0</v>
      </c>
      <c r="I26" s="122" t="e">
        <f>_xll.qlFuturesRateHelper(,$G26,"IMM",$D26,$F26,$H26,Permanent,Trigger,ObjectOverwrite)</f>
        <v>#NUM!</v>
      </c>
      <c r="J26" s="91" t="b">
        <f t="shared" si="12"/>
        <v>0</v>
      </c>
      <c r="K26" s="66"/>
      <c r="L26" s="22" t="str">
        <f t="shared" si="7"/>
        <v>Sf</v>
      </c>
      <c r="M26" s="22" t="e">
        <f t="shared" si="8"/>
        <v>#NUM!</v>
      </c>
      <c r="N26" s="22" t="e">
        <f t="shared" si="9"/>
        <v>#NUM!</v>
      </c>
      <c r="O26" s="14" t="b">
        <f t="shared" si="9"/>
        <v>0</v>
      </c>
      <c r="P26" s="12">
        <v>0</v>
      </c>
      <c r="Q26" s="12">
        <v>0</v>
      </c>
      <c r="R26" s="12">
        <v>0</v>
      </c>
      <c r="S26" s="106" t="e">
        <f>_xll.qlRateHelperRate(R26,Trigger)</f>
        <v>#NUM!</v>
      </c>
      <c r="T26" s="13" t="e">
        <f>_xll.qlRateHelperEarliestDate(R26,Trigger)</f>
        <v>#NUM!</v>
      </c>
      <c r="U26" s="13" t="e">
        <f ca="1">_xll.qlRateHelperLatestDate(R26,Trigger)</f>
        <v>#NAME?</v>
      </c>
      <c r="V26" s="106" t="e">
        <v>#VALUE!</v>
      </c>
    </row>
    <row r="27" spans="1:22" ht="11.25" customHeight="1" x14ac:dyDescent="0.2">
      <c r="A27" s="116" t="s">
        <v>37</v>
      </c>
      <c r="B27" s="117" t="e">
        <f t="shared" si="10"/>
        <v>#NUM!</v>
      </c>
      <c r="C27" s="138" t="e">
        <v>#NUM!</v>
      </c>
      <c r="D27" s="118" t="e">
        <f>_xll.qlIMMcode(C27)</f>
        <v>#NUM!</v>
      </c>
      <c r="E27" s="92" t="s">
        <v>15</v>
      </c>
      <c r="F27" s="141" t="str">
        <f t="shared" si="11"/>
        <v>obj_00395#0010</v>
      </c>
      <c r="G27" s="120" t="e">
        <v>#NUM!</v>
      </c>
      <c r="H27" s="121">
        <v>0</v>
      </c>
      <c r="I27" s="122" t="e">
        <f>_xll.qlFuturesRateHelper(,$G27,"IMM",$D27,$F27,$H27,Permanent,Trigger,ObjectOverwrite)</f>
        <v>#NUM!</v>
      </c>
      <c r="J27" s="91" t="b">
        <f t="shared" si="12"/>
        <v>0</v>
      </c>
      <c r="K27" s="66"/>
      <c r="L27" s="21" t="str">
        <f>A32</f>
        <v>Sw</v>
      </c>
      <c r="M27" s="21" t="e">
        <f>D32</f>
        <v>#NUM!</v>
      </c>
      <c r="N27" s="21" t="e">
        <f>I32</f>
        <v>#VALUE!</v>
      </c>
      <c r="O27" s="21" t="b">
        <f>J32</f>
        <v>0</v>
      </c>
      <c r="P27" s="12">
        <v>0</v>
      </c>
      <c r="Q27" s="12">
        <v>0</v>
      </c>
      <c r="R27" s="12">
        <v>0</v>
      </c>
      <c r="S27" s="106" t="e">
        <f>_xll.qlRateHelperRate(R27,Trigger)</f>
        <v>#NUM!</v>
      </c>
      <c r="T27" s="13" t="e">
        <f>_xll.qlRateHelperEarliestDate(R27,Trigger)</f>
        <v>#NUM!</v>
      </c>
      <c r="U27" s="13" t="e">
        <f ca="1">_xll.qlRateHelperLatestDate(R27,Trigger)</f>
        <v>#NAME?</v>
      </c>
      <c r="V27" s="106" t="e">
        <v>#VALUE!</v>
      </c>
    </row>
    <row r="28" spans="1:22" ht="11.25" customHeight="1" x14ac:dyDescent="0.2">
      <c r="A28" s="20" t="s">
        <v>37</v>
      </c>
      <c r="B28" s="8" t="e">
        <f t="shared" si="10"/>
        <v>#NUM!</v>
      </c>
      <c r="C28" s="139" t="e">
        <v>#NUM!</v>
      </c>
      <c r="D28" s="7" t="e">
        <f>_xll.qlIMMcode(C28)</f>
        <v>#NUM!</v>
      </c>
      <c r="E28" s="17" t="s">
        <v>15</v>
      </c>
      <c r="F28" s="23" t="str">
        <f t="shared" si="11"/>
        <v>obj_00395#0010</v>
      </c>
      <c r="G28" s="15" t="e">
        <v>#NUM!</v>
      </c>
      <c r="H28" s="9">
        <v>0</v>
      </c>
      <c r="I28" s="10" t="e">
        <f>_xll.qlFuturesRateHelper(,$G28,"IMM",$D28,$F28,$H28,Permanent,Trigger,ObjectOverwrite)</f>
        <v>#NUM!</v>
      </c>
      <c r="J28" s="16" t="b">
        <f t="shared" si="12"/>
        <v>0</v>
      </c>
      <c r="K28" s="66"/>
      <c r="L28" s="21" t="str">
        <f t="shared" ref="L28:L71" si="13">A33</f>
        <v>Sw</v>
      </c>
      <c r="M28" s="21" t="e">
        <f t="shared" ref="M28:M71" si="14">D33</f>
        <v>#NUM!</v>
      </c>
      <c r="N28" s="21" t="e">
        <f t="shared" ref="N28:O43" si="15">I33</f>
        <v>#VALUE!</v>
      </c>
      <c r="O28" s="21" t="b">
        <f t="shared" si="15"/>
        <v>0</v>
      </c>
      <c r="P28" s="12">
        <v>0</v>
      </c>
      <c r="Q28" s="12">
        <v>0</v>
      </c>
      <c r="R28" s="12">
        <v>0</v>
      </c>
      <c r="S28" s="106" t="e">
        <f>_xll.qlRateHelperRate(R28,Trigger)</f>
        <v>#NUM!</v>
      </c>
      <c r="T28" s="13" t="e">
        <f>_xll.qlRateHelperEarliestDate(R28,Trigger)</f>
        <v>#NUM!</v>
      </c>
      <c r="U28" s="13" t="e">
        <f ca="1">_xll.qlRateHelperLatestDate(R28,Trigger)</f>
        <v>#NAME?</v>
      </c>
      <c r="V28" s="106" t="e">
        <v>#VALUE!</v>
      </c>
    </row>
    <row r="29" spans="1:22" ht="11.25" customHeight="1" x14ac:dyDescent="0.2">
      <c r="K29" s="66"/>
      <c r="L29" s="21" t="str">
        <f t="shared" si="13"/>
        <v>Sw</v>
      </c>
      <c r="M29" s="21" t="e">
        <f t="shared" si="14"/>
        <v>#NUM!</v>
      </c>
      <c r="N29" s="21" t="e">
        <f t="shared" si="15"/>
        <v>#VALUE!</v>
      </c>
      <c r="O29" s="21" t="b">
        <f t="shared" si="15"/>
        <v>0</v>
      </c>
      <c r="P29" s="12">
        <v>0</v>
      </c>
      <c r="Q29" s="12">
        <v>0</v>
      </c>
      <c r="R29" s="12">
        <v>0</v>
      </c>
      <c r="S29" s="106" t="e">
        <f>_xll.qlRateHelperRate(R29,Trigger)</f>
        <v>#NUM!</v>
      </c>
      <c r="T29" s="13" t="e">
        <f>_xll.qlRateHelperEarliestDate(R29,Trigger)</f>
        <v>#NUM!</v>
      </c>
      <c r="U29" s="13" t="e">
        <f ca="1">_xll.qlRateHelperLatestDate(R29,Trigger)</f>
        <v>#NAME?</v>
      </c>
      <c r="V29" s="106" t="e">
        <v>#VALUE!</v>
      </c>
    </row>
    <row r="30" spans="1:22" ht="11.25" customHeight="1" x14ac:dyDescent="0.2">
      <c r="C30" s="64"/>
      <c r="D30" s="64"/>
      <c r="E30" s="64"/>
      <c r="G30" s="80" t="s">
        <v>42</v>
      </c>
      <c r="H30" s="97" t="s">
        <v>9</v>
      </c>
      <c r="I30" s="1" t="str">
        <f>_xll.qlEuribor(,G30,,,Trigger)</f>
        <v>obj_00398#0010</v>
      </c>
      <c r="J30" s="64"/>
      <c r="K30" s="66"/>
      <c r="L30" s="21" t="str">
        <f t="shared" si="13"/>
        <v>Sw</v>
      </c>
      <c r="M30" s="21" t="e">
        <f t="shared" si="14"/>
        <v>#NUM!</v>
      </c>
      <c r="N30" s="21" t="e">
        <f t="shared" si="15"/>
        <v>#VALUE!</v>
      </c>
      <c r="O30" s="21" t="b">
        <f t="shared" si="15"/>
        <v>0</v>
      </c>
      <c r="P30" s="12">
        <v>0</v>
      </c>
      <c r="Q30" s="12">
        <v>0</v>
      </c>
      <c r="R30" s="12">
        <v>0</v>
      </c>
      <c r="S30" s="106" t="e">
        <f>_xll.qlRateHelperRate(R30,Trigger)</f>
        <v>#NUM!</v>
      </c>
      <c r="T30" s="13" t="e">
        <f>_xll.qlRateHelperEarliestDate(R30,Trigger)</f>
        <v>#NUM!</v>
      </c>
      <c r="U30" s="13" t="e">
        <f ca="1">_xll.qlRateHelperLatestDate(R30,Trigger)</f>
        <v>#NAME?</v>
      </c>
      <c r="V30" s="106" t="e">
        <v>#VALUE!</v>
      </c>
    </row>
    <row r="31" spans="1:22" ht="11.25" customHeight="1" x14ac:dyDescent="0.2">
      <c r="A31" s="97" t="s">
        <v>18</v>
      </c>
      <c r="B31" s="97"/>
      <c r="C31" s="97" t="s">
        <v>11</v>
      </c>
      <c r="D31" s="97" t="s">
        <v>1</v>
      </c>
      <c r="E31" s="97" t="s">
        <v>13</v>
      </c>
      <c r="F31" s="97" t="s">
        <v>12</v>
      </c>
      <c r="G31" s="97" t="s">
        <v>4</v>
      </c>
      <c r="H31" s="97" t="s">
        <v>5</v>
      </c>
      <c r="I31" s="97" t="s">
        <v>36</v>
      </c>
      <c r="J31" s="97" t="s">
        <v>40</v>
      </c>
      <c r="K31" s="66"/>
      <c r="L31" s="21" t="str">
        <f t="shared" si="13"/>
        <v>Sw</v>
      </c>
      <c r="M31" s="21" t="e">
        <f t="shared" si="14"/>
        <v>#NUM!</v>
      </c>
      <c r="N31" s="21" t="e">
        <f t="shared" si="15"/>
        <v>#VALUE!</v>
      </c>
      <c r="O31" s="21" t="b">
        <f t="shared" si="15"/>
        <v>0</v>
      </c>
      <c r="P31" s="12">
        <v>0</v>
      </c>
      <c r="Q31" s="12">
        <v>0</v>
      </c>
      <c r="R31" s="12">
        <v>0</v>
      </c>
      <c r="S31" s="106" t="e">
        <f>_xll.qlRateHelperRate(R31,Trigger)</f>
        <v>#NUM!</v>
      </c>
      <c r="T31" s="13" t="e">
        <f>_xll.qlRateHelperEarliestDate(R31,Trigger)</f>
        <v>#NUM!</v>
      </c>
      <c r="U31" s="13" t="e">
        <f ca="1">_xll.qlRateHelperLatestDate(R31,Trigger)</f>
        <v>#NAME?</v>
      </c>
      <c r="V31" s="106" t="e">
        <v>#VALUE!</v>
      </c>
    </row>
    <row r="32" spans="1:22" ht="11.25" customHeight="1" x14ac:dyDescent="0.2">
      <c r="A32" s="88" t="s">
        <v>38</v>
      </c>
      <c r="B32" s="123"/>
      <c r="C32" s="123" t="s">
        <v>14</v>
      </c>
      <c r="D32" s="124" t="e">
        <f t="array" ref="D32:D76">_xll.ohFilter(#REF!,#REF!="Sw")</f>
        <v>#NUM!</v>
      </c>
      <c r="E32" s="112" t="s">
        <v>15</v>
      </c>
      <c r="F32" s="123" t="s">
        <v>16</v>
      </c>
      <c r="G32" s="112" t="s">
        <v>17</v>
      </c>
      <c r="H32" s="125" t="e">
        <f t="array" ref="H32:H76">_xll.ohFilter(#REF!,#REF!="Sw")/100</f>
        <v>#NUM!</v>
      </c>
      <c r="I32" s="86" t="e">
        <f>_xll.qlSwapRateHelper2(,$H32,,$D32,Calendar,$F32,$E32,$G32,$I$30,0,C32,Discounting,Permanent,,ObjectOverwrite)</f>
        <v>#VALUE!</v>
      </c>
      <c r="J32" s="83" t="b">
        <f>IF(ISNUMBER(H32),TRUE,FALSE)</f>
        <v>0</v>
      </c>
      <c r="K32" s="66"/>
      <c r="L32" s="21" t="str">
        <f t="shared" si="13"/>
        <v>Sw</v>
      </c>
      <c r="M32" s="21" t="e">
        <f t="shared" si="14"/>
        <v>#NUM!</v>
      </c>
      <c r="N32" s="21" t="e">
        <f t="shared" si="15"/>
        <v>#VALUE!</v>
      </c>
      <c r="O32" s="21" t="b">
        <f t="shared" si="15"/>
        <v>0</v>
      </c>
      <c r="P32" s="12">
        <v>0</v>
      </c>
      <c r="Q32" s="12">
        <v>0</v>
      </c>
      <c r="R32" s="12">
        <v>0</v>
      </c>
      <c r="S32" s="106" t="e">
        <f>_xll.qlRateHelperRate(R32,Trigger)</f>
        <v>#NUM!</v>
      </c>
      <c r="T32" s="13" t="e">
        <f>_xll.qlRateHelperEarliestDate(R32,Trigger)</f>
        <v>#NUM!</v>
      </c>
      <c r="U32" s="13" t="e">
        <f ca="1">_xll.qlRateHelperLatestDate(R32,Trigger)</f>
        <v>#NAME?</v>
      </c>
      <c r="V32" s="106" t="e">
        <v>#VALUE!</v>
      </c>
    </row>
    <row r="33" spans="1:22" ht="11.25" customHeight="1" x14ac:dyDescent="0.2">
      <c r="A33" s="96" t="s">
        <v>38</v>
      </c>
      <c r="B33" s="126"/>
      <c r="C33" s="126" t="s">
        <v>14</v>
      </c>
      <c r="D33" s="127" t="e">
        <v>#NUM!</v>
      </c>
      <c r="E33" s="119" t="s">
        <v>15</v>
      </c>
      <c r="F33" s="126" t="s">
        <v>16</v>
      </c>
      <c r="G33" s="119" t="s">
        <v>17</v>
      </c>
      <c r="H33" s="128" t="e">
        <v>#NUM!</v>
      </c>
      <c r="I33" s="94" t="e">
        <f>_xll.qlSwapRateHelper2(,$H33,,$D33,Calendar,$F33,$E33,$G33,$I$30,0,C33,Discounting,Permanent,,ObjectOverwrite)</f>
        <v>#VALUE!</v>
      </c>
      <c r="J33" s="91" t="b">
        <f t="shared" ref="J33:J76" si="16">IF(ISNUMBER(H33),TRUE,FALSE)</f>
        <v>0</v>
      </c>
      <c r="L33" s="21" t="str">
        <f t="shared" si="13"/>
        <v>Sw</v>
      </c>
      <c r="M33" s="21" t="e">
        <f t="shared" si="14"/>
        <v>#NUM!</v>
      </c>
      <c r="N33" s="21" t="e">
        <f t="shared" si="15"/>
        <v>#VALUE!</v>
      </c>
      <c r="O33" s="21" t="b">
        <f t="shared" si="15"/>
        <v>0</v>
      </c>
      <c r="P33" s="12">
        <v>0</v>
      </c>
      <c r="Q33" s="12">
        <v>0</v>
      </c>
      <c r="R33" s="12">
        <v>0</v>
      </c>
      <c r="S33" s="106" t="e">
        <f>_xll.qlRateHelperRate(R33,Trigger)</f>
        <v>#NUM!</v>
      </c>
      <c r="T33" s="13" t="e">
        <f>_xll.qlRateHelperEarliestDate(R33,Trigger)</f>
        <v>#NUM!</v>
      </c>
      <c r="U33" s="13" t="e">
        <f ca="1">_xll.qlRateHelperLatestDate(R33,Trigger)</f>
        <v>#NAME?</v>
      </c>
      <c r="V33" s="106" t="e">
        <v>#VALUE!</v>
      </c>
    </row>
    <row r="34" spans="1:22" ht="11.25" customHeight="1" x14ac:dyDescent="0.2">
      <c r="A34" s="96" t="s">
        <v>38</v>
      </c>
      <c r="B34" s="126"/>
      <c r="C34" s="126" t="s">
        <v>14</v>
      </c>
      <c r="D34" s="127" t="e">
        <v>#NUM!</v>
      </c>
      <c r="E34" s="119" t="s">
        <v>15</v>
      </c>
      <c r="F34" s="126" t="s">
        <v>16</v>
      </c>
      <c r="G34" s="119" t="s">
        <v>17</v>
      </c>
      <c r="H34" s="128" t="e">
        <v>#NUM!</v>
      </c>
      <c r="I34" s="94" t="e">
        <f>_xll.qlSwapRateHelper2(,$H34,,$D34,Calendar,$F34,$E34,$G34,$I$30,0,C34,Discounting,Permanent,,ObjectOverwrite)</f>
        <v>#VALUE!</v>
      </c>
      <c r="J34" s="91" t="b">
        <f t="shared" si="16"/>
        <v>0</v>
      </c>
      <c r="L34" s="21" t="str">
        <f t="shared" si="13"/>
        <v>Sw</v>
      </c>
      <c r="M34" s="21" t="e">
        <f t="shared" si="14"/>
        <v>#NUM!</v>
      </c>
      <c r="N34" s="21" t="e">
        <f t="shared" si="15"/>
        <v>#VALUE!</v>
      </c>
      <c r="O34" s="21" t="b">
        <f t="shared" si="15"/>
        <v>0</v>
      </c>
      <c r="P34" s="12">
        <v>0</v>
      </c>
      <c r="Q34" s="12">
        <v>0</v>
      </c>
      <c r="R34" s="12">
        <v>0</v>
      </c>
      <c r="S34" s="106" t="e">
        <f>_xll.qlRateHelperRate(R34,Trigger)</f>
        <v>#NUM!</v>
      </c>
      <c r="T34" s="13" t="e">
        <f>_xll.qlRateHelperEarliestDate(R34,Trigger)</f>
        <v>#NUM!</v>
      </c>
      <c r="U34" s="13" t="e">
        <f ca="1">_xll.qlRateHelperLatestDate(R34,Trigger)</f>
        <v>#NAME?</v>
      </c>
      <c r="V34" s="106" t="e">
        <v>#VALUE!</v>
      </c>
    </row>
    <row r="35" spans="1:22" ht="11.25" customHeight="1" x14ac:dyDescent="0.2">
      <c r="A35" s="96" t="s">
        <v>38</v>
      </c>
      <c r="B35" s="126"/>
      <c r="C35" s="126" t="s">
        <v>14</v>
      </c>
      <c r="D35" s="127" t="e">
        <v>#NUM!</v>
      </c>
      <c r="E35" s="119" t="s">
        <v>15</v>
      </c>
      <c r="F35" s="126" t="s">
        <v>16</v>
      </c>
      <c r="G35" s="119" t="s">
        <v>17</v>
      </c>
      <c r="H35" s="128" t="e">
        <v>#NUM!</v>
      </c>
      <c r="I35" s="94" t="e">
        <f>_xll.qlSwapRateHelper2(,$H35,,$D35,Calendar,$F35,$E35,$G35,$I$30,0,C35,Discounting,Permanent,,ObjectOverwrite)</f>
        <v>#VALUE!</v>
      </c>
      <c r="J35" s="91" t="b">
        <f t="shared" si="16"/>
        <v>0</v>
      </c>
      <c r="L35" s="21" t="str">
        <f t="shared" si="13"/>
        <v>Sw</v>
      </c>
      <c r="M35" s="21" t="e">
        <f t="shared" si="14"/>
        <v>#NUM!</v>
      </c>
      <c r="N35" s="21" t="e">
        <f t="shared" si="15"/>
        <v>#VALUE!</v>
      </c>
      <c r="O35" s="21" t="b">
        <f t="shared" si="15"/>
        <v>0</v>
      </c>
      <c r="P35" s="12">
        <v>0</v>
      </c>
      <c r="Q35" s="12">
        <v>0</v>
      </c>
      <c r="R35" s="12">
        <v>0</v>
      </c>
      <c r="S35" s="106" t="e">
        <f>_xll.qlRateHelperRate(R35,Trigger)</f>
        <v>#NUM!</v>
      </c>
      <c r="T35" s="13" t="e">
        <f>_xll.qlRateHelperEarliestDate(R35,Trigger)</f>
        <v>#NUM!</v>
      </c>
      <c r="U35" s="13" t="e">
        <f ca="1">_xll.qlRateHelperLatestDate(R35,Trigger)</f>
        <v>#NAME?</v>
      </c>
      <c r="V35" s="106" t="e">
        <v>#VALUE!</v>
      </c>
    </row>
    <row r="36" spans="1:22" ht="11.25" customHeight="1" x14ac:dyDescent="0.2">
      <c r="A36" s="96" t="s">
        <v>38</v>
      </c>
      <c r="B36" s="126"/>
      <c r="C36" s="126" t="s">
        <v>14</v>
      </c>
      <c r="D36" s="127" t="e">
        <v>#NUM!</v>
      </c>
      <c r="E36" s="119" t="s">
        <v>15</v>
      </c>
      <c r="F36" s="126" t="s">
        <v>16</v>
      </c>
      <c r="G36" s="119" t="s">
        <v>17</v>
      </c>
      <c r="H36" s="128" t="e">
        <v>#NUM!</v>
      </c>
      <c r="I36" s="94" t="e">
        <f>_xll.qlSwapRateHelper2(,$H36,,$D36,Calendar,$F36,$E36,$G36,$I$30,0,C36,Discounting,Permanent,,ObjectOverwrite)</f>
        <v>#VALUE!</v>
      </c>
      <c r="J36" s="91" t="b">
        <f t="shared" si="16"/>
        <v>0</v>
      </c>
      <c r="L36" s="21" t="str">
        <f t="shared" si="13"/>
        <v>Sw</v>
      </c>
      <c r="M36" s="21" t="e">
        <f t="shared" si="14"/>
        <v>#NUM!</v>
      </c>
      <c r="N36" s="21" t="e">
        <f t="shared" si="15"/>
        <v>#VALUE!</v>
      </c>
      <c r="O36" s="21" t="b">
        <f t="shared" si="15"/>
        <v>0</v>
      </c>
      <c r="P36" s="12">
        <v>0</v>
      </c>
      <c r="Q36" s="12">
        <v>0</v>
      </c>
      <c r="R36" s="12">
        <v>0</v>
      </c>
      <c r="S36" s="106" t="e">
        <f>_xll.qlRateHelperRate(R36,Trigger)</f>
        <v>#NUM!</v>
      </c>
      <c r="T36" s="13" t="e">
        <f>_xll.qlRateHelperEarliestDate(R36,Trigger)</f>
        <v>#NUM!</v>
      </c>
      <c r="U36" s="13" t="e">
        <f ca="1">_xll.qlRateHelperLatestDate(R36,Trigger)</f>
        <v>#NAME?</v>
      </c>
      <c r="V36" s="106" t="e">
        <v>#VALUE!</v>
      </c>
    </row>
    <row r="37" spans="1:22" ht="11.25" customHeight="1" x14ac:dyDescent="0.2">
      <c r="A37" s="96" t="s">
        <v>38</v>
      </c>
      <c r="B37" s="126"/>
      <c r="C37" s="126" t="s">
        <v>14</v>
      </c>
      <c r="D37" s="127" t="e">
        <v>#NUM!</v>
      </c>
      <c r="E37" s="119" t="s">
        <v>15</v>
      </c>
      <c r="F37" s="126" t="s">
        <v>16</v>
      </c>
      <c r="G37" s="119" t="s">
        <v>17</v>
      </c>
      <c r="H37" s="128" t="e">
        <v>#NUM!</v>
      </c>
      <c r="I37" s="94" t="e">
        <f>_xll.qlSwapRateHelper2(,$H37,,$D37,Calendar,$F37,$E37,$G37,$I$30,0,C37,Discounting,Permanent,,ObjectOverwrite)</f>
        <v>#VALUE!</v>
      </c>
      <c r="J37" s="91" t="b">
        <f t="shared" si="16"/>
        <v>0</v>
      </c>
      <c r="L37" s="21" t="str">
        <f t="shared" si="13"/>
        <v>Sw</v>
      </c>
      <c r="M37" s="21" t="e">
        <f t="shared" si="14"/>
        <v>#NUM!</v>
      </c>
      <c r="N37" s="21" t="e">
        <f t="shared" si="15"/>
        <v>#VALUE!</v>
      </c>
      <c r="O37" s="21" t="b">
        <f t="shared" si="15"/>
        <v>0</v>
      </c>
      <c r="P37" s="12">
        <v>0</v>
      </c>
      <c r="Q37" s="12">
        <v>0</v>
      </c>
      <c r="R37" s="12">
        <v>0</v>
      </c>
      <c r="S37" s="106" t="e">
        <f>_xll.qlRateHelperRate(R37,Trigger)</f>
        <v>#NUM!</v>
      </c>
      <c r="T37" s="13" t="e">
        <f>_xll.qlRateHelperEarliestDate(R37,Trigger)</f>
        <v>#NUM!</v>
      </c>
      <c r="U37" s="13" t="e">
        <f ca="1">_xll.qlRateHelperLatestDate(R37,Trigger)</f>
        <v>#NAME?</v>
      </c>
      <c r="V37" s="106" t="e">
        <v>#VALUE!</v>
      </c>
    </row>
    <row r="38" spans="1:22" ht="11.25" customHeight="1" x14ac:dyDescent="0.2">
      <c r="A38" s="96" t="s">
        <v>38</v>
      </c>
      <c r="B38" s="126"/>
      <c r="C38" s="126" t="s">
        <v>14</v>
      </c>
      <c r="D38" s="127" t="e">
        <v>#NUM!</v>
      </c>
      <c r="E38" s="119" t="s">
        <v>15</v>
      </c>
      <c r="F38" s="126" t="s">
        <v>16</v>
      </c>
      <c r="G38" s="119" t="s">
        <v>17</v>
      </c>
      <c r="H38" s="128" t="e">
        <v>#NUM!</v>
      </c>
      <c r="I38" s="94" t="e">
        <f>_xll.qlSwapRateHelper2(,$H38,,$D38,Calendar,$F38,$E38,$G38,$I$30,0,C38,Discounting,Permanent,,ObjectOverwrite)</f>
        <v>#VALUE!</v>
      </c>
      <c r="J38" s="91" t="b">
        <f t="shared" si="16"/>
        <v>0</v>
      </c>
      <c r="L38" s="21" t="str">
        <f t="shared" si="13"/>
        <v>Sw</v>
      </c>
      <c r="M38" s="21" t="e">
        <f t="shared" si="14"/>
        <v>#NUM!</v>
      </c>
      <c r="N38" s="21" t="e">
        <f t="shared" si="15"/>
        <v>#VALUE!</v>
      </c>
      <c r="O38" s="21" t="b">
        <f t="shared" si="15"/>
        <v>0</v>
      </c>
      <c r="P38" s="12">
        <v>0</v>
      </c>
      <c r="Q38" s="12">
        <v>0</v>
      </c>
      <c r="R38" s="12">
        <v>0</v>
      </c>
      <c r="S38" s="106" t="e">
        <f>_xll.qlRateHelperRate(R38,Trigger)</f>
        <v>#NUM!</v>
      </c>
      <c r="T38" s="13" t="e">
        <f>_xll.qlRateHelperEarliestDate(R38,Trigger)</f>
        <v>#NUM!</v>
      </c>
      <c r="U38" s="13" t="e">
        <f ca="1">_xll.qlRateHelperLatestDate(R38,Trigger)</f>
        <v>#NAME?</v>
      </c>
      <c r="V38" s="106" t="e">
        <v>#VALUE!</v>
      </c>
    </row>
    <row r="39" spans="1:22" ht="11.25" customHeight="1" x14ac:dyDescent="0.2">
      <c r="A39" s="96" t="s">
        <v>38</v>
      </c>
      <c r="B39" s="126"/>
      <c r="C39" s="126" t="s">
        <v>14</v>
      </c>
      <c r="D39" s="127" t="e">
        <v>#NUM!</v>
      </c>
      <c r="E39" s="119" t="s">
        <v>15</v>
      </c>
      <c r="F39" s="126" t="s">
        <v>16</v>
      </c>
      <c r="G39" s="119" t="s">
        <v>17</v>
      </c>
      <c r="H39" s="128" t="e">
        <v>#NUM!</v>
      </c>
      <c r="I39" s="94" t="e">
        <f>_xll.qlSwapRateHelper2(,$H39,,$D39,Calendar,$F39,$E39,$G39,$I$30,0,C39,Discounting,Permanent,,ObjectOverwrite)</f>
        <v>#VALUE!</v>
      </c>
      <c r="J39" s="91" t="b">
        <f t="shared" si="16"/>
        <v>0</v>
      </c>
      <c r="L39" s="21" t="str">
        <f t="shared" si="13"/>
        <v>Sw</v>
      </c>
      <c r="M39" s="21" t="e">
        <f t="shared" si="14"/>
        <v>#NUM!</v>
      </c>
      <c r="N39" s="21" t="e">
        <f t="shared" si="15"/>
        <v>#VALUE!</v>
      </c>
      <c r="O39" s="21" t="b">
        <f t="shared" si="15"/>
        <v>0</v>
      </c>
      <c r="P39" s="12">
        <v>0</v>
      </c>
      <c r="Q39" s="12">
        <v>0</v>
      </c>
      <c r="R39" s="12">
        <v>0</v>
      </c>
      <c r="S39" s="106" t="e">
        <f>_xll.qlRateHelperRate(R39,Trigger)</f>
        <v>#NUM!</v>
      </c>
      <c r="T39" s="13" t="e">
        <f>_xll.qlRateHelperEarliestDate(R39,Trigger)</f>
        <v>#NUM!</v>
      </c>
      <c r="U39" s="13" t="e">
        <f ca="1">_xll.qlRateHelperLatestDate(R39,Trigger)</f>
        <v>#NAME?</v>
      </c>
      <c r="V39" s="106" t="e">
        <v>#VALUE!</v>
      </c>
    </row>
    <row r="40" spans="1:22" ht="11.25" customHeight="1" x14ac:dyDescent="0.2">
      <c r="A40" s="96" t="s">
        <v>38</v>
      </c>
      <c r="B40" s="126"/>
      <c r="C40" s="126" t="s">
        <v>14</v>
      </c>
      <c r="D40" s="127" t="e">
        <v>#NUM!</v>
      </c>
      <c r="E40" s="119" t="s">
        <v>15</v>
      </c>
      <c r="F40" s="126" t="s">
        <v>16</v>
      </c>
      <c r="G40" s="119" t="s">
        <v>17</v>
      </c>
      <c r="H40" s="128" t="e">
        <v>#NUM!</v>
      </c>
      <c r="I40" s="94" t="e">
        <f>_xll.qlSwapRateHelper2(,$H40,,$D40,Calendar,$F40,$E40,$G40,$I$30,0,C40,Discounting,Permanent,,ObjectOverwrite)</f>
        <v>#VALUE!</v>
      </c>
      <c r="J40" s="91" t="b">
        <f t="shared" si="16"/>
        <v>0</v>
      </c>
      <c r="L40" s="21" t="str">
        <f t="shared" si="13"/>
        <v>Sw</v>
      </c>
      <c r="M40" s="21" t="e">
        <f t="shared" si="14"/>
        <v>#NUM!</v>
      </c>
      <c r="N40" s="21" t="e">
        <f t="shared" si="15"/>
        <v>#VALUE!</v>
      </c>
      <c r="O40" s="21" t="b">
        <f t="shared" si="15"/>
        <v>0</v>
      </c>
      <c r="P40" s="12">
        <v>0</v>
      </c>
      <c r="Q40" s="12">
        <v>0</v>
      </c>
      <c r="R40" s="12">
        <v>0</v>
      </c>
      <c r="S40" s="106" t="e">
        <f>_xll.qlRateHelperRate(R40,Trigger)</f>
        <v>#NUM!</v>
      </c>
      <c r="T40" s="13" t="e">
        <f>_xll.qlRateHelperEarliestDate(R40,Trigger)</f>
        <v>#NUM!</v>
      </c>
      <c r="U40" s="13" t="e">
        <f ca="1">_xll.qlRateHelperLatestDate(R40,Trigger)</f>
        <v>#NAME?</v>
      </c>
      <c r="V40" s="106" t="e">
        <v>#VALUE!</v>
      </c>
    </row>
    <row r="41" spans="1:22" ht="11.25" customHeight="1" x14ac:dyDescent="0.2">
      <c r="A41" s="96" t="s">
        <v>38</v>
      </c>
      <c r="B41" s="126"/>
      <c r="C41" s="126" t="s">
        <v>14</v>
      </c>
      <c r="D41" s="127" t="e">
        <v>#NUM!</v>
      </c>
      <c r="E41" s="119" t="s">
        <v>15</v>
      </c>
      <c r="F41" s="126" t="s">
        <v>16</v>
      </c>
      <c r="G41" s="119" t="s">
        <v>17</v>
      </c>
      <c r="H41" s="128" t="e">
        <v>#NUM!</v>
      </c>
      <c r="I41" s="94" t="e">
        <f>_xll.qlSwapRateHelper2(,$H41,,$D41,Calendar,$F41,$E41,$G41,$I$30,0,C41,Discounting,Permanent,,ObjectOverwrite)</f>
        <v>#VALUE!</v>
      </c>
      <c r="J41" s="91" t="b">
        <f t="shared" si="16"/>
        <v>0</v>
      </c>
      <c r="L41" s="21" t="str">
        <f t="shared" si="13"/>
        <v>Sw</v>
      </c>
      <c r="M41" s="21" t="e">
        <f t="shared" si="14"/>
        <v>#NUM!</v>
      </c>
      <c r="N41" s="21" t="e">
        <f t="shared" si="15"/>
        <v>#VALUE!</v>
      </c>
      <c r="O41" s="21" t="b">
        <f t="shared" si="15"/>
        <v>0</v>
      </c>
      <c r="P41" s="12">
        <v>0</v>
      </c>
      <c r="Q41" s="12">
        <v>0</v>
      </c>
      <c r="R41" s="12">
        <v>0</v>
      </c>
      <c r="S41" s="106" t="e">
        <f>_xll.qlRateHelperRate(R41,Trigger)</f>
        <v>#NUM!</v>
      </c>
      <c r="T41" s="13" t="e">
        <f>_xll.qlRateHelperEarliestDate(R41,Trigger)</f>
        <v>#NUM!</v>
      </c>
      <c r="U41" s="13" t="e">
        <f ca="1">_xll.qlRateHelperLatestDate(R41,Trigger)</f>
        <v>#NAME?</v>
      </c>
      <c r="V41" s="106" t="e">
        <v>#VALUE!</v>
      </c>
    </row>
    <row r="42" spans="1:22" ht="11.25" customHeight="1" x14ac:dyDescent="0.2">
      <c r="A42" s="96" t="s">
        <v>38</v>
      </c>
      <c r="B42" s="126"/>
      <c r="C42" s="126" t="s">
        <v>14</v>
      </c>
      <c r="D42" s="127" t="e">
        <v>#NUM!</v>
      </c>
      <c r="E42" s="119" t="s">
        <v>15</v>
      </c>
      <c r="F42" s="126" t="s">
        <v>16</v>
      </c>
      <c r="G42" s="119" t="s">
        <v>17</v>
      </c>
      <c r="H42" s="128" t="e">
        <v>#NUM!</v>
      </c>
      <c r="I42" s="94" t="e">
        <f>_xll.qlSwapRateHelper2(,$H42,,$D42,Calendar,$F42,$E42,$G42,$I$30,0,C42,Discounting,Permanent,,ObjectOverwrite)</f>
        <v>#VALUE!</v>
      </c>
      <c r="J42" s="91" t="b">
        <f t="shared" si="16"/>
        <v>0</v>
      </c>
      <c r="L42" s="21" t="str">
        <f t="shared" si="13"/>
        <v>Sw</v>
      </c>
      <c r="M42" s="21" t="e">
        <f t="shared" si="14"/>
        <v>#NUM!</v>
      </c>
      <c r="N42" s="21" t="e">
        <f t="shared" si="15"/>
        <v>#VALUE!</v>
      </c>
      <c r="O42" s="21" t="b">
        <f t="shared" si="15"/>
        <v>0</v>
      </c>
      <c r="P42" s="12">
        <v>0</v>
      </c>
      <c r="Q42" s="12">
        <v>0</v>
      </c>
      <c r="R42" s="12">
        <v>0</v>
      </c>
      <c r="S42" s="106" t="e">
        <f>_xll.qlRateHelperRate(R42,Trigger)</f>
        <v>#NUM!</v>
      </c>
      <c r="T42" s="13" t="e">
        <f>_xll.qlRateHelperEarliestDate(R42,Trigger)</f>
        <v>#NUM!</v>
      </c>
      <c r="U42" s="13" t="e">
        <f ca="1">_xll.qlRateHelperLatestDate(R42,Trigger)</f>
        <v>#NAME?</v>
      </c>
      <c r="V42" s="106" t="e">
        <v>#VALUE!</v>
      </c>
    </row>
    <row r="43" spans="1:22" ht="11.25" customHeight="1" x14ac:dyDescent="0.2">
      <c r="A43" s="96" t="s">
        <v>38</v>
      </c>
      <c r="B43" s="126"/>
      <c r="C43" s="126" t="s">
        <v>14</v>
      </c>
      <c r="D43" s="127" t="e">
        <v>#NUM!</v>
      </c>
      <c r="E43" s="119" t="s">
        <v>15</v>
      </c>
      <c r="F43" s="126" t="s">
        <v>16</v>
      </c>
      <c r="G43" s="119" t="s">
        <v>17</v>
      </c>
      <c r="H43" s="128" t="e">
        <v>#NUM!</v>
      </c>
      <c r="I43" s="94" t="e">
        <f>_xll.qlSwapRateHelper2(,$H43,,$D43,Calendar,$F43,$E43,$G43,$I$30,0,C43,Discounting,Permanent,,ObjectOverwrite)</f>
        <v>#VALUE!</v>
      </c>
      <c r="J43" s="91" t="b">
        <f t="shared" si="16"/>
        <v>0</v>
      </c>
      <c r="L43" s="21" t="str">
        <f t="shared" si="13"/>
        <v>Sw</v>
      </c>
      <c r="M43" s="21" t="e">
        <f t="shared" si="14"/>
        <v>#NUM!</v>
      </c>
      <c r="N43" s="21" t="e">
        <f t="shared" si="15"/>
        <v>#VALUE!</v>
      </c>
      <c r="O43" s="21" t="b">
        <f t="shared" si="15"/>
        <v>0</v>
      </c>
      <c r="P43" s="12">
        <v>0</v>
      </c>
      <c r="Q43" s="12">
        <v>0</v>
      </c>
      <c r="R43" s="12">
        <v>0</v>
      </c>
      <c r="S43" s="106" t="e">
        <f>_xll.qlRateHelperRate(R43,Trigger)</f>
        <v>#NUM!</v>
      </c>
      <c r="T43" s="13" t="e">
        <f>_xll.qlRateHelperEarliestDate(R43,Trigger)</f>
        <v>#NUM!</v>
      </c>
      <c r="U43" s="13" t="e">
        <f ca="1">_xll.qlRateHelperLatestDate(R43,Trigger)</f>
        <v>#NAME?</v>
      </c>
      <c r="V43" s="106" t="e">
        <v>#VALUE!</v>
      </c>
    </row>
    <row r="44" spans="1:22" ht="11.25" customHeight="1" x14ac:dyDescent="0.2">
      <c r="A44" s="96" t="s">
        <v>38</v>
      </c>
      <c r="B44" s="126"/>
      <c r="C44" s="126" t="s">
        <v>14</v>
      </c>
      <c r="D44" s="127" t="e">
        <v>#NUM!</v>
      </c>
      <c r="E44" s="119" t="s">
        <v>15</v>
      </c>
      <c r="F44" s="126" t="s">
        <v>16</v>
      </c>
      <c r="G44" s="119" t="s">
        <v>17</v>
      </c>
      <c r="H44" s="128" t="e">
        <v>#NUM!</v>
      </c>
      <c r="I44" s="94" t="e">
        <f>_xll.qlSwapRateHelper2(,$H44,,$D44,Calendar,$F44,$E44,$G44,$I$30,0,C44,Discounting,Permanent,,ObjectOverwrite)</f>
        <v>#VALUE!</v>
      </c>
      <c r="J44" s="91" t="b">
        <f t="shared" si="16"/>
        <v>0</v>
      </c>
      <c r="L44" s="21" t="str">
        <f t="shared" si="13"/>
        <v>Sw</v>
      </c>
      <c r="M44" s="21" t="e">
        <f t="shared" si="14"/>
        <v>#NUM!</v>
      </c>
      <c r="N44" s="21" t="e">
        <f t="shared" ref="N44:O59" si="17">I49</f>
        <v>#VALUE!</v>
      </c>
      <c r="O44" s="21" t="b">
        <f t="shared" si="17"/>
        <v>0</v>
      </c>
      <c r="P44" s="12">
        <v>0</v>
      </c>
      <c r="Q44" s="12">
        <v>0</v>
      </c>
      <c r="R44" s="12">
        <v>0</v>
      </c>
      <c r="S44" s="106" t="e">
        <f>_xll.qlRateHelperRate(R44,Trigger)</f>
        <v>#NUM!</v>
      </c>
      <c r="T44" s="13" t="e">
        <f>_xll.qlRateHelperEarliestDate(R44,Trigger)</f>
        <v>#NUM!</v>
      </c>
      <c r="U44" s="13" t="e">
        <f ca="1">_xll.qlRateHelperLatestDate(R44,Trigger)</f>
        <v>#NAME?</v>
      </c>
      <c r="V44" s="106" t="e">
        <v>#VALUE!</v>
      </c>
    </row>
    <row r="45" spans="1:22" ht="11.25" customHeight="1" x14ac:dyDescent="0.2">
      <c r="A45" s="96" t="s">
        <v>38</v>
      </c>
      <c r="B45" s="126"/>
      <c r="C45" s="126" t="s">
        <v>14</v>
      </c>
      <c r="D45" s="127" t="e">
        <v>#NUM!</v>
      </c>
      <c r="E45" s="119" t="s">
        <v>15</v>
      </c>
      <c r="F45" s="126" t="s">
        <v>16</v>
      </c>
      <c r="G45" s="119" t="s">
        <v>17</v>
      </c>
      <c r="H45" s="128" t="e">
        <v>#NUM!</v>
      </c>
      <c r="I45" s="94" t="e">
        <f>_xll.qlSwapRateHelper2(,$H45,,$D45,Calendar,$F45,$E45,$G45,$I$30,0,C45,Discounting,Permanent,,ObjectOverwrite)</f>
        <v>#VALUE!</v>
      </c>
      <c r="J45" s="91" t="b">
        <f t="shared" si="16"/>
        <v>0</v>
      </c>
      <c r="L45" s="21" t="str">
        <f t="shared" si="13"/>
        <v>Sw</v>
      </c>
      <c r="M45" s="21" t="e">
        <f t="shared" si="14"/>
        <v>#NUM!</v>
      </c>
      <c r="N45" s="21" t="e">
        <f t="shared" si="17"/>
        <v>#VALUE!</v>
      </c>
      <c r="O45" s="21" t="b">
        <f t="shared" si="17"/>
        <v>0</v>
      </c>
      <c r="P45" s="12">
        <v>0</v>
      </c>
      <c r="Q45" s="12">
        <v>0</v>
      </c>
      <c r="R45" s="12">
        <v>0</v>
      </c>
      <c r="S45" s="106" t="e">
        <f>_xll.qlRateHelperRate(R45,Trigger)</f>
        <v>#NUM!</v>
      </c>
      <c r="T45" s="13" t="e">
        <f>_xll.qlRateHelperEarliestDate(R45,Trigger)</f>
        <v>#NUM!</v>
      </c>
      <c r="U45" s="13" t="e">
        <f ca="1">_xll.qlRateHelperLatestDate(R45,Trigger)</f>
        <v>#NAME?</v>
      </c>
      <c r="V45" s="106" t="e">
        <v>#VALUE!</v>
      </c>
    </row>
    <row r="46" spans="1:22" ht="11.25" customHeight="1" x14ac:dyDescent="0.2">
      <c r="A46" s="96" t="s">
        <v>38</v>
      </c>
      <c r="B46" s="126"/>
      <c r="C46" s="126" t="s">
        <v>14</v>
      </c>
      <c r="D46" s="127" t="e">
        <v>#NUM!</v>
      </c>
      <c r="E46" s="119" t="s">
        <v>15</v>
      </c>
      <c r="F46" s="126" t="s">
        <v>16</v>
      </c>
      <c r="G46" s="119" t="s">
        <v>17</v>
      </c>
      <c r="H46" s="128" t="e">
        <v>#NUM!</v>
      </c>
      <c r="I46" s="94" t="e">
        <f>_xll.qlSwapRateHelper2(,$H46,,$D46,Calendar,$F46,$E46,$G46,$I$30,0,C46,Discounting,Permanent,,ObjectOverwrite)</f>
        <v>#VALUE!</v>
      </c>
      <c r="J46" s="91" t="b">
        <f t="shared" si="16"/>
        <v>0</v>
      </c>
      <c r="L46" s="21" t="str">
        <f t="shared" si="13"/>
        <v>Sw</v>
      </c>
      <c r="M46" s="21" t="e">
        <f t="shared" si="14"/>
        <v>#NUM!</v>
      </c>
      <c r="N46" s="21" t="e">
        <f t="shared" si="17"/>
        <v>#VALUE!</v>
      </c>
      <c r="O46" s="21" t="b">
        <f t="shared" si="17"/>
        <v>0</v>
      </c>
      <c r="P46" s="12">
        <v>0</v>
      </c>
      <c r="Q46" s="12">
        <v>0</v>
      </c>
      <c r="R46" s="12">
        <v>0</v>
      </c>
      <c r="S46" s="106" t="e">
        <f>_xll.qlRateHelperRate(R46,Trigger)</f>
        <v>#NUM!</v>
      </c>
      <c r="T46" s="13" t="e">
        <f>_xll.qlRateHelperEarliestDate(R46,Trigger)</f>
        <v>#NUM!</v>
      </c>
      <c r="U46" s="13" t="e">
        <f ca="1">_xll.qlRateHelperLatestDate(R46,Trigger)</f>
        <v>#NAME?</v>
      </c>
      <c r="V46" s="106" t="e">
        <v>#VALUE!</v>
      </c>
    </row>
    <row r="47" spans="1:22" ht="11.25" customHeight="1" x14ac:dyDescent="0.2">
      <c r="A47" s="96" t="s">
        <v>38</v>
      </c>
      <c r="B47" s="126"/>
      <c r="C47" s="126" t="s">
        <v>14</v>
      </c>
      <c r="D47" s="127" t="e">
        <v>#NUM!</v>
      </c>
      <c r="E47" s="119" t="s">
        <v>15</v>
      </c>
      <c r="F47" s="126" t="s">
        <v>16</v>
      </c>
      <c r="G47" s="119" t="s">
        <v>17</v>
      </c>
      <c r="H47" s="128" t="e">
        <v>#NUM!</v>
      </c>
      <c r="I47" s="94" t="e">
        <f>_xll.qlSwapRateHelper2(,$H47,,$D47,Calendar,$F47,$E47,$G47,$I$30,0,C47,Discounting,Permanent,,ObjectOverwrite)</f>
        <v>#VALUE!</v>
      </c>
      <c r="J47" s="91" t="b">
        <f t="shared" si="16"/>
        <v>0</v>
      </c>
      <c r="L47" s="21" t="str">
        <f t="shared" si="13"/>
        <v>Sw</v>
      </c>
      <c r="M47" s="21" t="e">
        <f t="shared" si="14"/>
        <v>#NUM!</v>
      </c>
      <c r="N47" s="21" t="e">
        <f t="shared" si="17"/>
        <v>#VALUE!</v>
      </c>
      <c r="O47" s="21" t="b">
        <f t="shared" si="17"/>
        <v>0</v>
      </c>
      <c r="P47" s="12">
        <v>0</v>
      </c>
      <c r="Q47" s="12">
        <v>0</v>
      </c>
      <c r="R47" s="12">
        <v>0</v>
      </c>
      <c r="S47" s="106" t="e">
        <f>_xll.qlRateHelperRate(R47,Trigger)</f>
        <v>#NUM!</v>
      </c>
      <c r="T47" s="13" t="e">
        <f>_xll.qlRateHelperEarliestDate(R47,Trigger)</f>
        <v>#NUM!</v>
      </c>
      <c r="U47" s="13" t="e">
        <f ca="1">_xll.qlRateHelperLatestDate(R47,Trigger)</f>
        <v>#NAME?</v>
      </c>
      <c r="V47" s="106" t="e">
        <v>#VALUE!</v>
      </c>
    </row>
    <row r="48" spans="1:22" ht="11.25" customHeight="1" x14ac:dyDescent="0.2">
      <c r="A48" s="96" t="s">
        <v>38</v>
      </c>
      <c r="B48" s="126"/>
      <c r="C48" s="126" t="s">
        <v>14</v>
      </c>
      <c r="D48" s="127" t="e">
        <v>#NUM!</v>
      </c>
      <c r="E48" s="119" t="s">
        <v>15</v>
      </c>
      <c r="F48" s="126" t="s">
        <v>16</v>
      </c>
      <c r="G48" s="119" t="s">
        <v>17</v>
      </c>
      <c r="H48" s="128" t="e">
        <v>#NUM!</v>
      </c>
      <c r="I48" s="94" t="e">
        <f>_xll.qlSwapRateHelper2(,$H48,,$D48,Calendar,$F48,$E48,$G48,$I$30,0,C48,Discounting,Permanent,,ObjectOverwrite)</f>
        <v>#VALUE!</v>
      </c>
      <c r="J48" s="91" t="b">
        <f t="shared" si="16"/>
        <v>0</v>
      </c>
      <c r="L48" s="21" t="str">
        <f t="shared" si="13"/>
        <v>Sw</v>
      </c>
      <c r="M48" s="21" t="e">
        <f t="shared" si="14"/>
        <v>#NUM!</v>
      </c>
      <c r="N48" s="21" t="e">
        <f t="shared" si="17"/>
        <v>#VALUE!</v>
      </c>
      <c r="O48" s="21" t="b">
        <f t="shared" si="17"/>
        <v>0</v>
      </c>
      <c r="P48" s="12">
        <v>0</v>
      </c>
      <c r="Q48" s="12">
        <v>0</v>
      </c>
      <c r="R48" s="12">
        <v>0</v>
      </c>
      <c r="S48" s="106" t="e">
        <f>_xll.qlRateHelperRate(R48,Trigger)</f>
        <v>#NUM!</v>
      </c>
      <c r="T48" s="13" t="e">
        <f>_xll.qlRateHelperEarliestDate(R48,Trigger)</f>
        <v>#NUM!</v>
      </c>
      <c r="U48" s="13" t="e">
        <f ca="1">_xll.qlRateHelperLatestDate(R48,Trigger)</f>
        <v>#NAME?</v>
      </c>
      <c r="V48" s="106" t="e">
        <v>#VALUE!</v>
      </c>
    </row>
    <row r="49" spans="1:22" ht="11.25" customHeight="1" x14ac:dyDescent="0.2">
      <c r="A49" s="96" t="s">
        <v>38</v>
      </c>
      <c r="B49" s="126"/>
      <c r="C49" s="126" t="s">
        <v>14</v>
      </c>
      <c r="D49" s="127" t="e">
        <v>#NUM!</v>
      </c>
      <c r="E49" s="119" t="s">
        <v>15</v>
      </c>
      <c r="F49" s="126" t="s">
        <v>16</v>
      </c>
      <c r="G49" s="119" t="s">
        <v>17</v>
      </c>
      <c r="H49" s="128" t="e">
        <v>#NUM!</v>
      </c>
      <c r="I49" s="94" t="e">
        <f>_xll.qlSwapRateHelper2(,$H49,,$D49,Calendar,$F49,$E49,$G49,$I$30,0,C49,Discounting,Permanent,,ObjectOverwrite)</f>
        <v>#VALUE!</v>
      </c>
      <c r="J49" s="91" t="b">
        <f t="shared" si="16"/>
        <v>0</v>
      </c>
      <c r="L49" s="21" t="str">
        <f t="shared" si="13"/>
        <v>Sw</v>
      </c>
      <c r="M49" s="21" t="e">
        <f t="shared" si="14"/>
        <v>#NUM!</v>
      </c>
      <c r="N49" s="21" t="e">
        <f t="shared" si="17"/>
        <v>#VALUE!</v>
      </c>
      <c r="O49" s="21" t="b">
        <f t="shared" si="17"/>
        <v>0</v>
      </c>
      <c r="P49" s="12">
        <v>0</v>
      </c>
      <c r="Q49" s="12">
        <v>0</v>
      </c>
      <c r="R49" s="12">
        <v>0</v>
      </c>
      <c r="S49" s="106" t="e">
        <f>_xll.qlRateHelperRate(R49,Trigger)</f>
        <v>#NUM!</v>
      </c>
      <c r="T49" s="13" t="e">
        <f>_xll.qlRateHelperEarliestDate(R49,Trigger)</f>
        <v>#NUM!</v>
      </c>
      <c r="U49" s="13" t="e">
        <f ca="1">_xll.qlRateHelperLatestDate(R49,Trigger)</f>
        <v>#NAME?</v>
      </c>
      <c r="V49" s="106" t="e">
        <v>#VALUE!</v>
      </c>
    </row>
    <row r="50" spans="1:22" ht="11.25" customHeight="1" x14ac:dyDescent="0.2">
      <c r="A50" s="96" t="s">
        <v>38</v>
      </c>
      <c r="B50" s="126"/>
      <c r="C50" s="126" t="s">
        <v>14</v>
      </c>
      <c r="D50" s="127" t="e">
        <v>#NUM!</v>
      </c>
      <c r="E50" s="119" t="s">
        <v>15</v>
      </c>
      <c r="F50" s="126" t="s">
        <v>16</v>
      </c>
      <c r="G50" s="119" t="s">
        <v>17</v>
      </c>
      <c r="H50" s="128" t="e">
        <v>#NUM!</v>
      </c>
      <c r="I50" s="94" t="e">
        <f>_xll.qlSwapRateHelper2(,$H50,,$D50,Calendar,$F50,$E50,$G50,$I$30,0,C50,Discounting,Permanent,,ObjectOverwrite)</f>
        <v>#VALUE!</v>
      </c>
      <c r="J50" s="91" t="b">
        <f t="shared" si="16"/>
        <v>0</v>
      </c>
      <c r="L50" s="21" t="str">
        <f t="shared" si="13"/>
        <v>Sw</v>
      </c>
      <c r="M50" s="21" t="e">
        <f t="shared" si="14"/>
        <v>#NUM!</v>
      </c>
      <c r="N50" s="21" t="e">
        <f t="shared" si="17"/>
        <v>#VALUE!</v>
      </c>
      <c r="O50" s="21" t="b">
        <f t="shared" si="17"/>
        <v>0</v>
      </c>
      <c r="P50" s="12">
        <v>0</v>
      </c>
      <c r="Q50" s="12">
        <v>0</v>
      </c>
      <c r="R50" s="12">
        <v>0</v>
      </c>
      <c r="S50" s="106" t="e">
        <f>_xll.qlRateHelperRate(R50,Trigger)</f>
        <v>#NUM!</v>
      </c>
      <c r="T50" s="13" t="e">
        <f>_xll.qlRateHelperEarliestDate(R50,Trigger)</f>
        <v>#NUM!</v>
      </c>
      <c r="U50" s="13" t="e">
        <f ca="1">_xll.qlRateHelperLatestDate(R50,Trigger)</f>
        <v>#NAME?</v>
      </c>
      <c r="V50" s="106" t="e">
        <v>#VALUE!</v>
      </c>
    </row>
    <row r="51" spans="1:22" ht="11.25" customHeight="1" x14ac:dyDescent="0.2">
      <c r="A51" s="96" t="s">
        <v>38</v>
      </c>
      <c r="B51" s="126"/>
      <c r="C51" s="126" t="s">
        <v>14</v>
      </c>
      <c r="D51" s="127" t="e">
        <v>#NUM!</v>
      </c>
      <c r="E51" s="119" t="s">
        <v>15</v>
      </c>
      <c r="F51" s="126" t="s">
        <v>16</v>
      </c>
      <c r="G51" s="119" t="s">
        <v>17</v>
      </c>
      <c r="H51" s="128" t="e">
        <v>#NUM!</v>
      </c>
      <c r="I51" s="94" t="e">
        <f>_xll.qlSwapRateHelper2(,$H51,,$D51,Calendar,$F51,$E51,$G51,$I$30,0,C51,Discounting,Permanent,,ObjectOverwrite)</f>
        <v>#VALUE!</v>
      </c>
      <c r="J51" s="91" t="b">
        <f t="shared" si="16"/>
        <v>0</v>
      </c>
      <c r="L51" s="21" t="str">
        <f t="shared" si="13"/>
        <v>Sw</v>
      </c>
      <c r="M51" s="21" t="e">
        <f t="shared" si="14"/>
        <v>#NUM!</v>
      </c>
      <c r="N51" s="21" t="e">
        <f t="shared" si="17"/>
        <v>#VALUE!</v>
      </c>
      <c r="O51" s="21" t="b">
        <f t="shared" si="17"/>
        <v>0</v>
      </c>
      <c r="P51" s="12">
        <v>0</v>
      </c>
      <c r="Q51" s="12">
        <v>0</v>
      </c>
      <c r="R51" s="12">
        <v>0</v>
      </c>
      <c r="S51" s="106" t="e">
        <f>_xll.qlRateHelperRate(R51,Trigger)</f>
        <v>#NUM!</v>
      </c>
      <c r="T51" s="13" t="e">
        <f>_xll.qlRateHelperEarliestDate(R51,Trigger)</f>
        <v>#NUM!</v>
      </c>
      <c r="U51" s="13" t="e">
        <f ca="1">_xll.qlRateHelperLatestDate(R51,Trigger)</f>
        <v>#NAME?</v>
      </c>
      <c r="V51" s="106" t="e">
        <v>#VALUE!</v>
      </c>
    </row>
    <row r="52" spans="1:22" ht="11.25" customHeight="1" x14ac:dyDescent="0.2">
      <c r="A52" s="96" t="s">
        <v>38</v>
      </c>
      <c r="B52" s="126"/>
      <c r="C52" s="126" t="s">
        <v>14</v>
      </c>
      <c r="D52" s="127" t="e">
        <v>#NUM!</v>
      </c>
      <c r="E52" s="119" t="s">
        <v>15</v>
      </c>
      <c r="F52" s="126" t="s">
        <v>16</v>
      </c>
      <c r="G52" s="119" t="s">
        <v>17</v>
      </c>
      <c r="H52" s="128" t="e">
        <v>#NUM!</v>
      </c>
      <c r="I52" s="94" t="e">
        <f>_xll.qlSwapRateHelper2(,$H52,,$D52,Calendar,$F52,$E52,$G52,$I$30,0,C52,Discounting,Permanent,,ObjectOverwrite)</f>
        <v>#VALUE!</v>
      </c>
      <c r="J52" s="91" t="b">
        <f t="shared" si="16"/>
        <v>0</v>
      </c>
      <c r="L52" s="21" t="str">
        <f t="shared" si="13"/>
        <v>Sw</v>
      </c>
      <c r="M52" s="21" t="e">
        <f t="shared" si="14"/>
        <v>#NUM!</v>
      </c>
      <c r="N52" s="21" t="e">
        <f t="shared" si="17"/>
        <v>#VALUE!</v>
      </c>
      <c r="O52" s="21" t="b">
        <f t="shared" si="17"/>
        <v>0</v>
      </c>
      <c r="P52" s="12">
        <v>0</v>
      </c>
      <c r="Q52" s="12">
        <v>0</v>
      </c>
      <c r="R52" s="12">
        <v>0</v>
      </c>
      <c r="S52" s="106" t="e">
        <f>_xll.qlRateHelperRate(R52,Trigger)</f>
        <v>#NUM!</v>
      </c>
      <c r="T52" s="13" t="e">
        <f>_xll.qlRateHelperEarliestDate(R52,Trigger)</f>
        <v>#NUM!</v>
      </c>
      <c r="U52" s="13" t="e">
        <f ca="1">_xll.qlRateHelperLatestDate(R52,Trigger)</f>
        <v>#NAME?</v>
      </c>
      <c r="V52" s="106" t="e">
        <v>#VALUE!</v>
      </c>
    </row>
    <row r="53" spans="1:22" ht="11.25" customHeight="1" x14ac:dyDescent="0.2">
      <c r="A53" s="96" t="s">
        <v>38</v>
      </c>
      <c r="B53" s="126"/>
      <c r="C53" s="126" t="s">
        <v>14</v>
      </c>
      <c r="D53" s="127" t="e">
        <v>#NUM!</v>
      </c>
      <c r="E53" s="119" t="s">
        <v>15</v>
      </c>
      <c r="F53" s="126" t="s">
        <v>16</v>
      </c>
      <c r="G53" s="119" t="s">
        <v>17</v>
      </c>
      <c r="H53" s="128" t="e">
        <v>#NUM!</v>
      </c>
      <c r="I53" s="94" t="e">
        <f>_xll.qlSwapRateHelper2(,$H53,,$D53,Calendar,$F53,$E53,$G53,$I$30,0,C53,Discounting,Permanent,,ObjectOverwrite)</f>
        <v>#VALUE!</v>
      </c>
      <c r="J53" s="91" t="b">
        <f t="shared" si="16"/>
        <v>0</v>
      </c>
      <c r="L53" s="21" t="str">
        <f t="shared" si="13"/>
        <v>Sw</v>
      </c>
      <c r="M53" s="21" t="e">
        <f t="shared" si="14"/>
        <v>#NUM!</v>
      </c>
      <c r="N53" s="21" t="e">
        <f t="shared" si="17"/>
        <v>#VALUE!</v>
      </c>
      <c r="O53" s="21" t="b">
        <f t="shared" si="17"/>
        <v>0</v>
      </c>
      <c r="P53" s="12">
        <v>0</v>
      </c>
      <c r="Q53" s="12">
        <v>0</v>
      </c>
      <c r="R53" s="12">
        <v>0</v>
      </c>
      <c r="S53" s="106" t="e">
        <f>_xll.qlRateHelperRate(R53,Trigger)</f>
        <v>#NUM!</v>
      </c>
      <c r="T53" s="13" t="e">
        <f>_xll.qlRateHelperEarliestDate(R53,Trigger)</f>
        <v>#NUM!</v>
      </c>
      <c r="U53" s="13" t="e">
        <f ca="1">_xll.qlRateHelperLatestDate(R53,Trigger)</f>
        <v>#NAME?</v>
      </c>
      <c r="V53" s="106" t="e">
        <v>#VALUE!</v>
      </c>
    </row>
    <row r="54" spans="1:22" ht="11.25" customHeight="1" x14ac:dyDescent="0.2">
      <c r="A54" s="96" t="s">
        <v>38</v>
      </c>
      <c r="B54" s="126"/>
      <c r="C54" s="126" t="s">
        <v>14</v>
      </c>
      <c r="D54" s="127" t="e">
        <v>#NUM!</v>
      </c>
      <c r="E54" s="119" t="s">
        <v>15</v>
      </c>
      <c r="F54" s="126" t="s">
        <v>16</v>
      </c>
      <c r="G54" s="119" t="s">
        <v>17</v>
      </c>
      <c r="H54" s="128" t="e">
        <v>#NUM!</v>
      </c>
      <c r="I54" s="94" t="e">
        <f>_xll.qlSwapRateHelper2(,$H54,,$D54,Calendar,$F54,$E54,$G54,$I$30,0,C54,Discounting,Permanent,,ObjectOverwrite)</f>
        <v>#VALUE!</v>
      </c>
      <c r="J54" s="91" t="b">
        <f t="shared" si="16"/>
        <v>0</v>
      </c>
      <c r="L54" s="21" t="str">
        <f t="shared" si="13"/>
        <v>Sw</v>
      </c>
      <c r="M54" s="21" t="e">
        <f t="shared" si="14"/>
        <v>#NUM!</v>
      </c>
      <c r="N54" s="21" t="e">
        <f t="shared" si="17"/>
        <v>#VALUE!</v>
      </c>
      <c r="O54" s="21" t="b">
        <f t="shared" si="17"/>
        <v>0</v>
      </c>
      <c r="P54" s="12">
        <v>0</v>
      </c>
      <c r="Q54" s="12">
        <v>0</v>
      </c>
      <c r="R54" s="12">
        <v>0</v>
      </c>
      <c r="S54" s="106" t="e">
        <f>_xll.qlRateHelperRate(R54,Trigger)</f>
        <v>#NUM!</v>
      </c>
      <c r="T54" s="13" t="e">
        <f>_xll.qlRateHelperEarliestDate(R54,Trigger)</f>
        <v>#NUM!</v>
      </c>
      <c r="U54" s="13" t="e">
        <f ca="1">_xll.qlRateHelperLatestDate(R54,Trigger)</f>
        <v>#NAME?</v>
      </c>
      <c r="V54" s="106" t="e">
        <v>#VALUE!</v>
      </c>
    </row>
    <row r="55" spans="1:22" ht="11.25" customHeight="1" x14ac:dyDescent="0.2">
      <c r="A55" s="96" t="s">
        <v>38</v>
      </c>
      <c r="B55" s="126"/>
      <c r="C55" s="126" t="s">
        <v>14</v>
      </c>
      <c r="D55" s="127" t="e">
        <v>#NUM!</v>
      </c>
      <c r="E55" s="119" t="s">
        <v>15</v>
      </c>
      <c r="F55" s="126" t="s">
        <v>16</v>
      </c>
      <c r="G55" s="119" t="s">
        <v>17</v>
      </c>
      <c r="H55" s="128" t="e">
        <v>#NUM!</v>
      </c>
      <c r="I55" s="94" t="e">
        <f>_xll.qlSwapRateHelper2(,$H55,,$D55,Calendar,$F55,$E55,$G55,$I$30,0,C55,Discounting,Permanent,,ObjectOverwrite)</f>
        <v>#VALUE!</v>
      </c>
      <c r="J55" s="91" t="b">
        <f t="shared" si="16"/>
        <v>0</v>
      </c>
      <c r="L55" s="21" t="str">
        <f t="shared" si="13"/>
        <v>Sw</v>
      </c>
      <c r="M55" s="21" t="e">
        <f t="shared" si="14"/>
        <v>#NUM!</v>
      </c>
      <c r="N55" s="21" t="e">
        <f t="shared" si="17"/>
        <v>#VALUE!</v>
      </c>
      <c r="O55" s="21" t="b">
        <f t="shared" si="17"/>
        <v>0</v>
      </c>
      <c r="P55" s="12">
        <v>0</v>
      </c>
      <c r="Q55" s="12">
        <v>0</v>
      </c>
      <c r="R55" s="12">
        <v>0</v>
      </c>
      <c r="S55" s="106" t="e">
        <f>_xll.qlRateHelperRate(R55,Trigger)</f>
        <v>#NUM!</v>
      </c>
      <c r="T55" s="13" t="e">
        <f>_xll.qlRateHelperEarliestDate(R55,Trigger)</f>
        <v>#NUM!</v>
      </c>
      <c r="U55" s="13" t="e">
        <f ca="1">_xll.qlRateHelperLatestDate(R55,Trigger)</f>
        <v>#NAME?</v>
      </c>
      <c r="V55" s="106" t="e">
        <v>#VALUE!</v>
      </c>
    </row>
    <row r="56" spans="1:22" ht="11.25" customHeight="1" x14ac:dyDescent="0.2">
      <c r="A56" s="96" t="s">
        <v>38</v>
      </c>
      <c r="B56" s="126"/>
      <c r="C56" s="126" t="s">
        <v>14</v>
      </c>
      <c r="D56" s="127" t="e">
        <v>#NUM!</v>
      </c>
      <c r="E56" s="119" t="s">
        <v>15</v>
      </c>
      <c r="F56" s="126" t="s">
        <v>16</v>
      </c>
      <c r="G56" s="119" t="s">
        <v>17</v>
      </c>
      <c r="H56" s="128" t="e">
        <v>#NUM!</v>
      </c>
      <c r="I56" s="94" t="e">
        <f>_xll.qlSwapRateHelper2(,$H56,,$D56,Calendar,$F56,$E56,$G56,$I$30,0,C56,Discounting,Permanent,,ObjectOverwrite)</f>
        <v>#VALUE!</v>
      </c>
      <c r="J56" s="91" t="b">
        <f t="shared" si="16"/>
        <v>0</v>
      </c>
      <c r="L56" s="21" t="str">
        <f t="shared" si="13"/>
        <v>Sw</v>
      </c>
      <c r="M56" s="21" t="e">
        <f t="shared" si="14"/>
        <v>#NUM!</v>
      </c>
      <c r="N56" s="21" t="e">
        <f t="shared" si="17"/>
        <v>#VALUE!</v>
      </c>
      <c r="O56" s="21" t="b">
        <f t="shared" si="17"/>
        <v>0</v>
      </c>
      <c r="P56" s="12">
        <v>0</v>
      </c>
      <c r="Q56" s="12">
        <v>0</v>
      </c>
      <c r="R56" s="12">
        <v>0</v>
      </c>
      <c r="S56" s="106" t="e">
        <f>_xll.qlRateHelperRate(R56,Trigger)</f>
        <v>#NUM!</v>
      </c>
      <c r="T56" s="13" t="e">
        <f>_xll.qlRateHelperEarliestDate(R56,Trigger)</f>
        <v>#NUM!</v>
      </c>
      <c r="U56" s="13" t="e">
        <f ca="1">_xll.qlRateHelperLatestDate(R56,Trigger)</f>
        <v>#NAME?</v>
      </c>
      <c r="V56" s="106" t="e">
        <v>#VALUE!</v>
      </c>
    </row>
    <row r="57" spans="1:22" ht="11.25" customHeight="1" x14ac:dyDescent="0.2">
      <c r="A57" s="96" t="s">
        <v>38</v>
      </c>
      <c r="B57" s="126"/>
      <c r="C57" s="126" t="s">
        <v>14</v>
      </c>
      <c r="D57" s="127" t="e">
        <v>#NUM!</v>
      </c>
      <c r="E57" s="119" t="s">
        <v>15</v>
      </c>
      <c r="F57" s="126" t="s">
        <v>16</v>
      </c>
      <c r="G57" s="119" t="s">
        <v>17</v>
      </c>
      <c r="H57" s="128" t="e">
        <v>#NUM!</v>
      </c>
      <c r="I57" s="94" t="e">
        <f>_xll.qlSwapRateHelper2(,$H57,,$D57,Calendar,$F57,$E57,$G57,$I$30,0,C57,Discounting,Permanent,,ObjectOverwrite)</f>
        <v>#VALUE!</v>
      </c>
      <c r="J57" s="91" t="b">
        <f t="shared" si="16"/>
        <v>0</v>
      </c>
      <c r="L57" s="21" t="str">
        <f t="shared" si="13"/>
        <v>Sw</v>
      </c>
      <c r="M57" s="21" t="e">
        <f t="shared" si="14"/>
        <v>#NUM!</v>
      </c>
      <c r="N57" s="21" t="e">
        <f t="shared" si="17"/>
        <v>#VALUE!</v>
      </c>
      <c r="O57" s="21" t="b">
        <f t="shared" si="17"/>
        <v>0</v>
      </c>
      <c r="P57" s="12">
        <v>0</v>
      </c>
      <c r="Q57" s="12">
        <v>0</v>
      </c>
      <c r="R57" s="12">
        <v>0</v>
      </c>
      <c r="S57" s="106" t="e">
        <f>_xll.qlRateHelperRate(R57,Trigger)</f>
        <v>#NUM!</v>
      </c>
      <c r="T57" s="13" t="e">
        <f>_xll.qlRateHelperEarliestDate(R57,Trigger)</f>
        <v>#NUM!</v>
      </c>
      <c r="U57" s="13" t="e">
        <f ca="1">_xll.qlRateHelperLatestDate(R57,Trigger)</f>
        <v>#NAME?</v>
      </c>
      <c r="V57" s="106" t="e">
        <v>#VALUE!</v>
      </c>
    </row>
    <row r="58" spans="1:22" ht="11.25" customHeight="1" x14ac:dyDescent="0.2">
      <c r="A58" s="96" t="s">
        <v>38</v>
      </c>
      <c r="B58" s="126"/>
      <c r="C58" s="126" t="s">
        <v>14</v>
      </c>
      <c r="D58" s="127" t="e">
        <v>#NUM!</v>
      </c>
      <c r="E58" s="119" t="s">
        <v>15</v>
      </c>
      <c r="F58" s="126" t="s">
        <v>16</v>
      </c>
      <c r="G58" s="119" t="s">
        <v>17</v>
      </c>
      <c r="H58" s="128" t="e">
        <v>#NUM!</v>
      </c>
      <c r="I58" s="94" t="e">
        <f>_xll.qlSwapRateHelper2(,$H58,,$D58,Calendar,$F58,$E58,$G58,$I$30,0,C58,Discounting,Permanent,,ObjectOverwrite)</f>
        <v>#VALUE!</v>
      </c>
      <c r="J58" s="91" t="b">
        <f t="shared" si="16"/>
        <v>0</v>
      </c>
      <c r="L58" s="21" t="str">
        <f t="shared" si="13"/>
        <v>Sw</v>
      </c>
      <c r="M58" s="21" t="e">
        <f t="shared" si="14"/>
        <v>#NUM!</v>
      </c>
      <c r="N58" s="21" t="e">
        <f t="shared" si="17"/>
        <v>#VALUE!</v>
      </c>
      <c r="O58" s="21" t="b">
        <f t="shared" si="17"/>
        <v>0</v>
      </c>
      <c r="P58" s="12">
        <v>0</v>
      </c>
      <c r="Q58" s="12">
        <v>0</v>
      </c>
      <c r="R58" s="12">
        <v>0</v>
      </c>
      <c r="S58" s="106" t="e">
        <f>_xll.qlRateHelperRate(R58,Trigger)</f>
        <v>#NUM!</v>
      </c>
      <c r="T58" s="13" t="e">
        <f>_xll.qlRateHelperEarliestDate(R58,Trigger)</f>
        <v>#NUM!</v>
      </c>
      <c r="U58" s="13" t="e">
        <f ca="1">_xll.qlRateHelperLatestDate(R58,Trigger)</f>
        <v>#NAME?</v>
      </c>
      <c r="V58" s="106" t="e">
        <v>#VALUE!</v>
      </c>
    </row>
    <row r="59" spans="1:22" ht="11.25" customHeight="1" x14ac:dyDescent="0.2">
      <c r="A59" s="96" t="s">
        <v>38</v>
      </c>
      <c r="B59" s="126"/>
      <c r="C59" s="126" t="s">
        <v>14</v>
      </c>
      <c r="D59" s="127" t="e">
        <v>#NUM!</v>
      </c>
      <c r="E59" s="119" t="s">
        <v>15</v>
      </c>
      <c r="F59" s="126" t="s">
        <v>16</v>
      </c>
      <c r="G59" s="119" t="s">
        <v>17</v>
      </c>
      <c r="H59" s="128" t="e">
        <v>#NUM!</v>
      </c>
      <c r="I59" s="94" t="e">
        <f>_xll.qlSwapRateHelper2(,$H59,,$D59,Calendar,$F59,$E59,$G59,$I$30,0,C59,Discounting,Permanent,,ObjectOverwrite)</f>
        <v>#VALUE!</v>
      </c>
      <c r="J59" s="91" t="b">
        <f t="shared" si="16"/>
        <v>0</v>
      </c>
      <c r="L59" s="21" t="str">
        <f t="shared" si="13"/>
        <v>Sw</v>
      </c>
      <c r="M59" s="21" t="e">
        <f t="shared" si="14"/>
        <v>#NUM!</v>
      </c>
      <c r="N59" s="21" t="e">
        <f t="shared" si="17"/>
        <v>#VALUE!</v>
      </c>
      <c r="O59" s="21" t="b">
        <f t="shared" si="17"/>
        <v>0</v>
      </c>
      <c r="P59" s="12">
        <v>0</v>
      </c>
      <c r="Q59" s="12">
        <v>0</v>
      </c>
      <c r="R59" s="12">
        <v>0</v>
      </c>
      <c r="S59" s="106" t="e">
        <f>_xll.qlRateHelperRate(R59,Trigger)</f>
        <v>#NUM!</v>
      </c>
      <c r="T59" s="13" t="e">
        <f>_xll.qlRateHelperEarliestDate(R59,Trigger)</f>
        <v>#NUM!</v>
      </c>
      <c r="U59" s="13" t="e">
        <f ca="1">_xll.qlRateHelperLatestDate(R59,Trigger)</f>
        <v>#NAME?</v>
      </c>
      <c r="V59" s="106" t="e">
        <v>#VALUE!</v>
      </c>
    </row>
    <row r="60" spans="1:22" ht="11.25" customHeight="1" x14ac:dyDescent="0.2">
      <c r="A60" s="96" t="s">
        <v>38</v>
      </c>
      <c r="B60" s="126"/>
      <c r="C60" s="126" t="s">
        <v>14</v>
      </c>
      <c r="D60" s="127" t="e">
        <v>#NUM!</v>
      </c>
      <c r="E60" s="119" t="s">
        <v>15</v>
      </c>
      <c r="F60" s="126" t="s">
        <v>16</v>
      </c>
      <c r="G60" s="119" t="s">
        <v>17</v>
      </c>
      <c r="H60" s="128" t="e">
        <v>#NUM!</v>
      </c>
      <c r="I60" s="94" t="e">
        <f>_xll.qlSwapRateHelper2(,$H60,,$D60,Calendar,$F60,$E60,$G60,$I$30,0,C60,Discounting,Permanent,,ObjectOverwrite)</f>
        <v>#VALUE!</v>
      </c>
      <c r="J60" s="91" t="b">
        <f t="shared" si="16"/>
        <v>0</v>
      </c>
      <c r="L60" s="21" t="str">
        <f t="shared" si="13"/>
        <v>Sw</v>
      </c>
      <c r="M60" s="21" t="e">
        <f t="shared" si="14"/>
        <v>#NUM!</v>
      </c>
      <c r="N60" s="21" t="e">
        <f t="shared" ref="N60:O71" si="18">I65</f>
        <v>#VALUE!</v>
      </c>
      <c r="O60" s="21" t="b">
        <f t="shared" si="18"/>
        <v>0</v>
      </c>
      <c r="P60" s="12">
        <v>0</v>
      </c>
      <c r="Q60" s="12">
        <v>0</v>
      </c>
      <c r="R60" s="12">
        <v>0</v>
      </c>
      <c r="S60" s="106" t="e">
        <f>_xll.qlRateHelperRate(R60,Trigger)</f>
        <v>#NUM!</v>
      </c>
      <c r="T60" s="13" t="e">
        <f>_xll.qlRateHelperEarliestDate(R60,Trigger)</f>
        <v>#NUM!</v>
      </c>
      <c r="U60" s="13" t="e">
        <f ca="1">_xll.qlRateHelperLatestDate(R60,Trigger)</f>
        <v>#NAME?</v>
      </c>
      <c r="V60" s="106" t="e">
        <v>#VALUE!</v>
      </c>
    </row>
    <row r="61" spans="1:22" ht="11.25" customHeight="1" x14ac:dyDescent="0.2">
      <c r="A61" s="96" t="s">
        <v>38</v>
      </c>
      <c r="B61" s="126"/>
      <c r="C61" s="126" t="s">
        <v>14</v>
      </c>
      <c r="D61" s="127" t="e">
        <v>#NUM!</v>
      </c>
      <c r="E61" s="119" t="s">
        <v>15</v>
      </c>
      <c r="F61" s="126" t="s">
        <v>16</v>
      </c>
      <c r="G61" s="119" t="s">
        <v>17</v>
      </c>
      <c r="H61" s="128" t="e">
        <v>#NUM!</v>
      </c>
      <c r="I61" s="94" t="e">
        <f>_xll.qlSwapRateHelper2(,$H61,,$D61,Calendar,$F61,$E61,$G61,$I$30,0,C61,Discounting,Permanent,,ObjectOverwrite)</f>
        <v>#VALUE!</v>
      </c>
      <c r="J61" s="91" t="b">
        <f t="shared" si="16"/>
        <v>0</v>
      </c>
      <c r="L61" s="21" t="str">
        <f t="shared" si="13"/>
        <v>Sw</v>
      </c>
      <c r="M61" s="21" t="e">
        <f t="shared" si="14"/>
        <v>#NUM!</v>
      </c>
      <c r="N61" s="21" t="e">
        <f t="shared" si="18"/>
        <v>#VALUE!</v>
      </c>
      <c r="O61" s="21" t="b">
        <f t="shared" si="18"/>
        <v>0</v>
      </c>
      <c r="P61" s="12">
        <v>0</v>
      </c>
      <c r="Q61" s="12">
        <v>0</v>
      </c>
      <c r="R61" s="12">
        <v>0</v>
      </c>
      <c r="S61" s="106" t="e">
        <f>_xll.qlRateHelperRate(R61,Trigger)</f>
        <v>#NUM!</v>
      </c>
      <c r="T61" s="13" t="e">
        <f>_xll.qlRateHelperEarliestDate(R61,Trigger)</f>
        <v>#NUM!</v>
      </c>
      <c r="U61" s="13" t="e">
        <f ca="1">_xll.qlRateHelperLatestDate(R61,Trigger)</f>
        <v>#NAME?</v>
      </c>
      <c r="V61" s="106" t="e">
        <v>#VALUE!</v>
      </c>
    </row>
    <row r="62" spans="1:22" ht="11.25" customHeight="1" x14ac:dyDescent="0.2">
      <c r="A62" s="96" t="s">
        <v>38</v>
      </c>
      <c r="B62" s="126"/>
      <c r="C62" s="126" t="s">
        <v>14</v>
      </c>
      <c r="D62" s="127" t="e">
        <v>#NUM!</v>
      </c>
      <c r="E62" s="119" t="s">
        <v>15</v>
      </c>
      <c r="F62" s="126" t="s">
        <v>16</v>
      </c>
      <c r="G62" s="119" t="s">
        <v>17</v>
      </c>
      <c r="H62" s="128" t="e">
        <v>#NUM!</v>
      </c>
      <c r="I62" s="94" t="e">
        <f>_xll.qlSwapRateHelper2(,$H62,,$D62,Calendar,$F62,$E62,$G62,$I$30,0,C62,Discounting,Permanent,,ObjectOverwrite)</f>
        <v>#VALUE!</v>
      </c>
      <c r="J62" s="91" t="b">
        <f t="shared" si="16"/>
        <v>0</v>
      </c>
      <c r="L62" s="21" t="str">
        <f t="shared" si="13"/>
        <v>Sw</v>
      </c>
      <c r="M62" s="21" t="e">
        <f t="shared" si="14"/>
        <v>#NUM!</v>
      </c>
      <c r="N62" s="21" t="e">
        <f t="shared" si="18"/>
        <v>#VALUE!</v>
      </c>
      <c r="O62" s="21" t="b">
        <f t="shared" si="18"/>
        <v>0</v>
      </c>
      <c r="P62" s="12">
        <v>0</v>
      </c>
      <c r="Q62" s="12">
        <v>0</v>
      </c>
      <c r="R62" s="12">
        <v>0</v>
      </c>
      <c r="S62" s="106" t="e">
        <f>_xll.qlRateHelperRate(R62,Trigger)</f>
        <v>#NUM!</v>
      </c>
      <c r="T62" s="13" t="e">
        <f>_xll.qlRateHelperEarliestDate(R62,Trigger)</f>
        <v>#NUM!</v>
      </c>
      <c r="U62" s="13" t="e">
        <f ca="1">_xll.qlRateHelperLatestDate(R62,Trigger)</f>
        <v>#NAME?</v>
      </c>
      <c r="V62" s="106" t="e">
        <v>#VALUE!</v>
      </c>
    </row>
    <row r="63" spans="1:22" ht="11.25" customHeight="1" x14ac:dyDescent="0.2">
      <c r="A63" s="96" t="s">
        <v>38</v>
      </c>
      <c r="B63" s="126"/>
      <c r="C63" s="126" t="s">
        <v>14</v>
      </c>
      <c r="D63" s="127" t="e">
        <v>#NUM!</v>
      </c>
      <c r="E63" s="119" t="s">
        <v>15</v>
      </c>
      <c r="F63" s="126" t="s">
        <v>16</v>
      </c>
      <c r="G63" s="119" t="s">
        <v>17</v>
      </c>
      <c r="H63" s="128" t="e">
        <v>#NUM!</v>
      </c>
      <c r="I63" s="94" t="e">
        <f>_xll.qlSwapRateHelper2(,$H63,,$D63,Calendar,$F63,$E63,$G63,$I$30,0,C63,Discounting,Permanent,,ObjectOverwrite)</f>
        <v>#VALUE!</v>
      </c>
      <c r="J63" s="91" t="b">
        <f t="shared" si="16"/>
        <v>0</v>
      </c>
      <c r="L63" s="21" t="str">
        <f t="shared" si="13"/>
        <v>Sw</v>
      </c>
      <c r="M63" s="21" t="e">
        <f t="shared" si="14"/>
        <v>#NUM!</v>
      </c>
      <c r="N63" s="21" t="e">
        <f t="shared" si="18"/>
        <v>#VALUE!</v>
      </c>
      <c r="O63" s="21" t="b">
        <f t="shared" si="18"/>
        <v>0</v>
      </c>
      <c r="P63" s="12">
        <v>0</v>
      </c>
      <c r="Q63" s="12">
        <v>0</v>
      </c>
      <c r="R63" s="12">
        <v>0</v>
      </c>
      <c r="S63" s="106" t="e">
        <f>_xll.qlRateHelperRate(R63,Trigger)</f>
        <v>#NUM!</v>
      </c>
      <c r="T63" s="13" t="e">
        <f>_xll.qlRateHelperEarliestDate(R63,Trigger)</f>
        <v>#NUM!</v>
      </c>
      <c r="U63" s="13" t="e">
        <f ca="1">_xll.qlRateHelperLatestDate(R63,Trigger)</f>
        <v>#NAME?</v>
      </c>
      <c r="V63" s="106" t="e">
        <v>#VALUE!</v>
      </c>
    </row>
    <row r="64" spans="1:22" ht="11.25" customHeight="1" x14ac:dyDescent="0.2">
      <c r="A64" s="96" t="s">
        <v>38</v>
      </c>
      <c r="B64" s="126"/>
      <c r="C64" s="126" t="s">
        <v>14</v>
      </c>
      <c r="D64" s="127" t="e">
        <v>#NUM!</v>
      </c>
      <c r="E64" s="119" t="s">
        <v>15</v>
      </c>
      <c r="F64" s="126" t="s">
        <v>16</v>
      </c>
      <c r="G64" s="119" t="s">
        <v>17</v>
      </c>
      <c r="H64" s="128" t="e">
        <v>#NUM!</v>
      </c>
      <c r="I64" s="94" t="e">
        <f>_xll.qlSwapRateHelper2(,$H64,,$D64,Calendar,$F64,$E64,$G64,$I$30,0,C64,Discounting,Permanent,,ObjectOverwrite)</f>
        <v>#VALUE!</v>
      </c>
      <c r="J64" s="91" t="b">
        <f t="shared" si="16"/>
        <v>0</v>
      </c>
      <c r="L64" s="21" t="str">
        <f t="shared" si="13"/>
        <v>Sw</v>
      </c>
      <c r="M64" s="21" t="e">
        <f t="shared" si="14"/>
        <v>#NUM!</v>
      </c>
      <c r="N64" s="21" t="e">
        <f t="shared" si="18"/>
        <v>#VALUE!</v>
      </c>
      <c r="O64" s="21" t="b">
        <f t="shared" si="18"/>
        <v>0</v>
      </c>
      <c r="P64" s="12">
        <v>0</v>
      </c>
      <c r="Q64" s="12">
        <v>0</v>
      </c>
      <c r="R64" s="12">
        <v>0</v>
      </c>
      <c r="S64" s="106" t="e">
        <f>_xll.qlRateHelperRate(R64,Trigger)</f>
        <v>#NUM!</v>
      </c>
      <c r="T64" s="13" t="e">
        <f>_xll.qlRateHelperEarliestDate(R64,Trigger)</f>
        <v>#NUM!</v>
      </c>
      <c r="U64" s="13" t="e">
        <f ca="1">_xll.qlRateHelperLatestDate(R64,Trigger)</f>
        <v>#NAME?</v>
      </c>
      <c r="V64" s="12" t="e">
        <v>#VALUE!</v>
      </c>
    </row>
    <row r="65" spans="1:22" ht="11.25" customHeight="1" x14ac:dyDescent="0.2">
      <c r="A65" s="96" t="s">
        <v>38</v>
      </c>
      <c r="B65" s="126"/>
      <c r="C65" s="126" t="s">
        <v>14</v>
      </c>
      <c r="D65" s="127" t="e">
        <v>#NUM!</v>
      </c>
      <c r="E65" s="119" t="s">
        <v>15</v>
      </c>
      <c r="F65" s="126" t="s">
        <v>16</v>
      </c>
      <c r="G65" s="119" t="s">
        <v>17</v>
      </c>
      <c r="H65" s="128" t="e">
        <v>#NUM!</v>
      </c>
      <c r="I65" s="94" t="e">
        <f>_xll.qlSwapRateHelper2(,$H65,,$D65,Calendar,$F65,$E65,$G65,$I$30,0,C65,Discounting,Permanent,,ObjectOverwrite)</f>
        <v>#VALUE!</v>
      </c>
      <c r="J65" s="91" t="b">
        <f t="shared" si="16"/>
        <v>0</v>
      </c>
      <c r="L65" s="21" t="str">
        <f t="shared" si="13"/>
        <v>Sw</v>
      </c>
      <c r="M65" s="21" t="e">
        <f t="shared" si="14"/>
        <v>#NUM!</v>
      </c>
      <c r="N65" s="21" t="e">
        <f t="shared" si="18"/>
        <v>#VALUE!</v>
      </c>
      <c r="O65" s="21" t="b">
        <f t="shared" si="18"/>
        <v>0</v>
      </c>
      <c r="P65" s="12">
        <v>0</v>
      </c>
      <c r="Q65" s="12">
        <v>0</v>
      </c>
      <c r="R65" s="12">
        <v>0</v>
      </c>
      <c r="S65" s="106" t="e">
        <f>_xll.qlRateHelperRate(R65,Trigger)</f>
        <v>#NUM!</v>
      </c>
      <c r="T65" s="13" t="e">
        <f>_xll.qlRateHelperEarliestDate(R65,Trigger)</f>
        <v>#NUM!</v>
      </c>
      <c r="U65" s="13" t="e">
        <f ca="1">_xll.qlRateHelperLatestDate(R65,Trigger)</f>
        <v>#NAME?</v>
      </c>
      <c r="V65" s="12" t="e">
        <v>#VALUE!</v>
      </c>
    </row>
    <row r="66" spans="1:22" ht="11.25" customHeight="1" x14ac:dyDescent="0.2">
      <c r="A66" s="96" t="s">
        <v>38</v>
      </c>
      <c r="B66" s="126"/>
      <c r="C66" s="126" t="s">
        <v>14</v>
      </c>
      <c r="D66" s="127" t="e">
        <v>#NUM!</v>
      </c>
      <c r="E66" s="119" t="s">
        <v>15</v>
      </c>
      <c r="F66" s="126" t="s">
        <v>16</v>
      </c>
      <c r="G66" s="119" t="s">
        <v>17</v>
      </c>
      <c r="H66" s="128" t="e">
        <v>#NUM!</v>
      </c>
      <c r="I66" s="94" t="e">
        <f>_xll.qlSwapRateHelper2(,$H66,,$D66,Calendar,$F66,$E66,$G66,$I$30,0,C66,Discounting,Permanent,,ObjectOverwrite)</f>
        <v>#VALUE!</v>
      </c>
      <c r="J66" s="91" t="b">
        <f t="shared" si="16"/>
        <v>0</v>
      </c>
      <c r="L66" s="21" t="str">
        <f t="shared" si="13"/>
        <v>Sw</v>
      </c>
      <c r="M66" s="21" t="e">
        <f t="shared" si="14"/>
        <v>#NUM!</v>
      </c>
      <c r="N66" s="21" t="e">
        <f t="shared" si="18"/>
        <v>#VALUE!</v>
      </c>
      <c r="O66" s="21" t="b">
        <f t="shared" si="18"/>
        <v>0</v>
      </c>
      <c r="P66" s="12">
        <v>0</v>
      </c>
      <c r="Q66" s="12">
        <v>0</v>
      </c>
      <c r="R66" s="12">
        <v>0</v>
      </c>
      <c r="S66" s="106" t="e">
        <f>_xll.qlRateHelperRate(R66,Trigger)</f>
        <v>#NUM!</v>
      </c>
      <c r="T66" s="13" t="e">
        <f>_xll.qlRateHelperEarliestDate(R66,Trigger)</f>
        <v>#NUM!</v>
      </c>
      <c r="U66" s="13" t="e">
        <f ca="1">_xll.qlRateHelperLatestDate(R66,Trigger)</f>
        <v>#NAME?</v>
      </c>
      <c r="V66" s="12" t="e">
        <v>#VALUE!</v>
      </c>
    </row>
    <row r="67" spans="1:22" ht="11.25" customHeight="1" x14ac:dyDescent="0.2">
      <c r="A67" s="96" t="s">
        <v>38</v>
      </c>
      <c r="B67" s="126"/>
      <c r="C67" s="126" t="s">
        <v>14</v>
      </c>
      <c r="D67" s="127" t="e">
        <v>#NUM!</v>
      </c>
      <c r="E67" s="119" t="s">
        <v>15</v>
      </c>
      <c r="F67" s="126" t="s">
        <v>16</v>
      </c>
      <c r="G67" s="119" t="s">
        <v>17</v>
      </c>
      <c r="H67" s="128" t="e">
        <v>#NUM!</v>
      </c>
      <c r="I67" s="94" t="e">
        <f>_xll.qlSwapRateHelper2(,$H67,,$D67,Calendar,$F67,$E67,$G67,$I$30,0,C67,Discounting,Permanent,,ObjectOverwrite)</f>
        <v>#VALUE!</v>
      </c>
      <c r="J67" s="91" t="b">
        <f t="shared" si="16"/>
        <v>0</v>
      </c>
      <c r="L67" s="21" t="str">
        <f t="shared" si="13"/>
        <v>Sw</v>
      </c>
      <c r="M67" s="21" t="e">
        <f t="shared" si="14"/>
        <v>#NUM!</v>
      </c>
      <c r="N67" s="21" t="e">
        <f t="shared" si="18"/>
        <v>#VALUE!</v>
      </c>
      <c r="O67" s="21" t="b">
        <f t="shared" si="18"/>
        <v>0</v>
      </c>
      <c r="P67" s="12">
        <v>0</v>
      </c>
      <c r="Q67" s="12">
        <v>0</v>
      </c>
      <c r="R67" s="12">
        <v>0</v>
      </c>
      <c r="S67" s="106" t="e">
        <f>_xll.qlRateHelperRate(R67,Trigger)</f>
        <v>#NUM!</v>
      </c>
      <c r="T67" s="13" t="e">
        <f>_xll.qlRateHelperEarliestDate(R67,Trigger)</f>
        <v>#NUM!</v>
      </c>
      <c r="U67" s="13" t="e">
        <f ca="1">_xll.qlRateHelperLatestDate(R67,Trigger)</f>
        <v>#NAME?</v>
      </c>
      <c r="V67" s="12" t="e">
        <v>#VALUE!</v>
      </c>
    </row>
    <row r="68" spans="1:22" ht="11.25" customHeight="1" x14ac:dyDescent="0.2">
      <c r="A68" s="96" t="s">
        <v>38</v>
      </c>
      <c r="B68" s="126"/>
      <c r="C68" s="126" t="s">
        <v>14</v>
      </c>
      <c r="D68" s="127" t="e">
        <v>#NUM!</v>
      </c>
      <c r="E68" s="119" t="s">
        <v>15</v>
      </c>
      <c r="F68" s="126" t="s">
        <v>16</v>
      </c>
      <c r="G68" s="119" t="s">
        <v>17</v>
      </c>
      <c r="H68" s="128" t="e">
        <v>#NUM!</v>
      </c>
      <c r="I68" s="94" t="e">
        <f>_xll.qlSwapRateHelper2(,$H68,,$D68,Calendar,$F68,$E68,$G68,$I$30,0,C68,Discounting,Permanent,,ObjectOverwrite)</f>
        <v>#VALUE!</v>
      </c>
      <c r="J68" s="91" t="b">
        <f t="shared" si="16"/>
        <v>0</v>
      </c>
      <c r="L68" s="21" t="str">
        <f t="shared" si="13"/>
        <v>Sw</v>
      </c>
      <c r="M68" s="21" t="e">
        <f t="shared" si="14"/>
        <v>#NUM!</v>
      </c>
      <c r="N68" s="21" t="e">
        <f t="shared" si="18"/>
        <v>#VALUE!</v>
      </c>
      <c r="O68" s="21" t="b">
        <f t="shared" si="18"/>
        <v>0</v>
      </c>
      <c r="P68" s="12">
        <v>0</v>
      </c>
      <c r="Q68" s="12">
        <v>0</v>
      </c>
      <c r="R68" s="12">
        <v>0</v>
      </c>
      <c r="S68" s="106" t="e">
        <f>_xll.qlRateHelperRate(R68,Trigger)</f>
        <v>#NUM!</v>
      </c>
      <c r="T68" s="13" t="e">
        <f>_xll.qlRateHelperEarliestDate(R68,Trigger)</f>
        <v>#NUM!</v>
      </c>
      <c r="U68" s="13" t="e">
        <f ca="1">_xll.qlRateHelperLatestDate(R68,Trigger)</f>
        <v>#NAME?</v>
      </c>
      <c r="V68" s="12" t="e">
        <v>#VALUE!</v>
      </c>
    </row>
    <row r="69" spans="1:22" ht="11.25" customHeight="1" x14ac:dyDescent="0.2">
      <c r="A69" s="96" t="s">
        <v>38</v>
      </c>
      <c r="B69" s="126"/>
      <c r="C69" s="126" t="s">
        <v>14</v>
      </c>
      <c r="D69" s="127" t="e">
        <v>#NUM!</v>
      </c>
      <c r="E69" s="119" t="s">
        <v>15</v>
      </c>
      <c r="F69" s="126" t="s">
        <v>16</v>
      </c>
      <c r="G69" s="119" t="s">
        <v>17</v>
      </c>
      <c r="H69" s="128" t="e">
        <v>#NUM!</v>
      </c>
      <c r="I69" s="94" t="e">
        <f>_xll.qlSwapRateHelper2(,$H69,,$D69,Calendar,$F69,$E69,$G69,$I$30,0,C69,Discounting,Permanent,,ObjectOverwrite)</f>
        <v>#VALUE!</v>
      </c>
      <c r="J69" s="91" t="b">
        <f t="shared" si="16"/>
        <v>0</v>
      </c>
      <c r="L69" s="21" t="str">
        <f t="shared" si="13"/>
        <v>Sw</v>
      </c>
      <c r="M69" s="21" t="e">
        <f t="shared" si="14"/>
        <v>#NUM!</v>
      </c>
      <c r="N69" s="21" t="e">
        <f t="shared" si="18"/>
        <v>#VALUE!</v>
      </c>
      <c r="O69" s="21" t="b">
        <f t="shared" si="18"/>
        <v>0</v>
      </c>
      <c r="P69" s="12">
        <v>0</v>
      </c>
      <c r="Q69" s="12">
        <v>0</v>
      </c>
      <c r="R69" s="12">
        <v>0</v>
      </c>
      <c r="S69" s="106" t="e">
        <f>_xll.qlRateHelperRate(R69,Trigger)</f>
        <v>#NUM!</v>
      </c>
      <c r="T69" s="13" t="e">
        <f>_xll.qlRateHelperEarliestDate(R69,Trigger)</f>
        <v>#NUM!</v>
      </c>
      <c r="U69" s="13" t="e">
        <f ca="1">_xll.qlRateHelperLatestDate(R69,Trigger)</f>
        <v>#NAME?</v>
      </c>
      <c r="V69" s="12" t="e">
        <v>#VALUE!</v>
      </c>
    </row>
    <row r="70" spans="1:22" ht="11.25" customHeight="1" x14ac:dyDescent="0.2">
      <c r="A70" s="96" t="s">
        <v>38</v>
      </c>
      <c r="B70" s="126"/>
      <c r="C70" s="126" t="s">
        <v>14</v>
      </c>
      <c r="D70" s="127" t="e">
        <v>#NUM!</v>
      </c>
      <c r="E70" s="119" t="s">
        <v>15</v>
      </c>
      <c r="F70" s="126" t="s">
        <v>16</v>
      </c>
      <c r="G70" s="119" t="s">
        <v>17</v>
      </c>
      <c r="H70" s="128" t="e">
        <v>#NUM!</v>
      </c>
      <c r="I70" s="94" t="e">
        <f>_xll.qlSwapRateHelper2(,$H70,,$D70,Calendar,$F70,$E70,$G70,$I$30,0,C70,Discounting,Permanent,,ObjectOverwrite)</f>
        <v>#VALUE!</v>
      </c>
      <c r="J70" s="91" t="b">
        <f t="shared" si="16"/>
        <v>0</v>
      </c>
      <c r="L70" s="21" t="str">
        <f t="shared" si="13"/>
        <v>Sw</v>
      </c>
      <c r="M70" s="21" t="e">
        <f t="shared" si="14"/>
        <v>#NUM!</v>
      </c>
      <c r="N70" s="21" t="e">
        <f t="shared" si="18"/>
        <v>#VALUE!</v>
      </c>
      <c r="O70" s="21" t="b">
        <f t="shared" si="18"/>
        <v>0</v>
      </c>
      <c r="P70" s="12">
        <v>0</v>
      </c>
      <c r="Q70" s="12">
        <v>0</v>
      </c>
      <c r="R70" s="12">
        <v>0</v>
      </c>
      <c r="S70" s="106" t="e">
        <f>_xll.qlRateHelperRate(R70,Trigger)</f>
        <v>#NUM!</v>
      </c>
      <c r="T70" s="13" t="e">
        <f>_xll.qlRateHelperEarliestDate(R70,Trigger)</f>
        <v>#NUM!</v>
      </c>
      <c r="U70" s="13" t="e">
        <f ca="1">_xll.qlRateHelperLatestDate(R70,Trigger)</f>
        <v>#NAME?</v>
      </c>
      <c r="V70" s="12" t="e">
        <v>#VALUE!</v>
      </c>
    </row>
    <row r="71" spans="1:22" ht="11.25" customHeight="1" x14ac:dyDescent="0.2">
      <c r="A71" s="96" t="s">
        <v>38</v>
      </c>
      <c r="B71" s="126"/>
      <c r="C71" s="126" t="s">
        <v>14</v>
      </c>
      <c r="D71" s="127" t="e">
        <v>#NUM!</v>
      </c>
      <c r="E71" s="119" t="s">
        <v>15</v>
      </c>
      <c r="F71" s="126" t="s">
        <v>16</v>
      </c>
      <c r="G71" s="119" t="s">
        <v>17</v>
      </c>
      <c r="H71" s="128" t="e">
        <v>#NUM!</v>
      </c>
      <c r="I71" s="94" t="e">
        <f>_xll.qlSwapRateHelper2(,$H71,,$D71,Calendar,$F71,$E71,$G71,$I$30,0,C71,Discounting,Permanent,,ObjectOverwrite)</f>
        <v>#VALUE!</v>
      </c>
      <c r="J71" s="91" t="b">
        <f t="shared" si="16"/>
        <v>0</v>
      </c>
      <c r="L71" s="22" t="str">
        <f t="shared" si="13"/>
        <v>Sw</v>
      </c>
      <c r="M71" s="22" t="e">
        <f t="shared" si="14"/>
        <v>#NUM!</v>
      </c>
      <c r="N71" s="22" t="e">
        <f t="shared" si="18"/>
        <v>#VALUE!</v>
      </c>
      <c r="O71" s="22" t="b">
        <f t="shared" si="18"/>
        <v>0</v>
      </c>
      <c r="P71" s="14">
        <v>0</v>
      </c>
      <c r="Q71" s="14">
        <v>0</v>
      </c>
      <c r="R71" s="14">
        <v>0</v>
      </c>
      <c r="S71" s="146" t="e">
        <f>_xll.qlRateHelperRate(R71,Trigger)</f>
        <v>#NUM!</v>
      </c>
      <c r="T71" s="25" t="e">
        <f>_xll.qlRateHelperEarliestDate(R71,Trigger)</f>
        <v>#NUM!</v>
      </c>
      <c r="U71" s="25" t="e">
        <f ca="1">_xll.qlRateHelperLatestDate(R71,Trigger)</f>
        <v>#NAME?</v>
      </c>
      <c r="V71" s="14" t="e">
        <v>#VALUE!</v>
      </c>
    </row>
    <row r="72" spans="1:22" ht="11.25" customHeight="1" x14ac:dyDescent="0.2">
      <c r="A72" s="96" t="s">
        <v>38</v>
      </c>
      <c r="B72" s="126"/>
      <c r="C72" s="126" t="s">
        <v>14</v>
      </c>
      <c r="D72" s="127" t="e">
        <v>#NUM!</v>
      </c>
      <c r="E72" s="119" t="s">
        <v>15</v>
      </c>
      <c r="F72" s="126" t="s">
        <v>16</v>
      </c>
      <c r="G72" s="119" t="s">
        <v>17</v>
      </c>
      <c r="H72" s="128" t="e">
        <v>#NUM!</v>
      </c>
      <c r="I72" s="94" t="e">
        <f>_xll.qlSwapRateHelper2(,$H72,,$D72,Calendar,$F72,$E72,$G72,$I$30,0,C72,Discounting,Permanent,,ObjectOverwrite)</f>
        <v>#VALUE!</v>
      </c>
      <c r="J72" s="91" t="b">
        <f t="shared" si="16"/>
        <v>0</v>
      </c>
      <c r="L72" s="11"/>
      <c r="M72" s="11"/>
      <c r="N72" s="11"/>
      <c r="O72" s="11"/>
    </row>
    <row r="73" spans="1:22" ht="11.25" customHeight="1" x14ac:dyDescent="0.2">
      <c r="A73" s="96" t="s">
        <v>38</v>
      </c>
      <c r="B73" s="126"/>
      <c r="C73" s="126" t="s">
        <v>14</v>
      </c>
      <c r="D73" s="127" t="e">
        <v>#NUM!</v>
      </c>
      <c r="E73" s="119" t="s">
        <v>15</v>
      </c>
      <c r="F73" s="126" t="s">
        <v>16</v>
      </c>
      <c r="G73" s="119" t="s">
        <v>17</v>
      </c>
      <c r="H73" s="128" t="e">
        <v>#NUM!</v>
      </c>
      <c r="I73" s="94" t="e">
        <f>_xll.qlSwapRateHelper2(,$H73,,$D73,Calendar,$F73,$E73,$G73,$I$30,0,C73,Discounting,Permanent,,ObjectOverwrite)</f>
        <v>#VALUE!</v>
      </c>
      <c r="J73" s="91" t="b">
        <f t="shared" si="16"/>
        <v>0</v>
      </c>
      <c r="L73" s="11"/>
      <c r="M73" s="11"/>
      <c r="N73" s="11"/>
      <c r="O73" s="11"/>
    </row>
    <row r="74" spans="1:22" ht="11.25" customHeight="1" x14ac:dyDescent="0.2">
      <c r="A74" s="96" t="s">
        <v>38</v>
      </c>
      <c r="B74" s="126"/>
      <c r="C74" s="126" t="s">
        <v>14</v>
      </c>
      <c r="D74" s="127" t="e">
        <v>#NUM!</v>
      </c>
      <c r="E74" s="119" t="s">
        <v>15</v>
      </c>
      <c r="F74" s="126" t="s">
        <v>16</v>
      </c>
      <c r="G74" s="119" t="s">
        <v>17</v>
      </c>
      <c r="H74" s="128" t="e">
        <v>#NUM!</v>
      </c>
      <c r="I74" s="94" t="e">
        <f>_xll.qlSwapRateHelper2(,$H74,,$D74,Calendar,$F74,$E74,$G74,$I$30,0,C74,Discounting,Permanent,,ObjectOverwrite)</f>
        <v>#VALUE!</v>
      </c>
      <c r="J74" s="91" t="b">
        <f t="shared" si="16"/>
        <v>0</v>
      </c>
      <c r="L74" s="11"/>
      <c r="M74" s="11"/>
      <c r="N74" s="11"/>
      <c r="O74" s="11"/>
    </row>
    <row r="75" spans="1:22" ht="11.25" customHeight="1" x14ac:dyDescent="0.2">
      <c r="A75" s="96" t="s">
        <v>38</v>
      </c>
      <c r="B75" s="126"/>
      <c r="C75" s="126" t="s">
        <v>14</v>
      </c>
      <c r="D75" s="127" t="e">
        <v>#NUM!</v>
      </c>
      <c r="E75" s="119" t="s">
        <v>15</v>
      </c>
      <c r="F75" s="126" t="s">
        <v>16</v>
      </c>
      <c r="G75" s="119" t="s">
        <v>17</v>
      </c>
      <c r="H75" s="128" t="e">
        <v>#NUM!</v>
      </c>
      <c r="I75" s="94" t="e">
        <f>_xll.qlSwapRateHelper2(,$H75,,$D75,Calendar,$F75,$E75,$G75,$I$30,0,C75,Discounting,Permanent,,ObjectOverwrite)</f>
        <v>#VALUE!</v>
      </c>
      <c r="J75" s="91" t="b">
        <f t="shared" si="16"/>
        <v>0</v>
      </c>
      <c r="L75" s="11"/>
      <c r="M75" s="11"/>
      <c r="N75" s="11"/>
      <c r="O75" s="11"/>
    </row>
    <row r="76" spans="1:22" ht="11.25" customHeight="1" x14ac:dyDescent="0.2">
      <c r="A76" s="6" t="s">
        <v>38</v>
      </c>
      <c r="B76" s="129"/>
      <c r="C76" s="129" t="s">
        <v>14</v>
      </c>
      <c r="D76" s="130" t="e">
        <v>#NUM!</v>
      </c>
      <c r="E76" s="2" t="s">
        <v>15</v>
      </c>
      <c r="F76" s="129" t="s">
        <v>16</v>
      </c>
      <c r="G76" s="2" t="s">
        <v>17</v>
      </c>
      <c r="H76" s="131" t="e">
        <v>#NUM!</v>
      </c>
      <c r="I76" s="4" t="e">
        <f>_xll.qlSwapRateHelper2(,$H76,,$D76,Calendar,$F76,$E76,$G76,$I$30,0,C76,Discounting,Permanent,,ObjectOverwrite)</f>
        <v>#VALUE!</v>
      </c>
      <c r="J76" s="16" t="b">
        <f t="shared" si="16"/>
        <v>0</v>
      </c>
      <c r="L76" s="11"/>
      <c r="M76" s="11"/>
      <c r="N76" s="11"/>
      <c r="O76" s="11"/>
    </row>
    <row r="77" spans="1:22" ht="11.25" customHeight="1" x14ac:dyDescent="0.2"/>
    <row r="78" spans="1:22" ht="11.25" customHeight="1" x14ac:dyDescent="0.2"/>
    <row r="79" spans="1:22" ht="11.25" customHeight="1" x14ac:dyDescent="0.2"/>
    <row r="80" spans="1:22" ht="11.25" customHeight="1" x14ac:dyDescent="0.2"/>
  </sheetData>
  <dataValidations count="4">
    <dataValidation type="list" allowBlank="1" showInputMessage="1" showErrorMessage="1" sqref="E32:E76">
      <formula1>"Following,Modified Following,Preceding,Modified Preceding,Month End Reference,Unadjusted Month End,Unadjusted"</formula1>
    </dataValidation>
    <dataValidation type="list" allowBlank="1" showInputMessage="1" showErrorMessage="1" sqref="F32:F76">
      <formula1>"Annual,Semiannual,EveryFourthMonth,Quarterly,Bimonthly,Monthly,Biweekly,Weekly,Daily,Once,NoFrequency"</formula1>
    </dataValidation>
    <dataValidation type="list" allowBlank="1" showInputMessage="1" showErrorMessage="1" sqref="G32:G76 G3:G1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21:E28">
      <formula1>"Following,Modified Following,Preceding,Modified Preceding,Unadjusted"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80"/>
  <sheetViews>
    <sheetView showGridLines="0" topLeftCell="K1" zoomScaleNormal="100" workbookViewId="0">
      <selection activeCell="V1" sqref="V1"/>
    </sheetView>
  </sheetViews>
  <sheetFormatPr defaultRowHeight="11.25" outlineLevelCol="2" x14ac:dyDescent="0.2"/>
  <cols>
    <col min="1" max="1" width="5" style="64" hidden="1" customWidth="1" outlineLevel="1"/>
    <col min="2" max="2" width="17.28515625" style="64" hidden="1" customWidth="1" outlineLevel="2"/>
    <col min="3" max="3" width="10" style="78" hidden="1" customWidth="1" outlineLevel="1" collapsed="1"/>
    <col min="4" max="4" width="7.7109375" style="77" hidden="1" customWidth="1" outlineLevel="1"/>
    <col min="5" max="5" width="19.42578125" style="79" hidden="1" customWidth="1" outlineLevel="1"/>
    <col min="6" max="6" width="10" style="64" hidden="1" customWidth="1" outlineLevel="1"/>
    <col min="7" max="7" width="20.28515625" style="64" hidden="1" customWidth="1" outlineLevel="1"/>
    <col min="8" max="8" width="12.140625" style="64" hidden="1" customWidth="1" outlineLevel="1"/>
    <col min="9" max="9" width="15.140625" style="64" hidden="1" customWidth="1" outlineLevel="1"/>
    <col min="10" max="10" width="9" style="77" hidden="1" customWidth="1" outlineLevel="1"/>
    <col min="11" max="11" width="2.7109375" style="64" customWidth="1" collapsed="1"/>
    <col min="12" max="12" width="11.5703125" style="64" hidden="1" customWidth="1" outlineLevel="1"/>
    <col min="13" max="13" width="10" style="64" hidden="1" customWidth="1" outlineLevel="1"/>
    <col min="14" max="14" width="15.140625" style="64" hidden="1" customWidth="1" outlineLevel="1"/>
    <col min="15" max="15" width="12" style="64" hidden="1" customWidth="1" outlineLevel="1"/>
    <col min="16" max="16" width="5" style="64" bestFit="1" customWidth="1" collapsed="1"/>
    <col min="17" max="17" width="6" style="64" bestFit="1" customWidth="1"/>
    <col min="18" max="18" width="15.140625" style="64" hidden="1" customWidth="1" outlineLevel="1"/>
    <col min="19" max="19" width="9" style="64" bestFit="1" customWidth="1" collapsed="1"/>
    <col min="20" max="21" width="17.28515625" style="64" bestFit="1" customWidth="1"/>
    <col min="22" max="22" width="9" style="64" bestFit="1" customWidth="1"/>
    <col min="23" max="23" width="15.140625" style="64" bestFit="1" customWidth="1"/>
    <col min="24" max="24" width="9" style="64" bestFit="1" customWidth="1"/>
    <col min="25" max="16384" width="9.140625" style="64"/>
  </cols>
  <sheetData>
    <row r="1" spans="1:22" ht="21" customHeight="1" x14ac:dyDescent="0.2">
      <c r="B1" s="67"/>
      <c r="C1" s="68"/>
      <c r="D1" s="69"/>
      <c r="E1" s="70"/>
      <c r="F1" s="71"/>
      <c r="J1" s="69"/>
      <c r="L1" s="98"/>
      <c r="M1" s="99"/>
      <c r="N1" s="99"/>
      <c r="O1" s="100"/>
      <c r="P1" s="101" t="s">
        <v>50</v>
      </c>
      <c r="Q1" s="99"/>
      <c r="R1" s="99"/>
      <c r="S1" s="104"/>
      <c r="T1" s="99"/>
      <c r="U1" s="99"/>
      <c r="V1" s="135" t="s">
        <v>54</v>
      </c>
    </row>
    <row r="2" spans="1:22" ht="21" customHeight="1" x14ac:dyDescent="0.2">
      <c r="A2" s="97" t="s">
        <v>18</v>
      </c>
      <c r="B2" s="97"/>
      <c r="C2" s="97" t="s">
        <v>1</v>
      </c>
      <c r="D2" s="97" t="s">
        <v>2</v>
      </c>
      <c r="E2" s="97" t="s">
        <v>53</v>
      </c>
      <c r="F2" s="97" t="s">
        <v>3</v>
      </c>
      <c r="G2" s="97" t="s">
        <v>4</v>
      </c>
      <c r="H2" s="97" t="s">
        <v>5</v>
      </c>
      <c r="I2" s="97" t="s">
        <v>36</v>
      </c>
      <c r="J2" s="97" t="s">
        <v>40</v>
      </c>
      <c r="L2" s="132" t="s">
        <v>18</v>
      </c>
      <c r="M2" s="132"/>
      <c r="N2" s="132" t="s">
        <v>36</v>
      </c>
      <c r="O2" s="132"/>
      <c r="P2" s="132" t="s">
        <v>18</v>
      </c>
      <c r="Q2" s="132" t="s">
        <v>44</v>
      </c>
      <c r="R2" s="132" t="s">
        <v>36</v>
      </c>
      <c r="S2" s="133" t="s">
        <v>35</v>
      </c>
      <c r="T2" s="132" t="s">
        <v>33</v>
      </c>
      <c r="U2" s="132" t="s">
        <v>34</v>
      </c>
      <c r="V2" s="105" t="e">
        <f t="array" ref="V2:V71">_xll.qlPiecewiseYieldCurveData(YieldCurve_STD,Trigger)</f>
        <v>#VALUE!</v>
      </c>
    </row>
    <row r="3" spans="1:22" ht="11.25" customHeight="1" x14ac:dyDescent="0.2">
      <c r="A3" s="81" t="s">
        <v>39</v>
      </c>
      <c r="B3" s="81" t="e">
        <f t="array" ref="B3:B18">_xll.ohFilter(#REF!,#REF!="Dp")</f>
        <v>#NUM!</v>
      </c>
      <c r="C3" s="82" t="e">
        <f>IF(LEFT(B3,1)="#",(_xll.qlCalendarBusinessDaysBetween(Calendar,Settlementdate,DATE(RIGHT(LEFT(B3,5),4),LEFT(RIGHT(B3,4),2),RIGHT(B3,2)),,TRUE,Trigger)-1)&amp;"D",B3)</f>
        <v>#NUM!</v>
      </c>
      <c r="D3" s="83" t="e">
        <f>IF(C3="O/N",0,IF(C3="T/N",1,2))</f>
        <v>#NUM!</v>
      </c>
      <c r="E3" s="84" t="e">
        <f t="shared" ref="E3:E18" si="0">IF(OR(RIGHT(C3,1)="M",RIGHT(C3,1)="D"),"Modified Following","Following")</f>
        <v>#NUM!</v>
      </c>
      <c r="F3" s="85" t="e">
        <f t="shared" ref="F3:F9" si="1">IF(OR(RIGHT(C3,1)="M",RIGHT(C3,1)="D"),"TRUE","FALSE")</f>
        <v>#NUM!</v>
      </c>
      <c r="G3" s="123" t="s">
        <v>41</v>
      </c>
      <c r="H3" s="87" t="e">
        <f t="array" ref="H3:H18">_xll.ohFilter(#REF!,#REF!="Dp")/100</f>
        <v>#NUM!</v>
      </c>
      <c r="I3" s="88" t="e">
        <f>_xll.qlDepositRateHelper2(,H3,IF(RIGHT(C3,1)="N","1D",C3),D3,Calendar,E3,F3,G3,,Trigger)</f>
        <v>#VALUE!</v>
      </c>
      <c r="J3" s="83" t="b">
        <f>IF(ISNUMBER(H3),TRUE,FALSE)</f>
        <v>0</v>
      </c>
      <c r="K3" s="67"/>
      <c r="L3" s="102" t="str">
        <f t="shared" ref="L3:L18" si="2">A3</f>
        <v>Dp</v>
      </c>
      <c r="M3" s="102" t="e">
        <f t="shared" ref="M3:M18" si="3">C3</f>
        <v>#NUM!</v>
      </c>
      <c r="N3" s="103" t="e">
        <f t="shared" ref="N3:N18" si="4">I3</f>
        <v>#VALUE!</v>
      </c>
      <c r="O3" s="103" t="b">
        <f t="shared" ref="O3:O18" si="5">J3</f>
        <v>0</v>
      </c>
      <c r="P3" s="12">
        <f t="array" ref="P3:P71">_xll.ohPack(_xll.ohFilter(L3:L71,O3:O71),Trigger)</f>
        <v>0</v>
      </c>
      <c r="Q3" s="12">
        <f t="array" ref="Q3:Q71">_xll.ohPack(_xll.ohFilter(M3:M71,O3:O71),Trigger)</f>
        <v>0</v>
      </c>
      <c r="R3" s="12">
        <f t="array" ref="R3:R71">_xll.ohPack(_xll.ohFilter(N3:N71,O3:O71))</f>
        <v>0</v>
      </c>
      <c r="S3" s="106" t="e">
        <f>_xll.qlRateHelperRate(R3,Trigger)</f>
        <v>#NUM!</v>
      </c>
      <c r="T3" s="13" t="e">
        <f>_xll.qlRateHelperEarliestDate(R3,Trigger)</f>
        <v>#NUM!</v>
      </c>
      <c r="U3" s="13" t="e">
        <f ca="1">_xll.qlRateHelperLatestDate(R3,Trigger)</f>
        <v>#NAME?</v>
      </c>
      <c r="V3" s="106" t="e">
        <v>#VALUE!</v>
      </c>
    </row>
    <row r="4" spans="1:22" ht="11.25" customHeight="1" x14ac:dyDescent="0.2">
      <c r="A4" s="89" t="s">
        <v>39</v>
      </c>
      <c r="B4" s="89" t="e">
        <v>#NUM!</v>
      </c>
      <c r="C4" s="90" t="e">
        <f>IF(LEFT(B4,1)="#",(_xll.qlCalendarBusinessDaysBetween(Calendar,Settlementdate,DATE(RIGHT(LEFT(B4,5),4),LEFT(RIGHT(B4,4),2),RIGHT(B4,2)),,TRUE,Trigger)-1)&amp;"D",B4)</f>
        <v>#NUM!</v>
      </c>
      <c r="D4" s="91" t="e">
        <f t="shared" ref="D4:D17" si="6">IF(C4="O/N",0,IF(C4="T/N",1,2))</f>
        <v>#NUM!</v>
      </c>
      <c r="E4" s="92" t="e">
        <f t="shared" si="0"/>
        <v>#NUM!</v>
      </c>
      <c r="F4" s="93" t="e">
        <f t="shared" si="1"/>
        <v>#NUM!</v>
      </c>
      <c r="G4" s="126" t="s">
        <v>41</v>
      </c>
      <c r="H4" s="95" t="e">
        <v>#NUM!</v>
      </c>
      <c r="I4" s="96" t="e">
        <f>_xll.qlDepositRateHelper2(,H4,IF(RIGHT(C4,1)="N","1D",C4),D4,Calendar,E4,F4,G4,,Trigger)</f>
        <v>#VALUE!</v>
      </c>
      <c r="J4" s="91" t="b">
        <f t="shared" ref="J4:J18" si="7">IF(ISNUMBER(H4),TRUE,FALSE)</f>
        <v>0</v>
      </c>
      <c r="K4" s="66"/>
      <c r="L4" s="21" t="str">
        <f t="shared" si="2"/>
        <v>Dp</v>
      </c>
      <c r="M4" s="21" t="e">
        <f t="shared" si="3"/>
        <v>#NUM!</v>
      </c>
      <c r="N4" s="12" t="e">
        <f t="shared" si="4"/>
        <v>#VALUE!</v>
      </c>
      <c r="O4" s="12" t="b">
        <f t="shared" si="5"/>
        <v>0</v>
      </c>
      <c r="P4" s="12">
        <v>0</v>
      </c>
      <c r="Q4" s="12">
        <v>0</v>
      </c>
      <c r="R4" s="12">
        <v>0</v>
      </c>
      <c r="S4" s="106" t="e">
        <f>_xll.qlRateHelperRate(R4,Trigger)</f>
        <v>#NUM!</v>
      </c>
      <c r="T4" s="13" t="e">
        <f>_xll.qlRateHelperEarliestDate(R4,Trigger)</f>
        <v>#NUM!</v>
      </c>
      <c r="U4" s="13" t="e">
        <f ca="1">_xll.qlRateHelperLatestDate(R4,Trigger)</f>
        <v>#NAME?</v>
      </c>
      <c r="V4" s="106" t="e">
        <v>#VALUE!</v>
      </c>
    </row>
    <row r="5" spans="1:22" ht="11.25" customHeight="1" x14ac:dyDescent="0.2">
      <c r="A5" s="89" t="s">
        <v>39</v>
      </c>
      <c r="B5" s="89" t="e">
        <v>#NUM!</v>
      </c>
      <c r="C5" s="90" t="e">
        <f>IF(LEFT(B5,1)="#",(_xll.qlCalendarBusinessDaysBetween(Calendar,Settlementdate,DATE(RIGHT(LEFT(B5,5),4),LEFT(RIGHT(B5,4),2),RIGHT(B5,2)),,TRUE,Trigger)-1)&amp;"D",B5)</f>
        <v>#NUM!</v>
      </c>
      <c r="D5" s="91" t="e">
        <f t="shared" si="6"/>
        <v>#NUM!</v>
      </c>
      <c r="E5" s="92" t="e">
        <f t="shared" si="0"/>
        <v>#NUM!</v>
      </c>
      <c r="F5" s="93" t="e">
        <f t="shared" si="1"/>
        <v>#NUM!</v>
      </c>
      <c r="G5" s="126" t="s">
        <v>41</v>
      </c>
      <c r="H5" s="95" t="e">
        <v>#NUM!</v>
      </c>
      <c r="I5" s="96" t="e">
        <f>_xll.qlDepositRateHelper2(,H5,IF(RIGHT(C5,1)="N","1D",C5),D5,Calendar,E5,F5,G5,,Trigger)</f>
        <v>#VALUE!</v>
      </c>
      <c r="J5" s="91" t="b">
        <f t="shared" si="7"/>
        <v>0</v>
      </c>
      <c r="K5" s="66"/>
      <c r="L5" s="21" t="str">
        <f t="shared" si="2"/>
        <v>Dp</v>
      </c>
      <c r="M5" s="21" t="e">
        <f t="shared" si="3"/>
        <v>#NUM!</v>
      </c>
      <c r="N5" s="12" t="e">
        <f t="shared" si="4"/>
        <v>#VALUE!</v>
      </c>
      <c r="O5" s="12" t="b">
        <f t="shared" si="5"/>
        <v>0</v>
      </c>
      <c r="P5" s="12">
        <v>0</v>
      </c>
      <c r="Q5" s="12">
        <v>0</v>
      </c>
      <c r="R5" s="12">
        <v>0</v>
      </c>
      <c r="S5" s="106" t="e">
        <f>_xll.qlRateHelperRate(R5,Trigger)</f>
        <v>#NUM!</v>
      </c>
      <c r="T5" s="13" t="e">
        <f>_xll.qlRateHelperEarliestDate(R5,Trigger)</f>
        <v>#NUM!</v>
      </c>
      <c r="U5" s="13" t="e">
        <f ca="1">_xll.qlRateHelperLatestDate(R5,Trigger)</f>
        <v>#NAME?</v>
      </c>
      <c r="V5" s="106" t="e">
        <v>#VALUE!</v>
      </c>
    </row>
    <row r="6" spans="1:22" ht="11.25" customHeight="1" x14ac:dyDescent="0.2">
      <c r="A6" s="89" t="s">
        <v>39</v>
      </c>
      <c r="B6" s="89" t="e">
        <v>#NUM!</v>
      </c>
      <c r="C6" s="90" t="e">
        <f>IF(LEFT(B6,1)="#",(_xll.qlCalendarBusinessDaysBetween(Calendar,Settlementdate,DATE(RIGHT(LEFT(B6,5),4),LEFT(RIGHT(B6,4),2),RIGHT(B6,2)),,TRUE,Trigger)-1)&amp;"D",B6)</f>
        <v>#NUM!</v>
      </c>
      <c r="D6" s="91" t="e">
        <f t="shared" si="6"/>
        <v>#NUM!</v>
      </c>
      <c r="E6" s="92" t="e">
        <f t="shared" si="0"/>
        <v>#NUM!</v>
      </c>
      <c r="F6" s="93" t="e">
        <f t="shared" si="1"/>
        <v>#NUM!</v>
      </c>
      <c r="G6" s="126" t="s">
        <v>41</v>
      </c>
      <c r="H6" s="95" t="e">
        <v>#NUM!</v>
      </c>
      <c r="I6" s="96" t="e">
        <f>_xll.qlDepositRateHelper2(,H6,IF(RIGHT(C6,1)="N","1D",C6),D6,Calendar,E6,F6,G6,,Trigger)</f>
        <v>#VALUE!</v>
      </c>
      <c r="J6" s="91" t="b">
        <f t="shared" si="7"/>
        <v>0</v>
      </c>
      <c r="K6" s="66"/>
      <c r="L6" s="21" t="str">
        <f t="shared" si="2"/>
        <v>Dp</v>
      </c>
      <c r="M6" s="21" t="e">
        <f t="shared" si="3"/>
        <v>#NUM!</v>
      </c>
      <c r="N6" s="12" t="e">
        <f t="shared" si="4"/>
        <v>#VALUE!</v>
      </c>
      <c r="O6" s="12" t="b">
        <f t="shared" si="5"/>
        <v>0</v>
      </c>
      <c r="P6" s="12">
        <v>0</v>
      </c>
      <c r="Q6" s="12">
        <v>0</v>
      </c>
      <c r="R6" s="12">
        <v>0</v>
      </c>
      <c r="S6" s="106" t="e">
        <f>_xll.qlRateHelperRate(R6,Trigger)</f>
        <v>#NUM!</v>
      </c>
      <c r="T6" s="13" t="e">
        <f>_xll.qlRateHelperEarliestDate(R6,Trigger)</f>
        <v>#NUM!</v>
      </c>
      <c r="U6" s="13" t="e">
        <f ca="1">_xll.qlRateHelperLatestDate(R6,Trigger)</f>
        <v>#NAME?</v>
      </c>
      <c r="V6" s="106" t="e">
        <v>#VALUE!</v>
      </c>
    </row>
    <row r="7" spans="1:22" ht="11.25" customHeight="1" x14ac:dyDescent="0.2">
      <c r="A7" s="89" t="s">
        <v>39</v>
      </c>
      <c r="B7" s="89" t="e">
        <v>#NUM!</v>
      </c>
      <c r="C7" s="90" t="e">
        <f>IF(LEFT(B7,1)="#",(_xll.qlCalendarBusinessDaysBetween(Calendar,Settlementdate,DATE(RIGHT(LEFT(B7,5),4),LEFT(RIGHT(B7,4),2),RIGHT(B7,2)),,TRUE,Trigger)-1)&amp;"D",B7)</f>
        <v>#NUM!</v>
      </c>
      <c r="D7" s="91" t="e">
        <f t="shared" si="6"/>
        <v>#NUM!</v>
      </c>
      <c r="E7" s="92" t="e">
        <f t="shared" si="0"/>
        <v>#NUM!</v>
      </c>
      <c r="F7" s="93" t="e">
        <f t="shared" si="1"/>
        <v>#NUM!</v>
      </c>
      <c r="G7" s="126" t="s">
        <v>41</v>
      </c>
      <c r="H7" s="95" t="e">
        <v>#NUM!</v>
      </c>
      <c r="I7" s="96" t="e">
        <f>_xll.qlDepositRateHelper2(,H7,IF(RIGHT(C7,1)="N","1D",C7),D7,Calendar,E7,F7,G7,,Trigger)</f>
        <v>#VALUE!</v>
      </c>
      <c r="J7" s="91" t="b">
        <f t="shared" si="7"/>
        <v>0</v>
      </c>
      <c r="K7" s="66"/>
      <c r="L7" s="21" t="str">
        <f t="shared" si="2"/>
        <v>Dp</v>
      </c>
      <c r="M7" s="21" t="e">
        <f t="shared" si="3"/>
        <v>#NUM!</v>
      </c>
      <c r="N7" s="12" t="e">
        <f t="shared" si="4"/>
        <v>#VALUE!</v>
      </c>
      <c r="O7" s="12" t="b">
        <f t="shared" si="5"/>
        <v>0</v>
      </c>
      <c r="P7" s="12">
        <v>0</v>
      </c>
      <c r="Q7" s="12">
        <v>0</v>
      </c>
      <c r="R7" s="12">
        <v>0</v>
      </c>
      <c r="S7" s="106" t="e">
        <f>_xll.qlRateHelperRate(R7,Trigger)</f>
        <v>#NUM!</v>
      </c>
      <c r="T7" s="13" t="e">
        <f>_xll.qlRateHelperEarliestDate(R7,Trigger)</f>
        <v>#NUM!</v>
      </c>
      <c r="U7" s="13" t="e">
        <f ca="1">_xll.qlRateHelperLatestDate(R7,Trigger)</f>
        <v>#NAME?</v>
      </c>
      <c r="V7" s="106" t="e">
        <v>#VALUE!</v>
      </c>
    </row>
    <row r="8" spans="1:22" ht="11.25" customHeight="1" x14ac:dyDescent="0.2">
      <c r="A8" s="89" t="s">
        <v>39</v>
      </c>
      <c r="B8" s="89" t="e">
        <v>#NUM!</v>
      </c>
      <c r="C8" s="90" t="e">
        <f>IF(LEFT(B8,1)="#",(_xll.qlCalendarBusinessDaysBetween(Calendar,Settlementdate,DATE(RIGHT(LEFT(B8,5),4),LEFT(RIGHT(B8,4),2),RIGHT(B8,2)),,TRUE,Trigger)-1)&amp;"D",B8)</f>
        <v>#NUM!</v>
      </c>
      <c r="D8" s="91" t="e">
        <f t="shared" si="6"/>
        <v>#NUM!</v>
      </c>
      <c r="E8" s="92" t="e">
        <f t="shared" si="0"/>
        <v>#NUM!</v>
      </c>
      <c r="F8" s="93" t="e">
        <f t="shared" si="1"/>
        <v>#NUM!</v>
      </c>
      <c r="G8" s="126" t="s">
        <v>41</v>
      </c>
      <c r="H8" s="95" t="e">
        <v>#NUM!</v>
      </c>
      <c r="I8" s="96" t="e">
        <f>_xll.qlDepositRateHelper2(,H8,IF(RIGHT(C8,1)="N","1D",C8),D8,Calendar,E8,F8,G8,,Trigger)</f>
        <v>#VALUE!</v>
      </c>
      <c r="J8" s="91" t="b">
        <f t="shared" si="7"/>
        <v>0</v>
      </c>
      <c r="K8" s="66"/>
      <c r="L8" s="21" t="str">
        <f t="shared" si="2"/>
        <v>Dp</v>
      </c>
      <c r="M8" s="21" t="e">
        <f t="shared" si="3"/>
        <v>#NUM!</v>
      </c>
      <c r="N8" s="12" t="e">
        <f t="shared" si="4"/>
        <v>#VALUE!</v>
      </c>
      <c r="O8" s="12" t="b">
        <f t="shared" si="5"/>
        <v>0</v>
      </c>
      <c r="P8" s="12">
        <v>0</v>
      </c>
      <c r="Q8" s="12">
        <v>0</v>
      </c>
      <c r="R8" s="12">
        <v>0</v>
      </c>
      <c r="S8" s="106" t="e">
        <f>_xll.qlRateHelperRate(R8,Trigger)</f>
        <v>#NUM!</v>
      </c>
      <c r="T8" s="13" t="e">
        <f>_xll.qlRateHelperEarliestDate(R8,Trigger)</f>
        <v>#NUM!</v>
      </c>
      <c r="U8" s="13" t="e">
        <f ca="1">_xll.qlRateHelperLatestDate(R8,Trigger)</f>
        <v>#NAME?</v>
      </c>
      <c r="V8" s="106" t="e">
        <v>#VALUE!</v>
      </c>
    </row>
    <row r="9" spans="1:22" ht="11.25" customHeight="1" x14ac:dyDescent="0.2">
      <c r="A9" s="89" t="s">
        <v>39</v>
      </c>
      <c r="B9" s="89" t="e">
        <v>#NUM!</v>
      </c>
      <c r="C9" s="90" t="e">
        <f>IF(LEFT(B9,1)="#",(_xll.qlCalendarBusinessDaysBetween(Calendar,Settlementdate,DATE(RIGHT(LEFT(B9,5),4),LEFT(RIGHT(B9,4),2),RIGHT(B9,2)),,TRUE,Trigger)-1)&amp;"D",B9)</f>
        <v>#NUM!</v>
      </c>
      <c r="D9" s="91" t="e">
        <f t="shared" si="6"/>
        <v>#NUM!</v>
      </c>
      <c r="E9" s="92" t="e">
        <f t="shared" si="0"/>
        <v>#NUM!</v>
      </c>
      <c r="F9" s="93" t="e">
        <f t="shared" si="1"/>
        <v>#NUM!</v>
      </c>
      <c r="G9" s="126" t="s">
        <v>41</v>
      </c>
      <c r="H9" s="95" t="e">
        <v>#NUM!</v>
      </c>
      <c r="I9" s="96" t="e">
        <f>_xll.qlDepositRateHelper2(,H9,IF(RIGHT(C9,1)="N","1D",C9),D9,Calendar,E9,F9,G9,,Trigger)</f>
        <v>#VALUE!</v>
      </c>
      <c r="J9" s="91" t="b">
        <f t="shared" si="7"/>
        <v>0</v>
      </c>
      <c r="K9" s="66"/>
      <c r="L9" s="21" t="str">
        <f t="shared" si="2"/>
        <v>Dp</v>
      </c>
      <c r="M9" s="21" t="e">
        <f t="shared" si="3"/>
        <v>#NUM!</v>
      </c>
      <c r="N9" s="12" t="e">
        <f t="shared" si="4"/>
        <v>#VALUE!</v>
      </c>
      <c r="O9" s="12" t="b">
        <f t="shared" si="5"/>
        <v>0</v>
      </c>
      <c r="P9" s="12">
        <v>0</v>
      </c>
      <c r="Q9" s="12">
        <v>0</v>
      </c>
      <c r="R9" s="12">
        <v>0</v>
      </c>
      <c r="S9" s="106" t="e">
        <f>_xll.qlRateHelperRate(R9,Trigger)</f>
        <v>#NUM!</v>
      </c>
      <c r="T9" s="13" t="e">
        <f>_xll.qlRateHelperEarliestDate(R9,Trigger)</f>
        <v>#NUM!</v>
      </c>
      <c r="U9" s="13" t="e">
        <f ca="1">_xll.qlRateHelperLatestDate(R9,Trigger)</f>
        <v>#NAME?</v>
      </c>
      <c r="V9" s="106" t="e">
        <v>#VALUE!</v>
      </c>
    </row>
    <row r="10" spans="1:22" ht="11.25" customHeight="1" x14ac:dyDescent="0.2">
      <c r="A10" s="89" t="s">
        <v>39</v>
      </c>
      <c r="B10" s="89" t="e">
        <v>#NUM!</v>
      </c>
      <c r="C10" s="90" t="e">
        <f>IF(LEFT(B10,1)="#",(_xll.qlCalendarBusinessDaysBetween(Calendar,Settlementdate,DATE(RIGHT(LEFT(B10,5),4),LEFT(RIGHT(B10,4),2),RIGHT(B10,2)),,TRUE,Trigger)-1)&amp;"D",B10)</f>
        <v>#NUM!</v>
      </c>
      <c r="D10" s="91" t="e">
        <f t="shared" si="6"/>
        <v>#NUM!</v>
      </c>
      <c r="E10" s="92" t="e">
        <f t="shared" si="0"/>
        <v>#NUM!</v>
      </c>
      <c r="F10" s="93" t="e">
        <f>IF(OR(RIGHT(C10,1)="M",RIGHT(C10,1)="D"),"TRUE","FALSE")</f>
        <v>#NUM!</v>
      </c>
      <c r="G10" s="126" t="s">
        <v>41</v>
      </c>
      <c r="H10" s="95" t="e">
        <v>#NUM!</v>
      </c>
      <c r="I10" s="96" t="e">
        <f>_xll.qlDepositRateHelper2(,H10,IF(RIGHT(C10,1)="N","1D",C10),D10,Calendar,E10,F10,G10,,Trigger)</f>
        <v>#VALUE!</v>
      </c>
      <c r="J10" s="91" t="b">
        <f t="shared" si="7"/>
        <v>0</v>
      </c>
      <c r="K10" s="66"/>
      <c r="L10" s="21" t="str">
        <f t="shared" si="2"/>
        <v>Dp</v>
      </c>
      <c r="M10" s="21" t="e">
        <f t="shared" si="3"/>
        <v>#NUM!</v>
      </c>
      <c r="N10" s="12" t="e">
        <f t="shared" si="4"/>
        <v>#VALUE!</v>
      </c>
      <c r="O10" s="12" t="b">
        <f t="shared" si="5"/>
        <v>0</v>
      </c>
      <c r="P10" s="12">
        <v>0</v>
      </c>
      <c r="Q10" s="12">
        <v>0</v>
      </c>
      <c r="R10" s="12">
        <v>0</v>
      </c>
      <c r="S10" s="106" t="e">
        <f>_xll.qlRateHelperRate(R10,Trigger)</f>
        <v>#NUM!</v>
      </c>
      <c r="T10" s="13" t="e">
        <f>_xll.qlRateHelperEarliestDate(R10,Trigger)</f>
        <v>#NUM!</v>
      </c>
      <c r="U10" s="13" t="e">
        <f ca="1">_xll.qlRateHelperLatestDate(R10,Trigger)</f>
        <v>#NAME?</v>
      </c>
      <c r="V10" s="106" t="e">
        <v>#VALUE!</v>
      </c>
    </row>
    <row r="11" spans="1:22" ht="11.25" customHeight="1" x14ac:dyDescent="0.2">
      <c r="A11" s="89" t="s">
        <v>39</v>
      </c>
      <c r="B11" s="89" t="e">
        <v>#NUM!</v>
      </c>
      <c r="C11" s="90" t="e">
        <f>IF(LEFT(B11,1)="#",(_xll.qlCalendarBusinessDaysBetween(Calendar,Settlementdate,DATE(RIGHT(LEFT(B11,5),4),LEFT(RIGHT(B11,4),2),RIGHT(B11,2)),,TRUE,Trigger)-1)&amp;"D",B11)</f>
        <v>#NUM!</v>
      </c>
      <c r="D11" s="91" t="e">
        <f t="shared" si="6"/>
        <v>#NUM!</v>
      </c>
      <c r="E11" s="92" t="e">
        <f t="shared" si="0"/>
        <v>#NUM!</v>
      </c>
      <c r="F11" s="93" t="e">
        <f t="shared" ref="F11:F18" si="8">IF(OR(RIGHT(C11,1)="M",RIGHT(C11,1)="D"),"TRUE","FALSE")</f>
        <v>#NUM!</v>
      </c>
      <c r="G11" s="126" t="s">
        <v>41</v>
      </c>
      <c r="H11" s="95" t="e">
        <v>#NUM!</v>
      </c>
      <c r="I11" s="96" t="e">
        <f>_xll.qlDepositRateHelper2(,H11,IF(RIGHT(C11,1)="N","1D",C11),D11,Calendar,E11,F11,G11,,Trigger)</f>
        <v>#VALUE!</v>
      </c>
      <c r="J11" s="91" t="b">
        <f t="shared" si="7"/>
        <v>0</v>
      </c>
      <c r="K11" s="66"/>
      <c r="L11" s="21" t="str">
        <f t="shared" si="2"/>
        <v>Dp</v>
      </c>
      <c r="M11" s="21" t="e">
        <f t="shared" si="3"/>
        <v>#NUM!</v>
      </c>
      <c r="N11" s="12" t="e">
        <f t="shared" si="4"/>
        <v>#VALUE!</v>
      </c>
      <c r="O11" s="12" t="b">
        <f t="shared" si="5"/>
        <v>0</v>
      </c>
      <c r="P11" s="12">
        <v>0</v>
      </c>
      <c r="Q11" s="12">
        <v>0</v>
      </c>
      <c r="R11" s="12">
        <v>0</v>
      </c>
      <c r="S11" s="106" t="e">
        <f>_xll.qlRateHelperRate(R11,Trigger)</f>
        <v>#NUM!</v>
      </c>
      <c r="T11" s="13" t="e">
        <f>_xll.qlRateHelperEarliestDate(R11,Trigger)</f>
        <v>#NUM!</v>
      </c>
      <c r="U11" s="13" t="e">
        <f ca="1">_xll.qlRateHelperLatestDate(R11,Trigger)</f>
        <v>#NAME?</v>
      </c>
      <c r="V11" s="106" t="e">
        <v>#VALUE!</v>
      </c>
    </row>
    <row r="12" spans="1:22" ht="11.25" customHeight="1" x14ac:dyDescent="0.2">
      <c r="A12" s="89" t="s">
        <v>39</v>
      </c>
      <c r="B12" s="89" t="e">
        <v>#NUM!</v>
      </c>
      <c r="C12" s="90" t="e">
        <f>IF(LEFT(B12,1)="#",(_xll.qlCalendarBusinessDaysBetween(Calendar,Settlementdate,DATE(RIGHT(LEFT(B12,5),4),LEFT(RIGHT(B12,4),2),RIGHT(B12,2)),,TRUE,Trigger)-1)&amp;"D",B12)</f>
        <v>#NUM!</v>
      </c>
      <c r="D12" s="91" t="e">
        <f t="shared" si="6"/>
        <v>#NUM!</v>
      </c>
      <c r="E12" s="92" t="e">
        <f t="shared" si="0"/>
        <v>#NUM!</v>
      </c>
      <c r="F12" s="93" t="e">
        <f t="shared" si="8"/>
        <v>#NUM!</v>
      </c>
      <c r="G12" s="126" t="s">
        <v>41</v>
      </c>
      <c r="H12" s="95" t="e">
        <v>#NUM!</v>
      </c>
      <c r="I12" s="96" t="e">
        <f>_xll.qlDepositRateHelper2(,H12,IF(RIGHT(C12,1)="N","1D",C12),D12,Calendar,E12,F12,G12,,Trigger)</f>
        <v>#VALUE!</v>
      </c>
      <c r="J12" s="91" t="b">
        <f t="shared" si="7"/>
        <v>0</v>
      </c>
      <c r="K12" s="66"/>
      <c r="L12" s="21" t="str">
        <f t="shared" si="2"/>
        <v>Dp</v>
      </c>
      <c r="M12" s="21" t="e">
        <f t="shared" si="3"/>
        <v>#NUM!</v>
      </c>
      <c r="N12" s="12" t="e">
        <f t="shared" si="4"/>
        <v>#VALUE!</v>
      </c>
      <c r="O12" s="12" t="b">
        <f t="shared" si="5"/>
        <v>0</v>
      </c>
      <c r="P12" s="12">
        <v>0</v>
      </c>
      <c r="Q12" s="12">
        <v>0</v>
      </c>
      <c r="R12" s="12">
        <v>0</v>
      </c>
      <c r="S12" s="106" t="e">
        <f>_xll.qlRateHelperRate(R12,Trigger)</f>
        <v>#NUM!</v>
      </c>
      <c r="T12" s="13" t="e">
        <f>_xll.qlRateHelperEarliestDate(R12,Trigger)</f>
        <v>#NUM!</v>
      </c>
      <c r="U12" s="13" t="e">
        <f ca="1">_xll.qlRateHelperLatestDate(R12,Trigger)</f>
        <v>#NAME?</v>
      </c>
      <c r="V12" s="106" t="e">
        <v>#VALUE!</v>
      </c>
    </row>
    <row r="13" spans="1:22" ht="11.25" customHeight="1" x14ac:dyDescent="0.2">
      <c r="A13" s="89" t="s">
        <v>39</v>
      </c>
      <c r="B13" s="89" t="e">
        <v>#NUM!</v>
      </c>
      <c r="C13" s="90" t="e">
        <f>IF(LEFT(B13,1)="#",(_xll.qlCalendarBusinessDaysBetween(Calendar,Settlementdate,DATE(RIGHT(LEFT(B13,5),4),LEFT(RIGHT(B13,4),2),RIGHT(B13,2)),,TRUE,Trigger)-1)&amp;"D",B13)</f>
        <v>#NUM!</v>
      </c>
      <c r="D13" s="91" t="e">
        <f t="shared" si="6"/>
        <v>#NUM!</v>
      </c>
      <c r="E13" s="92" t="e">
        <f t="shared" si="0"/>
        <v>#NUM!</v>
      </c>
      <c r="F13" s="93" t="e">
        <f t="shared" si="8"/>
        <v>#NUM!</v>
      </c>
      <c r="G13" s="126" t="s">
        <v>41</v>
      </c>
      <c r="H13" s="95" t="e">
        <v>#NUM!</v>
      </c>
      <c r="I13" s="96" t="e">
        <f>_xll.qlDepositRateHelper2(,H13,IF(RIGHT(C13,1)="N","1D",C13),D13,Calendar,E13,F13,G13,,Trigger)</f>
        <v>#VALUE!</v>
      </c>
      <c r="J13" s="91" t="b">
        <f t="shared" si="7"/>
        <v>0</v>
      </c>
      <c r="K13" s="66"/>
      <c r="L13" s="21" t="str">
        <f t="shared" si="2"/>
        <v>Dp</v>
      </c>
      <c r="M13" s="21" t="e">
        <f t="shared" si="3"/>
        <v>#NUM!</v>
      </c>
      <c r="N13" s="12" t="e">
        <f t="shared" si="4"/>
        <v>#VALUE!</v>
      </c>
      <c r="O13" s="12" t="b">
        <f t="shared" si="5"/>
        <v>0</v>
      </c>
      <c r="P13" s="12">
        <v>0</v>
      </c>
      <c r="Q13" s="12">
        <v>0</v>
      </c>
      <c r="R13" s="12">
        <v>0</v>
      </c>
      <c r="S13" s="106" t="e">
        <f>_xll.qlRateHelperRate(R13,Trigger)</f>
        <v>#NUM!</v>
      </c>
      <c r="T13" s="13" t="e">
        <f>_xll.qlRateHelperEarliestDate(R13,Trigger)</f>
        <v>#NUM!</v>
      </c>
      <c r="U13" s="13" t="e">
        <f ca="1">_xll.qlRateHelperLatestDate(R13,Trigger)</f>
        <v>#NAME?</v>
      </c>
      <c r="V13" s="106" t="e">
        <v>#VALUE!</v>
      </c>
    </row>
    <row r="14" spans="1:22" ht="11.25" customHeight="1" x14ac:dyDescent="0.2">
      <c r="A14" s="89" t="s">
        <v>39</v>
      </c>
      <c r="B14" s="89" t="e">
        <v>#NUM!</v>
      </c>
      <c r="C14" s="90" t="e">
        <f>IF(LEFT(B14,1)="#",(_xll.qlCalendarBusinessDaysBetween(Calendar,Settlementdate,DATE(RIGHT(LEFT(B14,5),4),LEFT(RIGHT(B14,4),2),RIGHT(B14,2)),,TRUE,Trigger)-1)&amp;"D",B14)</f>
        <v>#NUM!</v>
      </c>
      <c r="D14" s="91" t="e">
        <f t="shared" si="6"/>
        <v>#NUM!</v>
      </c>
      <c r="E14" s="92" t="e">
        <f t="shared" si="0"/>
        <v>#NUM!</v>
      </c>
      <c r="F14" s="93" t="e">
        <f t="shared" si="8"/>
        <v>#NUM!</v>
      </c>
      <c r="G14" s="126" t="s">
        <v>41</v>
      </c>
      <c r="H14" s="95" t="e">
        <v>#NUM!</v>
      </c>
      <c r="I14" s="96" t="e">
        <f>_xll.qlDepositRateHelper2(,H14,IF(RIGHT(C14,1)="N","1D",C14),D14,Calendar,E14,F14,G14,,Trigger)</f>
        <v>#VALUE!</v>
      </c>
      <c r="J14" s="91" t="b">
        <f t="shared" si="7"/>
        <v>0</v>
      </c>
      <c r="K14" s="66"/>
      <c r="L14" s="21" t="str">
        <f t="shared" si="2"/>
        <v>Dp</v>
      </c>
      <c r="M14" s="21" t="e">
        <f t="shared" si="3"/>
        <v>#NUM!</v>
      </c>
      <c r="N14" s="12" t="e">
        <f t="shared" si="4"/>
        <v>#VALUE!</v>
      </c>
      <c r="O14" s="12" t="b">
        <f t="shared" si="5"/>
        <v>0</v>
      </c>
      <c r="P14" s="12">
        <v>0</v>
      </c>
      <c r="Q14" s="12">
        <v>0</v>
      </c>
      <c r="R14" s="12">
        <v>0</v>
      </c>
      <c r="S14" s="106" t="e">
        <f>_xll.qlRateHelperRate(R14,Trigger)</f>
        <v>#NUM!</v>
      </c>
      <c r="T14" s="13" t="e">
        <f>_xll.qlRateHelperEarliestDate(R14,Trigger)</f>
        <v>#NUM!</v>
      </c>
      <c r="U14" s="13" t="e">
        <f ca="1">_xll.qlRateHelperLatestDate(R14,Trigger)</f>
        <v>#NAME?</v>
      </c>
      <c r="V14" s="106" t="e">
        <v>#VALUE!</v>
      </c>
    </row>
    <row r="15" spans="1:22" ht="11.25" customHeight="1" x14ac:dyDescent="0.2">
      <c r="A15" s="89" t="s">
        <v>39</v>
      </c>
      <c r="B15" s="89" t="e">
        <v>#NUM!</v>
      </c>
      <c r="C15" s="90" t="e">
        <f>IF(LEFT(B15,1)="#",(_xll.qlCalendarBusinessDaysBetween(Calendar,Settlementdate,DATE(RIGHT(LEFT(B15,5),4),LEFT(RIGHT(B15,4),2),RIGHT(B15,2)),,TRUE,Trigger)-1)&amp;"D",B15)</f>
        <v>#NUM!</v>
      </c>
      <c r="D15" s="91" t="e">
        <f t="shared" si="6"/>
        <v>#NUM!</v>
      </c>
      <c r="E15" s="92" t="e">
        <f t="shared" si="0"/>
        <v>#NUM!</v>
      </c>
      <c r="F15" s="93" t="e">
        <f t="shared" si="8"/>
        <v>#NUM!</v>
      </c>
      <c r="G15" s="126" t="s">
        <v>41</v>
      </c>
      <c r="H15" s="95" t="e">
        <v>#NUM!</v>
      </c>
      <c r="I15" s="96" t="e">
        <f>_xll.qlDepositRateHelper2(,H15,IF(RIGHT(C15,1)="N","1D",C15),D15,Calendar,E15,F15,G15,,Trigger)</f>
        <v>#VALUE!</v>
      </c>
      <c r="J15" s="91" t="b">
        <f t="shared" si="7"/>
        <v>0</v>
      </c>
      <c r="K15" s="66"/>
      <c r="L15" s="21" t="str">
        <f t="shared" si="2"/>
        <v>Dp</v>
      </c>
      <c r="M15" s="21" t="e">
        <f t="shared" si="3"/>
        <v>#NUM!</v>
      </c>
      <c r="N15" s="12" t="e">
        <f t="shared" si="4"/>
        <v>#VALUE!</v>
      </c>
      <c r="O15" s="12" t="b">
        <f t="shared" si="5"/>
        <v>0</v>
      </c>
      <c r="P15" s="12">
        <v>0</v>
      </c>
      <c r="Q15" s="12">
        <v>0</v>
      </c>
      <c r="R15" s="12">
        <v>0</v>
      </c>
      <c r="S15" s="106" t="e">
        <f>_xll.qlRateHelperRate(R15,Trigger)</f>
        <v>#NUM!</v>
      </c>
      <c r="T15" s="13" t="e">
        <f>_xll.qlRateHelperEarliestDate(R15,Trigger)</f>
        <v>#NUM!</v>
      </c>
      <c r="U15" s="13" t="e">
        <f ca="1">_xll.qlRateHelperLatestDate(R15,Trigger)</f>
        <v>#NAME?</v>
      </c>
      <c r="V15" s="106" t="e">
        <v>#VALUE!</v>
      </c>
    </row>
    <row r="16" spans="1:22" ht="11.25" customHeight="1" x14ac:dyDescent="0.2">
      <c r="A16" s="89" t="s">
        <v>39</v>
      </c>
      <c r="B16" s="89" t="e">
        <v>#NUM!</v>
      </c>
      <c r="C16" s="90" t="e">
        <f>IF(LEFT(B16,1)="#",(_xll.qlCalendarBusinessDaysBetween(Calendar,Settlementdate,DATE(RIGHT(LEFT(B16,5),4),LEFT(RIGHT(B16,4),2),RIGHT(B16,2)),,TRUE,Trigger)-1)&amp;"D",B16)</f>
        <v>#NUM!</v>
      </c>
      <c r="D16" s="91" t="e">
        <f t="shared" si="6"/>
        <v>#NUM!</v>
      </c>
      <c r="E16" s="92" t="e">
        <f t="shared" si="0"/>
        <v>#NUM!</v>
      </c>
      <c r="F16" s="93" t="e">
        <f t="shared" si="8"/>
        <v>#NUM!</v>
      </c>
      <c r="G16" s="126" t="s">
        <v>41</v>
      </c>
      <c r="H16" s="95" t="e">
        <v>#NUM!</v>
      </c>
      <c r="I16" s="96" t="e">
        <f>_xll.qlDepositRateHelper2(,H16,IF(RIGHT(C16,1)="N","1D",C16),D16,Calendar,E16,F16,G16,,Trigger)</f>
        <v>#VALUE!</v>
      </c>
      <c r="J16" s="91" t="b">
        <f t="shared" si="7"/>
        <v>0</v>
      </c>
      <c r="K16" s="66"/>
      <c r="L16" s="21" t="str">
        <f t="shared" si="2"/>
        <v>Dp</v>
      </c>
      <c r="M16" s="21" t="e">
        <f t="shared" si="3"/>
        <v>#NUM!</v>
      </c>
      <c r="N16" s="12" t="e">
        <f t="shared" si="4"/>
        <v>#VALUE!</v>
      </c>
      <c r="O16" s="12" t="b">
        <f t="shared" si="5"/>
        <v>0</v>
      </c>
      <c r="P16" s="12">
        <v>0</v>
      </c>
      <c r="Q16" s="12">
        <v>0</v>
      </c>
      <c r="R16" s="12">
        <v>0</v>
      </c>
      <c r="S16" s="106" t="e">
        <f>_xll.qlRateHelperRate(R16,Trigger)</f>
        <v>#NUM!</v>
      </c>
      <c r="T16" s="13" t="e">
        <f>_xll.qlRateHelperEarliestDate(R16,Trigger)</f>
        <v>#NUM!</v>
      </c>
      <c r="U16" s="13" t="e">
        <f ca="1">_xll.qlRateHelperLatestDate(R16,Trigger)</f>
        <v>#NAME?</v>
      </c>
      <c r="V16" s="106" t="e">
        <v>#VALUE!</v>
      </c>
    </row>
    <row r="17" spans="1:22" ht="11.25" customHeight="1" x14ac:dyDescent="0.2">
      <c r="A17" s="89" t="s">
        <v>39</v>
      </c>
      <c r="B17" s="89" t="e">
        <v>#NUM!</v>
      </c>
      <c r="C17" s="90" t="e">
        <f>IF(LEFT(B17,1)="#",(_xll.qlCalendarBusinessDaysBetween(Calendar,Settlementdate,DATE(RIGHT(LEFT(B17,5),4),LEFT(RIGHT(B17,4),2),RIGHT(B17,2)),,TRUE,Trigger)-1)&amp;"D",B17)</f>
        <v>#NUM!</v>
      </c>
      <c r="D17" s="91" t="e">
        <f t="shared" si="6"/>
        <v>#NUM!</v>
      </c>
      <c r="E17" s="92" t="e">
        <f t="shared" si="0"/>
        <v>#NUM!</v>
      </c>
      <c r="F17" s="93" t="e">
        <f t="shared" si="8"/>
        <v>#NUM!</v>
      </c>
      <c r="G17" s="126" t="s">
        <v>41</v>
      </c>
      <c r="H17" s="95" t="e">
        <v>#NUM!</v>
      </c>
      <c r="I17" s="96" t="e">
        <f>_xll.qlDepositRateHelper2(,H17,IF(RIGHT(C17,1)="N","1D",C17),D17,Calendar,E17,F17,G17,,Trigger)</f>
        <v>#VALUE!</v>
      </c>
      <c r="J17" s="91" t="b">
        <f t="shared" si="7"/>
        <v>0</v>
      </c>
      <c r="K17" s="66"/>
      <c r="L17" s="21" t="str">
        <f t="shared" si="2"/>
        <v>Dp</v>
      </c>
      <c r="M17" s="21" t="e">
        <f t="shared" si="3"/>
        <v>#NUM!</v>
      </c>
      <c r="N17" s="12" t="e">
        <f t="shared" si="4"/>
        <v>#VALUE!</v>
      </c>
      <c r="O17" s="12" t="b">
        <f t="shared" si="5"/>
        <v>0</v>
      </c>
      <c r="P17" s="12">
        <v>0</v>
      </c>
      <c r="Q17" s="12">
        <v>0</v>
      </c>
      <c r="R17" s="12">
        <v>0</v>
      </c>
      <c r="S17" s="106" t="e">
        <f>_xll.qlRateHelperRate(R17,Trigger)</f>
        <v>#NUM!</v>
      </c>
      <c r="T17" s="13" t="e">
        <f>_xll.qlRateHelperEarliestDate(R17,Trigger)</f>
        <v>#NUM!</v>
      </c>
      <c r="U17" s="13" t="e">
        <f ca="1">_xll.qlRateHelperLatestDate(R17,Trigger)</f>
        <v>#NAME?</v>
      </c>
      <c r="V17" s="106" t="e">
        <v>#VALUE!</v>
      </c>
    </row>
    <row r="18" spans="1:22" ht="11.25" customHeight="1" x14ac:dyDescent="0.2">
      <c r="A18" s="3" t="s">
        <v>39</v>
      </c>
      <c r="B18" s="3" t="e">
        <v>#NUM!</v>
      </c>
      <c r="C18" s="18" t="e">
        <f>IF(LEFT(B18,1)="#",(_xll.qlCalendarBusinessDaysBetween(Calendar,Settlementdate,DATE(RIGHT(LEFT(B18,5),4),LEFT(RIGHT(B18,4),2),RIGHT(B18,2)),,TRUE,Trigger)-1)&amp;"D",B18)</f>
        <v>#NUM!</v>
      </c>
      <c r="D18" s="16" t="e">
        <f>IF(C18="O/N",0,IF(C18="T/N",1,2))</f>
        <v>#NUM!</v>
      </c>
      <c r="E18" s="17" t="e">
        <f t="shared" si="0"/>
        <v>#NUM!</v>
      </c>
      <c r="F18" s="19" t="e">
        <f t="shared" si="8"/>
        <v>#NUM!</v>
      </c>
      <c r="G18" s="129" t="s">
        <v>41</v>
      </c>
      <c r="H18" s="5" t="e">
        <v>#NUM!</v>
      </c>
      <c r="I18" s="6" t="e">
        <f>_xll.qlDepositRateHelper2(,H18,IF(RIGHT(C18,1)="N","1D",C18),D18,Calendar,E18,F18,G18,,Trigger)</f>
        <v>#VALUE!</v>
      </c>
      <c r="J18" s="16" t="b">
        <f t="shared" si="7"/>
        <v>0</v>
      </c>
      <c r="K18" s="66"/>
      <c r="L18" s="22" t="str">
        <f t="shared" si="2"/>
        <v>Dp</v>
      </c>
      <c r="M18" s="22" t="e">
        <f t="shared" si="3"/>
        <v>#NUM!</v>
      </c>
      <c r="N18" s="14" t="e">
        <f t="shared" si="4"/>
        <v>#VALUE!</v>
      </c>
      <c r="O18" s="14" t="b">
        <f t="shared" si="5"/>
        <v>0</v>
      </c>
      <c r="P18" s="12">
        <v>0</v>
      </c>
      <c r="Q18" s="12">
        <v>0</v>
      </c>
      <c r="R18" s="12">
        <v>0</v>
      </c>
      <c r="S18" s="106" t="e">
        <f>_xll.qlRateHelperRate(R18,Trigger)</f>
        <v>#NUM!</v>
      </c>
      <c r="T18" s="13" t="e">
        <f>_xll.qlRateHelperEarliestDate(R18,Trigger)</f>
        <v>#NUM!</v>
      </c>
      <c r="U18" s="13" t="e">
        <f ca="1">_xll.qlRateHelperLatestDate(R18,Trigger)</f>
        <v>#NAME?</v>
      </c>
      <c r="V18" s="106" t="e">
        <v>#VALUE!</v>
      </c>
    </row>
    <row r="19" spans="1:22" ht="11.25" customHeight="1" x14ac:dyDescent="0.2">
      <c r="A19" s="72"/>
      <c r="B19" s="72"/>
      <c r="C19" s="73"/>
      <c r="D19" s="74"/>
      <c r="E19" s="75"/>
      <c r="F19" s="72"/>
      <c r="G19" s="76"/>
      <c r="J19" s="69"/>
      <c r="K19" s="66"/>
      <c r="L19" s="21" t="str">
        <f t="shared" ref="L19:L26" si="9">A21</f>
        <v>Sf</v>
      </c>
      <c r="M19" s="21" t="e">
        <f t="shared" ref="M19:M26" si="10">D21</f>
        <v>#NUM!</v>
      </c>
      <c r="N19" s="21" t="e">
        <f t="shared" ref="N19:O26" si="11">I21</f>
        <v>#NUM!</v>
      </c>
      <c r="O19" s="12" t="b">
        <f t="shared" si="11"/>
        <v>0</v>
      </c>
      <c r="P19" s="12">
        <v>0</v>
      </c>
      <c r="Q19" s="12">
        <v>0</v>
      </c>
      <c r="R19" s="12">
        <v>0</v>
      </c>
      <c r="S19" s="106" t="e">
        <f>_xll.qlRateHelperRate(R19,Trigger)</f>
        <v>#NUM!</v>
      </c>
      <c r="T19" s="13" t="e">
        <f>_xll.qlRateHelperEarliestDate(R19,Trigger)</f>
        <v>#NUM!</v>
      </c>
      <c r="U19" s="13" t="e">
        <f ca="1">_xll.qlRateHelperLatestDate(R19,Trigger)</f>
        <v>#NAME?</v>
      </c>
      <c r="V19" s="106" t="e">
        <v>#VALUE!</v>
      </c>
    </row>
    <row r="20" spans="1:22" ht="11.25" customHeight="1" x14ac:dyDescent="0.2">
      <c r="A20" s="97" t="s">
        <v>18</v>
      </c>
      <c r="B20" s="97" t="s">
        <v>32</v>
      </c>
      <c r="C20" s="97" t="s">
        <v>32</v>
      </c>
      <c r="D20" s="97" t="s">
        <v>52</v>
      </c>
      <c r="E20" s="97" t="s">
        <v>53</v>
      </c>
      <c r="F20" s="97" t="s">
        <v>9</v>
      </c>
      <c r="G20" s="97" t="s">
        <v>5</v>
      </c>
      <c r="H20" s="97" t="s">
        <v>10</v>
      </c>
      <c r="I20" s="97" t="s">
        <v>36</v>
      </c>
      <c r="J20" s="97" t="s">
        <v>40</v>
      </c>
      <c r="K20" s="66"/>
      <c r="L20" s="21" t="str">
        <f t="shared" si="9"/>
        <v>Sf</v>
      </c>
      <c r="M20" s="21" t="e">
        <f t="shared" si="10"/>
        <v>#NUM!</v>
      </c>
      <c r="N20" s="21" t="e">
        <f t="shared" si="11"/>
        <v>#NUM!</v>
      </c>
      <c r="O20" s="12" t="b">
        <f t="shared" si="11"/>
        <v>0</v>
      </c>
      <c r="P20" s="12">
        <v>0</v>
      </c>
      <c r="Q20" s="12">
        <v>0</v>
      </c>
      <c r="R20" s="12">
        <v>0</v>
      </c>
      <c r="S20" s="106" t="e">
        <f>_xll.qlRateHelperRate(R20,Trigger)</f>
        <v>#NUM!</v>
      </c>
      <c r="T20" s="13" t="e">
        <f>_xll.qlRateHelperEarliestDate(R20,Trigger)</f>
        <v>#NUM!</v>
      </c>
      <c r="U20" s="13" t="e">
        <f ca="1">_xll.qlRateHelperLatestDate(R20,Trigger)</f>
        <v>#NAME?</v>
      </c>
      <c r="V20" s="106" t="e">
        <v>#VALUE!</v>
      </c>
    </row>
    <row r="21" spans="1:22" ht="11.25" customHeight="1" x14ac:dyDescent="0.2">
      <c r="A21" s="109" t="s">
        <v>37</v>
      </c>
      <c r="B21" s="110" t="e">
        <f t="shared" ref="B21:B28" si="12">DATE(2000+RIGHT(C21,2),RIGHT(LEFT(C21,5),2),LEFT(C21,2))</f>
        <v>#NUM!</v>
      </c>
      <c r="C21" s="137" t="e">
        <f t="array" ref="C21:C28">_xll.ohFilter(#REF!,#REF!="Sf")</f>
        <v>#NUM!</v>
      </c>
      <c r="D21" s="111" t="e">
        <f>_xll.qlIMMcode(C21)</f>
        <v>#NUM!</v>
      </c>
      <c r="E21" s="84" t="s">
        <v>15</v>
      </c>
      <c r="F21" s="112" t="s">
        <v>43</v>
      </c>
      <c r="G21" s="113" t="e">
        <f t="array" ref="G21:G28">_xll.ohFilter(#REF!,#REF!="Sf")</f>
        <v>#NUM!</v>
      </c>
      <c r="H21" s="114">
        <v>0</v>
      </c>
      <c r="I21" s="115" t="e">
        <f>_xll.qlFuturesRateHelper(,$G21,"IMM",$D21,$F21,$H21,Permanent,Trigger,ObjectOverwrite)</f>
        <v>#NUM!</v>
      </c>
      <c r="J21" s="83" t="b">
        <f>IF(ISNUMBER(G21),TRUE,FALSE)</f>
        <v>0</v>
      </c>
      <c r="K21" s="66"/>
      <c r="L21" s="21" t="str">
        <f t="shared" si="9"/>
        <v>Sf</v>
      </c>
      <c r="M21" s="21" t="e">
        <f t="shared" si="10"/>
        <v>#NUM!</v>
      </c>
      <c r="N21" s="21" t="e">
        <f t="shared" si="11"/>
        <v>#NUM!</v>
      </c>
      <c r="O21" s="12" t="b">
        <f t="shared" si="11"/>
        <v>0</v>
      </c>
      <c r="P21" s="12">
        <v>0</v>
      </c>
      <c r="Q21" s="12">
        <v>0</v>
      </c>
      <c r="R21" s="12">
        <v>0</v>
      </c>
      <c r="S21" s="106" t="e">
        <f>_xll.qlRateHelperRate(R21,Trigger)</f>
        <v>#NUM!</v>
      </c>
      <c r="T21" s="13" t="e">
        <f>_xll.qlRateHelperEarliestDate(R21,Trigger)</f>
        <v>#NUM!</v>
      </c>
      <c r="U21" s="13" t="e">
        <f ca="1">_xll.qlRateHelperLatestDate(R21,Trigger)</f>
        <v>#NAME?</v>
      </c>
      <c r="V21" s="106" t="e">
        <v>#VALUE!</v>
      </c>
    </row>
    <row r="22" spans="1:22" ht="11.25" customHeight="1" x14ac:dyDescent="0.2">
      <c r="A22" s="116" t="s">
        <v>37</v>
      </c>
      <c r="B22" s="117" t="e">
        <f t="shared" si="12"/>
        <v>#NUM!</v>
      </c>
      <c r="C22" s="138" t="e">
        <v>#NUM!</v>
      </c>
      <c r="D22" s="118" t="e">
        <f>_xll.qlIMMcode(C22)</f>
        <v>#NUM!</v>
      </c>
      <c r="E22" s="92" t="s">
        <v>15</v>
      </c>
      <c r="F22" s="119" t="s">
        <v>43</v>
      </c>
      <c r="G22" s="120" t="e">
        <v>#NUM!</v>
      </c>
      <c r="H22" s="121">
        <v>0</v>
      </c>
      <c r="I22" s="122" t="e">
        <f>_xll.qlFuturesRateHelper(,$G22,"IMM",$D22,$F22,$H22,Permanent,Trigger,ObjectOverwrite)</f>
        <v>#NUM!</v>
      </c>
      <c r="J22" s="122" t="b">
        <f t="shared" ref="J22:J28" si="13">IF(ISNUMBER(G22),TRUE,FALSE)</f>
        <v>0</v>
      </c>
      <c r="K22" s="66"/>
      <c r="L22" s="21" t="str">
        <f t="shared" si="9"/>
        <v>Sf</v>
      </c>
      <c r="M22" s="21" t="e">
        <f t="shared" si="10"/>
        <v>#NUM!</v>
      </c>
      <c r="N22" s="21" t="e">
        <f t="shared" si="11"/>
        <v>#NUM!</v>
      </c>
      <c r="O22" s="12" t="b">
        <f t="shared" si="11"/>
        <v>0</v>
      </c>
      <c r="P22" s="12">
        <v>0</v>
      </c>
      <c r="Q22" s="12">
        <v>0</v>
      </c>
      <c r="R22" s="12">
        <v>0</v>
      </c>
      <c r="S22" s="106" t="e">
        <f>_xll.qlRateHelperRate(R22,Trigger)</f>
        <v>#NUM!</v>
      </c>
      <c r="T22" s="13" t="e">
        <f>_xll.qlRateHelperEarliestDate(R22,Trigger)</f>
        <v>#NUM!</v>
      </c>
      <c r="U22" s="13" t="e">
        <f ca="1">_xll.qlRateHelperLatestDate(R22,Trigger)</f>
        <v>#NAME?</v>
      </c>
      <c r="V22" s="106" t="e">
        <v>#VALUE!</v>
      </c>
    </row>
    <row r="23" spans="1:22" ht="11.25" customHeight="1" x14ac:dyDescent="0.2">
      <c r="A23" s="116" t="s">
        <v>37</v>
      </c>
      <c r="B23" s="117" t="e">
        <f t="shared" si="12"/>
        <v>#NUM!</v>
      </c>
      <c r="C23" s="138" t="e">
        <v>#NUM!</v>
      </c>
      <c r="D23" s="118" t="e">
        <f>_xll.qlIMMcode(C23)</f>
        <v>#NUM!</v>
      </c>
      <c r="E23" s="92" t="s">
        <v>15</v>
      </c>
      <c r="F23" s="119" t="s">
        <v>43</v>
      </c>
      <c r="G23" s="120" t="e">
        <v>#NUM!</v>
      </c>
      <c r="H23" s="121">
        <v>0</v>
      </c>
      <c r="I23" s="122" t="e">
        <f>_xll.qlFuturesRateHelper(,$G23,"IMM",$D23,$F23,$H23,Permanent,Trigger,ObjectOverwrite)</f>
        <v>#NUM!</v>
      </c>
      <c r="J23" s="122" t="b">
        <f t="shared" si="13"/>
        <v>0</v>
      </c>
      <c r="K23" s="66"/>
      <c r="L23" s="21" t="str">
        <f t="shared" si="9"/>
        <v>Sf</v>
      </c>
      <c r="M23" s="21" t="e">
        <f t="shared" si="10"/>
        <v>#NUM!</v>
      </c>
      <c r="N23" s="21" t="e">
        <f t="shared" si="11"/>
        <v>#NUM!</v>
      </c>
      <c r="O23" s="12" t="b">
        <f t="shared" si="11"/>
        <v>0</v>
      </c>
      <c r="P23" s="12">
        <v>0</v>
      </c>
      <c r="Q23" s="12">
        <v>0</v>
      </c>
      <c r="R23" s="12">
        <v>0</v>
      </c>
      <c r="S23" s="106" t="e">
        <f>_xll.qlRateHelperRate(R23,Trigger)</f>
        <v>#NUM!</v>
      </c>
      <c r="T23" s="13" t="e">
        <f>_xll.qlRateHelperEarliestDate(R23,Trigger)</f>
        <v>#NUM!</v>
      </c>
      <c r="U23" s="13" t="e">
        <f ca="1">_xll.qlRateHelperLatestDate(R23,Trigger)</f>
        <v>#NAME?</v>
      </c>
      <c r="V23" s="106" t="e">
        <v>#VALUE!</v>
      </c>
    </row>
    <row r="24" spans="1:22" ht="11.25" customHeight="1" x14ac:dyDescent="0.2">
      <c r="A24" s="116" t="s">
        <v>37</v>
      </c>
      <c r="B24" s="117" t="e">
        <f t="shared" si="12"/>
        <v>#NUM!</v>
      </c>
      <c r="C24" s="138" t="e">
        <v>#NUM!</v>
      </c>
      <c r="D24" s="118" t="e">
        <f>_xll.qlIMMcode(C24)</f>
        <v>#NUM!</v>
      </c>
      <c r="E24" s="92" t="s">
        <v>15</v>
      </c>
      <c r="F24" s="119" t="s">
        <v>43</v>
      </c>
      <c r="G24" s="120" t="e">
        <v>#NUM!</v>
      </c>
      <c r="H24" s="121">
        <v>0</v>
      </c>
      <c r="I24" s="122" t="e">
        <f>_xll.qlFuturesRateHelper(,$G24,"IMM",$D24,$F24,$H24,Permanent,Trigger,ObjectOverwrite)</f>
        <v>#NUM!</v>
      </c>
      <c r="J24" s="122" t="b">
        <f t="shared" si="13"/>
        <v>0</v>
      </c>
      <c r="K24" s="66"/>
      <c r="L24" s="21" t="str">
        <f t="shared" si="9"/>
        <v>Sf</v>
      </c>
      <c r="M24" s="21" t="e">
        <f t="shared" si="10"/>
        <v>#NUM!</v>
      </c>
      <c r="N24" s="21" t="e">
        <f t="shared" si="11"/>
        <v>#NUM!</v>
      </c>
      <c r="O24" s="12" t="b">
        <f t="shared" si="11"/>
        <v>0</v>
      </c>
      <c r="P24" s="12">
        <v>0</v>
      </c>
      <c r="Q24" s="12">
        <v>0</v>
      </c>
      <c r="R24" s="12">
        <v>0</v>
      </c>
      <c r="S24" s="106" t="e">
        <f>_xll.qlRateHelperRate(R24,Trigger)</f>
        <v>#NUM!</v>
      </c>
      <c r="T24" s="13" t="e">
        <f>_xll.qlRateHelperEarliestDate(R24,Trigger)</f>
        <v>#NUM!</v>
      </c>
      <c r="U24" s="13" t="e">
        <f ca="1">_xll.qlRateHelperLatestDate(R24,Trigger)</f>
        <v>#NAME?</v>
      </c>
      <c r="V24" s="106" t="e">
        <v>#VALUE!</v>
      </c>
    </row>
    <row r="25" spans="1:22" ht="11.25" customHeight="1" x14ac:dyDescent="0.2">
      <c r="A25" s="116" t="s">
        <v>37</v>
      </c>
      <c r="B25" s="117" t="e">
        <f t="shared" si="12"/>
        <v>#NUM!</v>
      </c>
      <c r="C25" s="138" t="e">
        <v>#NUM!</v>
      </c>
      <c r="D25" s="118" t="e">
        <f>_xll.qlIMMcode(C25)</f>
        <v>#NUM!</v>
      </c>
      <c r="E25" s="92" t="s">
        <v>15</v>
      </c>
      <c r="F25" s="119" t="s">
        <v>43</v>
      </c>
      <c r="G25" s="120" t="e">
        <v>#NUM!</v>
      </c>
      <c r="H25" s="121">
        <v>0</v>
      </c>
      <c r="I25" s="122" t="e">
        <f>_xll.qlFuturesRateHelper(,$G25,"IMM",$D25,$F25,$H25,Permanent,Trigger,ObjectOverwrite)</f>
        <v>#NUM!</v>
      </c>
      <c r="J25" s="122" t="b">
        <f t="shared" si="13"/>
        <v>0</v>
      </c>
      <c r="K25" s="66"/>
      <c r="L25" s="21" t="str">
        <f t="shared" si="9"/>
        <v>Sf</v>
      </c>
      <c r="M25" s="21" t="e">
        <f t="shared" si="10"/>
        <v>#NUM!</v>
      </c>
      <c r="N25" s="21" t="e">
        <f t="shared" si="11"/>
        <v>#NUM!</v>
      </c>
      <c r="O25" s="12" t="b">
        <f t="shared" si="11"/>
        <v>0</v>
      </c>
      <c r="P25" s="12">
        <v>0</v>
      </c>
      <c r="Q25" s="12">
        <v>0</v>
      </c>
      <c r="R25" s="12">
        <v>0</v>
      </c>
      <c r="S25" s="106" t="e">
        <f>_xll.qlRateHelperRate(R25,Trigger)</f>
        <v>#NUM!</v>
      </c>
      <c r="T25" s="13" t="e">
        <f>_xll.qlRateHelperEarliestDate(R25,Trigger)</f>
        <v>#NUM!</v>
      </c>
      <c r="U25" s="13" t="e">
        <f ca="1">_xll.qlRateHelperLatestDate(R25,Trigger)</f>
        <v>#NAME?</v>
      </c>
      <c r="V25" s="106" t="e">
        <v>#VALUE!</v>
      </c>
    </row>
    <row r="26" spans="1:22" ht="11.25" customHeight="1" x14ac:dyDescent="0.2">
      <c r="A26" s="116" t="s">
        <v>37</v>
      </c>
      <c r="B26" s="117" t="e">
        <f t="shared" si="12"/>
        <v>#NUM!</v>
      </c>
      <c r="C26" s="138" t="e">
        <v>#NUM!</v>
      </c>
      <c r="D26" s="118" t="e">
        <f>_xll.qlIMMcode(C26)</f>
        <v>#NUM!</v>
      </c>
      <c r="E26" s="92" t="s">
        <v>15</v>
      </c>
      <c r="F26" s="119" t="s">
        <v>43</v>
      </c>
      <c r="G26" s="120" t="e">
        <v>#NUM!</v>
      </c>
      <c r="H26" s="121">
        <v>0</v>
      </c>
      <c r="I26" s="122" t="e">
        <f>_xll.qlFuturesRateHelper(,$G26,"IMM",$D26,$F26,$H26,Permanent,Trigger,ObjectOverwrite)</f>
        <v>#NUM!</v>
      </c>
      <c r="J26" s="122" t="b">
        <f t="shared" si="13"/>
        <v>0</v>
      </c>
      <c r="K26" s="66"/>
      <c r="L26" s="22" t="str">
        <f t="shared" si="9"/>
        <v>Sf</v>
      </c>
      <c r="M26" s="22" t="e">
        <f t="shared" si="10"/>
        <v>#NUM!</v>
      </c>
      <c r="N26" s="22" t="e">
        <f t="shared" si="11"/>
        <v>#NUM!</v>
      </c>
      <c r="O26" s="14" t="b">
        <f t="shared" si="11"/>
        <v>0</v>
      </c>
      <c r="P26" s="12">
        <v>0</v>
      </c>
      <c r="Q26" s="12">
        <v>0</v>
      </c>
      <c r="R26" s="12">
        <v>0</v>
      </c>
      <c r="S26" s="106" t="e">
        <f>_xll.qlRateHelperRate(R26,Trigger)</f>
        <v>#NUM!</v>
      </c>
      <c r="T26" s="13" t="e">
        <f>_xll.qlRateHelperEarliestDate(R26,Trigger)</f>
        <v>#NUM!</v>
      </c>
      <c r="U26" s="13" t="e">
        <f ca="1">_xll.qlRateHelperLatestDate(R26,Trigger)</f>
        <v>#NAME?</v>
      </c>
      <c r="V26" s="106" t="e">
        <v>#VALUE!</v>
      </c>
    </row>
    <row r="27" spans="1:22" ht="11.25" customHeight="1" x14ac:dyDescent="0.2">
      <c r="A27" s="116" t="s">
        <v>37</v>
      </c>
      <c r="B27" s="117" t="e">
        <f t="shared" si="12"/>
        <v>#NUM!</v>
      </c>
      <c r="C27" s="138" t="e">
        <v>#NUM!</v>
      </c>
      <c r="D27" s="118" t="e">
        <f>_xll.qlIMMcode(C27)</f>
        <v>#NUM!</v>
      </c>
      <c r="E27" s="92" t="s">
        <v>15</v>
      </c>
      <c r="F27" s="119" t="s">
        <v>43</v>
      </c>
      <c r="G27" s="120" t="e">
        <v>#NUM!</v>
      </c>
      <c r="H27" s="121">
        <v>0</v>
      </c>
      <c r="I27" s="122" t="e">
        <f>_xll.qlFuturesRateHelper(,$G27,"IMM",$D27,$F27,$H27,Permanent,Trigger,ObjectOverwrite)</f>
        <v>#NUM!</v>
      </c>
      <c r="J27" s="122" t="b">
        <f t="shared" si="13"/>
        <v>0</v>
      </c>
      <c r="K27" s="66"/>
      <c r="L27" s="21" t="str">
        <f t="shared" ref="L27:L71" si="14">A32</f>
        <v>Sw</v>
      </c>
      <c r="M27" s="21" t="e">
        <f t="shared" ref="M27:M71" si="15">D32</f>
        <v>#NUM!</v>
      </c>
      <c r="N27" s="21" t="e">
        <f t="shared" ref="N27:N71" si="16">I32</f>
        <v>#VALUE!</v>
      </c>
      <c r="O27" s="21" t="b">
        <f t="shared" ref="O27:O71" si="17">J32</f>
        <v>0</v>
      </c>
      <c r="P27" s="12">
        <v>0</v>
      </c>
      <c r="Q27" s="12">
        <v>0</v>
      </c>
      <c r="R27" s="12">
        <v>0</v>
      </c>
      <c r="S27" s="106" t="e">
        <f>_xll.qlRateHelperRate(R27,Trigger)</f>
        <v>#NUM!</v>
      </c>
      <c r="T27" s="13" t="e">
        <f>_xll.qlRateHelperEarliestDate(R27,Trigger)</f>
        <v>#NUM!</v>
      </c>
      <c r="U27" s="13" t="e">
        <f ca="1">_xll.qlRateHelperLatestDate(R27,Trigger)</f>
        <v>#NAME?</v>
      </c>
      <c r="V27" s="106" t="e">
        <v>#VALUE!</v>
      </c>
    </row>
    <row r="28" spans="1:22" ht="11.25" customHeight="1" x14ac:dyDescent="0.2">
      <c r="A28" s="20" t="s">
        <v>37</v>
      </c>
      <c r="B28" s="8" t="e">
        <f t="shared" si="12"/>
        <v>#NUM!</v>
      </c>
      <c r="C28" s="139" t="e">
        <v>#NUM!</v>
      </c>
      <c r="D28" s="7" t="e">
        <f>_xll.qlIMMcode(C28)</f>
        <v>#NUM!</v>
      </c>
      <c r="E28" s="17" t="s">
        <v>15</v>
      </c>
      <c r="F28" s="2" t="s">
        <v>43</v>
      </c>
      <c r="G28" s="15" t="e">
        <v>#NUM!</v>
      </c>
      <c r="H28" s="9">
        <v>0</v>
      </c>
      <c r="I28" s="10" t="e">
        <f>_xll.qlFuturesRateHelper(,$G28,"IMM",$D28,$F28,$H28,Permanent,Trigger,ObjectOverwrite)</f>
        <v>#NUM!</v>
      </c>
      <c r="J28" s="10" t="b">
        <f t="shared" si="13"/>
        <v>0</v>
      </c>
      <c r="K28" s="66"/>
      <c r="L28" s="21" t="str">
        <f t="shared" si="14"/>
        <v>Sw</v>
      </c>
      <c r="M28" s="21" t="e">
        <f t="shared" si="15"/>
        <v>#NUM!</v>
      </c>
      <c r="N28" s="21" t="e">
        <f t="shared" si="16"/>
        <v>#VALUE!</v>
      </c>
      <c r="O28" s="21" t="b">
        <f t="shared" si="17"/>
        <v>0</v>
      </c>
      <c r="P28" s="12">
        <v>0</v>
      </c>
      <c r="Q28" s="12">
        <v>0</v>
      </c>
      <c r="R28" s="12">
        <v>0</v>
      </c>
      <c r="S28" s="106" t="e">
        <f>_xll.qlRateHelperRate(R28,Trigger)</f>
        <v>#NUM!</v>
      </c>
      <c r="T28" s="13" t="e">
        <f>_xll.qlRateHelperEarliestDate(R28,Trigger)</f>
        <v>#NUM!</v>
      </c>
      <c r="U28" s="13" t="e">
        <f ca="1">_xll.qlRateHelperLatestDate(R28,Trigger)</f>
        <v>#NAME?</v>
      </c>
      <c r="V28" s="106" t="e">
        <v>#VALUE!</v>
      </c>
    </row>
    <row r="29" spans="1:22" ht="11.25" customHeight="1" x14ac:dyDescent="0.2">
      <c r="K29" s="66"/>
      <c r="L29" s="21" t="str">
        <f t="shared" si="14"/>
        <v>Sw</v>
      </c>
      <c r="M29" s="21" t="e">
        <f t="shared" si="15"/>
        <v>#NUM!</v>
      </c>
      <c r="N29" s="21" t="e">
        <f t="shared" si="16"/>
        <v>#VALUE!</v>
      </c>
      <c r="O29" s="21" t="b">
        <f t="shared" si="17"/>
        <v>0</v>
      </c>
      <c r="P29" s="12">
        <v>0</v>
      </c>
      <c r="Q29" s="12">
        <v>0</v>
      </c>
      <c r="R29" s="12">
        <v>0</v>
      </c>
      <c r="S29" s="106" t="e">
        <f>_xll.qlRateHelperRate(R29,Trigger)</f>
        <v>#NUM!</v>
      </c>
      <c r="T29" s="13" t="e">
        <f>_xll.qlRateHelperEarliestDate(R29,Trigger)</f>
        <v>#NUM!</v>
      </c>
      <c r="U29" s="13" t="e">
        <f ca="1">_xll.qlRateHelperLatestDate(R29,Trigger)</f>
        <v>#NAME?</v>
      </c>
      <c r="V29" s="106" t="e">
        <v>#VALUE!</v>
      </c>
    </row>
    <row r="30" spans="1:22" ht="11.25" customHeight="1" x14ac:dyDescent="0.2">
      <c r="C30" s="64"/>
      <c r="D30" s="64"/>
      <c r="E30" s="64"/>
      <c r="G30" s="80" t="s">
        <v>7</v>
      </c>
      <c r="H30" s="97" t="s">
        <v>9</v>
      </c>
      <c r="I30" s="1" t="str">
        <f>_xll.qlEuribor(,G30,,,Trigger,)</f>
        <v>obj_0039b#0010</v>
      </c>
      <c r="J30" s="64"/>
      <c r="K30" s="66"/>
      <c r="L30" s="21" t="str">
        <f t="shared" si="14"/>
        <v>Sw</v>
      </c>
      <c r="M30" s="21" t="e">
        <f t="shared" si="15"/>
        <v>#NUM!</v>
      </c>
      <c r="N30" s="21" t="e">
        <f t="shared" si="16"/>
        <v>#VALUE!</v>
      </c>
      <c r="O30" s="21" t="b">
        <f t="shared" si="17"/>
        <v>0</v>
      </c>
      <c r="P30" s="12">
        <v>0</v>
      </c>
      <c r="Q30" s="12">
        <v>0</v>
      </c>
      <c r="R30" s="12">
        <v>0</v>
      </c>
      <c r="S30" s="106" t="e">
        <f>_xll.qlRateHelperRate(R30,Trigger)</f>
        <v>#NUM!</v>
      </c>
      <c r="T30" s="13" t="e">
        <f>_xll.qlRateHelperEarliestDate(R30,Trigger)</f>
        <v>#NUM!</v>
      </c>
      <c r="U30" s="13" t="e">
        <f ca="1">_xll.qlRateHelperLatestDate(R30,Trigger)</f>
        <v>#NAME?</v>
      </c>
      <c r="V30" s="106" t="e">
        <v>#VALUE!</v>
      </c>
    </row>
    <row r="31" spans="1:22" ht="11.25" customHeight="1" x14ac:dyDescent="0.2">
      <c r="A31" s="97" t="s">
        <v>18</v>
      </c>
      <c r="B31" s="97"/>
      <c r="C31" s="97" t="s">
        <v>11</v>
      </c>
      <c r="D31" s="97" t="s">
        <v>1</v>
      </c>
      <c r="E31" s="97" t="s">
        <v>13</v>
      </c>
      <c r="F31" s="97" t="s">
        <v>12</v>
      </c>
      <c r="G31" s="97" t="s">
        <v>4</v>
      </c>
      <c r="H31" s="97" t="s">
        <v>5</v>
      </c>
      <c r="I31" s="97" t="s">
        <v>36</v>
      </c>
      <c r="J31" s="97" t="s">
        <v>40</v>
      </c>
      <c r="K31" s="66"/>
      <c r="L31" s="21" t="str">
        <f t="shared" si="14"/>
        <v>Sw</v>
      </c>
      <c r="M31" s="21" t="e">
        <f t="shared" si="15"/>
        <v>#NUM!</v>
      </c>
      <c r="N31" s="21" t="e">
        <f t="shared" si="16"/>
        <v>#VALUE!</v>
      </c>
      <c r="O31" s="21" t="b">
        <f t="shared" si="17"/>
        <v>0</v>
      </c>
      <c r="P31" s="12">
        <v>0</v>
      </c>
      <c r="Q31" s="12">
        <v>0</v>
      </c>
      <c r="R31" s="12">
        <v>0</v>
      </c>
      <c r="S31" s="106" t="e">
        <f>_xll.qlRateHelperRate(R31,Trigger)</f>
        <v>#NUM!</v>
      </c>
      <c r="T31" s="13" t="e">
        <f>_xll.qlRateHelperEarliestDate(R31,Trigger)</f>
        <v>#NUM!</v>
      </c>
      <c r="U31" s="13" t="e">
        <f ca="1">_xll.qlRateHelperLatestDate(R31,Trigger)</f>
        <v>#NAME?</v>
      </c>
      <c r="V31" s="106" t="e">
        <v>#VALUE!</v>
      </c>
    </row>
    <row r="32" spans="1:22" ht="11.25" customHeight="1" x14ac:dyDescent="0.2">
      <c r="A32" s="88" t="s">
        <v>38</v>
      </c>
      <c r="B32" s="123"/>
      <c r="C32" s="123" t="s">
        <v>14</v>
      </c>
      <c r="D32" s="124" t="e">
        <f t="array" ref="D32:D76">_xll.ohFilter(#REF!,#REF!="Sw")</f>
        <v>#NUM!</v>
      </c>
      <c r="E32" s="112" t="s">
        <v>15</v>
      </c>
      <c r="F32" s="123" t="s">
        <v>16</v>
      </c>
      <c r="G32" s="112" t="s">
        <v>17</v>
      </c>
      <c r="H32" s="125" t="e">
        <f t="array" ref="H32:H76">_xll.ohFilter(#REF!,#REF!="Sw")/100</f>
        <v>#NUM!</v>
      </c>
      <c r="I32" s="86" t="e">
        <f>_xll.qlSwapRateHelper2(,$H32,2,$D32,Calendar,$F32,$E32,$G32,$I$30,0,C32,,Permanent,Trigger,ObjectOverwrite)</f>
        <v>#VALUE!</v>
      </c>
      <c r="J32" s="115" t="b">
        <f>IF(ISNUMBER(H32),TRUE,FALSE)</f>
        <v>0</v>
      </c>
      <c r="K32" s="66"/>
      <c r="L32" s="21" t="str">
        <f t="shared" si="14"/>
        <v>Sw</v>
      </c>
      <c r="M32" s="21" t="e">
        <f t="shared" si="15"/>
        <v>#NUM!</v>
      </c>
      <c r="N32" s="21" t="e">
        <f t="shared" si="16"/>
        <v>#VALUE!</v>
      </c>
      <c r="O32" s="21" t="b">
        <f t="shared" si="17"/>
        <v>0</v>
      </c>
      <c r="P32" s="12">
        <v>0</v>
      </c>
      <c r="Q32" s="12">
        <v>0</v>
      </c>
      <c r="R32" s="12">
        <v>0</v>
      </c>
      <c r="S32" s="106" t="e">
        <f>_xll.qlRateHelperRate(R32,Trigger)</f>
        <v>#NUM!</v>
      </c>
      <c r="T32" s="13" t="e">
        <f>_xll.qlRateHelperEarliestDate(R32,Trigger)</f>
        <v>#NUM!</v>
      </c>
      <c r="U32" s="13" t="e">
        <f ca="1">_xll.qlRateHelperLatestDate(R32,Trigger)</f>
        <v>#NAME?</v>
      </c>
      <c r="V32" s="106" t="e">
        <v>#VALUE!</v>
      </c>
    </row>
    <row r="33" spans="1:22" ht="11.25" customHeight="1" x14ac:dyDescent="0.2">
      <c r="A33" s="96" t="s">
        <v>38</v>
      </c>
      <c r="B33" s="126"/>
      <c r="C33" s="126" t="s">
        <v>14</v>
      </c>
      <c r="D33" s="127" t="e">
        <v>#NUM!</v>
      </c>
      <c r="E33" s="119" t="s">
        <v>15</v>
      </c>
      <c r="F33" s="126" t="s">
        <v>16</v>
      </c>
      <c r="G33" s="119" t="s">
        <v>17</v>
      </c>
      <c r="H33" s="128" t="e">
        <v>#NUM!</v>
      </c>
      <c r="I33" s="94" t="e">
        <f>_xll.qlSwapRateHelper2(,$H33,2,$D33,Calendar,$F33,$E33,$G33,$I$30,0,C33,,Permanent,Trigger,ObjectOverwrite)</f>
        <v>#VALUE!</v>
      </c>
      <c r="J33" s="122" t="b">
        <f t="shared" ref="J33:J76" si="18">IF(ISNUMBER(H33),TRUE,FALSE)</f>
        <v>0</v>
      </c>
      <c r="L33" s="21" t="str">
        <f t="shared" si="14"/>
        <v>Sw</v>
      </c>
      <c r="M33" s="21" t="e">
        <f t="shared" si="15"/>
        <v>#NUM!</v>
      </c>
      <c r="N33" s="21" t="e">
        <f t="shared" si="16"/>
        <v>#VALUE!</v>
      </c>
      <c r="O33" s="21" t="b">
        <f t="shared" si="17"/>
        <v>0</v>
      </c>
      <c r="P33" s="12">
        <v>0</v>
      </c>
      <c r="Q33" s="12">
        <v>0</v>
      </c>
      <c r="R33" s="12">
        <v>0</v>
      </c>
      <c r="S33" s="106" t="e">
        <f>_xll.qlRateHelperRate(R33,Trigger)</f>
        <v>#NUM!</v>
      </c>
      <c r="T33" s="13" t="e">
        <f>_xll.qlRateHelperEarliestDate(R33,Trigger)</f>
        <v>#NUM!</v>
      </c>
      <c r="U33" s="13" t="e">
        <f ca="1">_xll.qlRateHelperLatestDate(R33,Trigger)</f>
        <v>#NAME?</v>
      </c>
      <c r="V33" s="106" t="e">
        <v>#VALUE!</v>
      </c>
    </row>
    <row r="34" spans="1:22" ht="11.25" customHeight="1" x14ac:dyDescent="0.2">
      <c r="A34" s="96" t="s">
        <v>38</v>
      </c>
      <c r="B34" s="126"/>
      <c r="C34" s="126" t="s">
        <v>14</v>
      </c>
      <c r="D34" s="127" t="e">
        <v>#NUM!</v>
      </c>
      <c r="E34" s="119" t="s">
        <v>15</v>
      </c>
      <c r="F34" s="126" t="s">
        <v>16</v>
      </c>
      <c r="G34" s="119" t="s">
        <v>17</v>
      </c>
      <c r="H34" s="128" t="e">
        <v>#NUM!</v>
      </c>
      <c r="I34" s="94" t="e">
        <f>_xll.qlSwapRateHelper2(,$H34,2,$D34,Calendar,$F34,$E34,$G34,$I$30,0,C34,,Permanent,Trigger,ObjectOverwrite)</f>
        <v>#VALUE!</v>
      </c>
      <c r="J34" s="122" t="b">
        <f t="shared" si="18"/>
        <v>0</v>
      </c>
      <c r="L34" s="21" t="str">
        <f t="shared" si="14"/>
        <v>Sw</v>
      </c>
      <c r="M34" s="21" t="e">
        <f t="shared" si="15"/>
        <v>#NUM!</v>
      </c>
      <c r="N34" s="21" t="e">
        <f t="shared" si="16"/>
        <v>#VALUE!</v>
      </c>
      <c r="O34" s="21" t="b">
        <f t="shared" si="17"/>
        <v>0</v>
      </c>
      <c r="P34" s="12">
        <v>0</v>
      </c>
      <c r="Q34" s="12">
        <v>0</v>
      </c>
      <c r="R34" s="12">
        <v>0</v>
      </c>
      <c r="S34" s="106" t="e">
        <f>_xll.qlRateHelperRate(R34,Trigger)</f>
        <v>#NUM!</v>
      </c>
      <c r="T34" s="13" t="e">
        <f>_xll.qlRateHelperEarliestDate(R34,Trigger)</f>
        <v>#NUM!</v>
      </c>
      <c r="U34" s="13" t="e">
        <f ca="1">_xll.qlRateHelperLatestDate(R34,Trigger)</f>
        <v>#NAME?</v>
      </c>
      <c r="V34" s="106" t="e">
        <v>#VALUE!</v>
      </c>
    </row>
    <row r="35" spans="1:22" ht="11.25" customHeight="1" x14ac:dyDescent="0.2">
      <c r="A35" s="96" t="s">
        <v>38</v>
      </c>
      <c r="B35" s="126"/>
      <c r="C35" s="126" t="s">
        <v>14</v>
      </c>
      <c r="D35" s="127" t="e">
        <v>#NUM!</v>
      </c>
      <c r="E35" s="119" t="s">
        <v>15</v>
      </c>
      <c r="F35" s="126" t="s">
        <v>16</v>
      </c>
      <c r="G35" s="119" t="s">
        <v>17</v>
      </c>
      <c r="H35" s="128" t="e">
        <v>#NUM!</v>
      </c>
      <c r="I35" s="94" t="e">
        <f>_xll.qlSwapRateHelper2(,$H35,2,$D35,Calendar,$F35,$E35,$G35,$I$30,0,C35,,Permanent,Trigger,ObjectOverwrite)</f>
        <v>#VALUE!</v>
      </c>
      <c r="J35" s="122" t="b">
        <f t="shared" si="18"/>
        <v>0</v>
      </c>
      <c r="L35" s="21" t="str">
        <f t="shared" si="14"/>
        <v>Sw</v>
      </c>
      <c r="M35" s="21" t="e">
        <f t="shared" si="15"/>
        <v>#NUM!</v>
      </c>
      <c r="N35" s="21" t="e">
        <f t="shared" si="16"/>
        <v>#VALUE!</v>
      </c>
      <c r="O35" s="21" t="b">
        <f t="shared" si="17"/>
        <v>0</v>
      </c>
      <c r="P35" s="12">
        <v>0</v>
      </c>
      <c r="Q35" s="12">
        <v>0</v>
      </c>
      <c r="R35" s="12">
        <v>0</v>
      </c>
      <c r="S35" s="106" t="e">
        <f>_xll.qlRateHelperRate(R35,Trigger)</f>
        <v>#NUM!</v>
      </c>
      <c r="T35" s="13" t="e">
        <f>_xll.qlRateHelperEarliestDate(R35,Trigger)</f>
        <v>#NUM!</v>
      </c>
      <c r="U35" s="13" t="e">
        <f ca="1">_xll.qlRateHelperLatestDate(R35,Trigger)</f>
        <v>#NAME?</v>
      </c>
      <c r="V35" s="106" t="e">
        <v>#VALUE!</v>
      </c>
    </row>
    <row r="36" spans="1:22" ht="11.25" customHeight="1" x14ac:dyDescent="0.2">
      <c r="A36" s="96" t="s">
        <v>38</v>
      </c>
      <c r="B36" s="126"/>
      <c r="C36" s="126" t="s">
        <v>14</v>
      </c>
      <c r="D36" s="127" t="e">
        <v>#NUM!</v>
      </c>
      <c r="E36" s="119" t="s">
        <v>15</v>
      </c>
      <c r="F36" s="126" t="s">
        <v>16</v>
      </c>
      <c r="G36" s="119" t="s">
        <v>17</v>
      </c>
      <c r="H36" s="128" t="e">
        <v>#NUM!</v>
      </c>
      <c r="I36" s="94" t="e">
        <f>_xll.qlSwapRateHelper2(,$H36,2,$D36,Calendar,$F36,$E36,$G36,$I$30,0,C36,,Permanent,Trigger,ObjectOverwrite)</f>
        <v>#VALUE!</v>
      </c>
      <c r="J36" s="122" t="b">
        <f t="shared" si="18"/>
        <v>0</v>
      </c>
      <c r="L36" s="21" t="str">
        <f t="shared" si="14"/>
        <v>Sw</v>
      </c>
      <c r="M36" s="21" t="e">
        <f t="shared" si="15"/>
        <v>#NUM!</v>
      </c>
      <c r="N36" s="21" t="e">
        <f t="shared" si="16"/>
        <v>#VALUE!</v>
      </c>
      <c r="O36" s="21" t="b">
        <f t="shared" si="17"/>
        <v>0</v>
      </c>
      <c r="P36" s="12">
        <v>0</v>
      </c>
      <c r="Q36" s="12">
        <v>0</v>
      </c>
      <c r="R36" s="12">
        <v>0</v>
      </c>
      <c r="S36" s="106" t="e">
        <f>_xll.qlRateHelperRate(R36,Trigger)</f>
        <v>#NUM!</v>
      </c>
      <c r="T36" s="13" t="e">
        <f>_xll.qlRateHelperEarliestDate(R36,Trigger)</f>
        <v>#NUM!</v>
      </c>
      <c r="U36" s="13" t="e">
        <f ca="1">_xll.qlRateHelperLatestDate(R36,Trigger)</f>
        <v>#NAME?</v>
      </c>
      <c r="V36" s="106" t="e">
        <v>#VALUE!</v>
      </c>
    </row>
    <row r="37" spans="1:22" ht="11.25" customHeight="1" x14ac:dyDescent="0.2">
      <c r="A37" s="96" t="s">
        <v>38</v>
      </c>
      <c r="B37" s="126"/>
      <c r="C37" s="126" t="s">
        <v>14</v>
      </c>
      <c r="D37" s="127" t="e">
        <v>#NUM!</v>
      </c>
      <c r="E37" s="119" t="s">
        <v>15</v>
      </c>
      <c r="F37" s="126" t="s">
        <v>16</v>
      </c>
      <c r="G37" s="119" t="s">
        <v>17</v>
      </c>
      <c r="H37" s="128" t="e">
        <v>#NUM!</v>
      </c>
      <c r="I37" s="94" t="e">
        <f>_xll.qlSwapRateHelper2(,$H37,2,$D37,Calendar,$F37,$E37,$G37,$I$30,0,C37,,Permanent,Trigger,ObjectOverwrite)</f>
        <v>#VALUE!</v>
      </c>
      <c r="J37" s="122" t="b">
        <f t="shared" si="18"/>
        <v>0</v>
      </c>
      <c r="L37" s="21" t="str">
        <f t="shared" si="14"/>
        <v>Sw</v>
      </c>
      <c r="M37" s="21" t="e">
        <f t="shared" si="15"/>
        <v>#NUM!</v>
      </c>
      <c r="N37" s="21" t="e">
        <f t="shared" si="16"/>
        <v>#VALUE!</v>
      </c>
      <c r="O37" s="21" t="b">
        <f t="shared" si="17"/>
        <v>0</v>
      </c>
      <c r="P37" s="12">
        <v>0</v>
      </c>
      <c r="Q37" s="12">
        <v>0</v>
      </c>
      <c r="R37" s="12">
        <v>0</v>
      </c>
      <c r="S37" s="106" t="e">
        <f>_xll.qlRateHelperRate(R37,Trigger)</f>
        <v>#NUM!</v>
      </c>
      <c r="T37" s="13" t="e">
        <f>_xll.qlRateHelperEarliestDate(R37,Trigger)</f>
        <v>#NUM!</v>
      </c>
      <c r="U37" s="13" t="e">
        <f ca="1">_xll.qlRateHelperLatestDate(R37,Trigger)</f>
        <v>#NAME?</v>
      </c>
      <c r="V37" s="106" t="e">
        <v>#VALUE!</v>
      </c>
    </row>
    <row r="38" spans="1:22" ht="11.25" customHeight="1" x14ac:dyDescent="0.2">
      <c r="A38" s="96" t="s">
        <v>38</v>
      </c>
      <c r="B38" s="126"/>
      <c r="C38" s="126" t="s">
        <v>14</v>
      </c>
      <c r="D38" s="127" t="e">
        <v>#NUM!</v>
      </c>
      <c r="E38" s="119" t="s">
        <v>15</v>
      </c>
      <c r="F38" s="126" t="s">
        <v>16</v>
      </c>
      <c r="G38" s="119" t="s">
        <v>17</v>
      </c>
      <c r="H38" s="128" t="e">
        <v>#NUM!</v>
      </c>
      <c r="I38" s="94" t="e">
        <f>_xll.qlSwapRateHelper2(,$H38,2,$D38,Calendar,$F38,$E38,$G38,$I$30,0,C38,,Permanent,Trigger,ObjectOverwrite)</f>
        <v>#VALUE!</v>
      </c>
      <c r="J38" s="122" t="b">
        <f t="shared" si="18"/>
        <v>0</v>
      </c>
      <c r="L38" s="21" t="str">
        <f t="shared" si="14"/>
        <v>Sw</v>
      </c>
      <c r="M38" s="21" t="e">
        <f t="shared" si="15"/>
        <v>#NUM!</v>
      </c>
      <c r="N38" s="21" t="e">
        <f t="shared" si="16"/>
        <v>#VALUE!</v>
      </c>
      <c r="O38" s="21" t="b">
        <f t="shared" si="17"/>
        <v>0</v>
      </c>
      <c r="P38" s="12">
        <v>0</v>
      </c>
      <c r="Q38" s="12">
        <v>0</v>
      </c>
      <c r="R38" s="12">
        <v>0</v>
      </c>
      <c r="S38" s="106" t="e">
        <f>_xll.qlRateHelperRate(R38,Trigger)</f>
        <v>#NUM!</v>
      </c>
      <c r="T38" s="13" t="e">
        <f>_xll.qlRateHelperEarliestDate(R38,Trigger)</f>
        <v>#NUM!</v>
      </c>
      <c r="U38" s="13" t="e">
        <f ca="1">_xll.qlRateHelperLatestDate(R38,Trigger)</f>
        <v>#NAME?</v>
      </c>
      <c r="V38" s="106" t="e">
        <v>#VALUE!</v>
      </c>
    </row>
    <row r="39" spans="1:22" ht="11.25" customHeight="1" x14ac:dyDescent="0.2">
      <c r="A39" s="96" t="s">
        <v>38</v>
      </c>
      <c r="B39" s="126"/>
      <c r="C39" s="126" t="s">
        <v>14</v>
      </c>
      <c r="D39" s="127" t="e">
        <v>#NUM!</v>
      </c>
      <c r="E39" s="119" t="s">
        <v>15</v>
      </c>
      <c r="F39" s="126" t="s">
        <v>16</v>
      </c>
      <c r="G39" s="119" t="s">
        <v>17</v>
      </c>
      <c r="H39" s="128" t="e">
        <v>#NUM!</v>
      </c>
      <c r="I39" s="94" t="e">
        <f>_xll.qlSwapRateHelper2(,$H39,2,$D39,Calendar,$F39,$E39,$G39,$I$30,0,C39,,Permanent,Trigger,ObjectOverwrite)</f>
        <v>#VALUE!</v>
      </c>
      <c r="J39" s="122" t="b">
        <f t="shared" si="18"/>
        <v>0</v>
      </c>
      <c r="L39" s="21" t="str">
        <f t="shared" si="14"/>
        <v>Sw</v>
      </c>
      <c r="M39" s="21" t="e">
        <f t="shared" si="15"/>
        <v>#NUM!</v>
      </c>
      <c r="N39" s="21" t="e">
        <f t="shared" si="16"/>
        <v>#VALUE!</v>
      </c>
      <c r="O39" s="21" t="b">
        <f t="shared" si="17"/>
        <v>0</v>
      </c>
      <c r="P39" s="12">
        <v>0</v>
      </c>
      <c r="Q39" s="12">
        <v>0</v>
      </c>
      <c r="R39" s="12">
        <v>0</v>
      </c>
      <c r="S39" s="106" t="e">
        <f>_xll.qlRateHelperRate(R39,Trigger)</f>
        <v>#NUM!</v>
      </c>
      <c r="T39" s="13" t="e">
        <f>_xll.qlRateHelperEarliestDate(R39,Trigger)</f>
        <v>#NUM!</v>
      </c>
      <c r="U39" s="13" t="e">
        <f ca="1">_xll.qlRateHelperLatestDate(R39,Trigger)</f>
        <v>#NAME?</v>
      </c>
      <c r="V39" s="106" t="e">
        <v>#VALUE!</v>
      </c>
    </row>
    <row r="40" spans="1:22" ht="11.25" customHeight="1" x14ac:dyDescent="0.2">
      <c r="A40" s="96" t="s">
        <v>38</v>
      </c>
      <c r="B40" s="126"/>
      <c r="C40" s="126" t="s">
        <v>14</v>
      </c>
      <c r="D40" s="127" t="e">
        <v>#NUM!</v>
      </c>
      <c r="E40" s="119" t="s">
        <v>15</v>
      </c>
      <c r="F40" s="126" t="s">
        <v>16</v>
      </c>
      <c r="G40" s="119" t="s">
        <v>17</v>
      </c>
      <c r="H40" s="128" t="e">
        <v>#NUM!</v>
      </c>
      <c r="I40" s="94" t="e">
        <f>_xll.qlSwapRateHelper2(,$H40,2,$D40,Calendar,$F40,$E40,$G40,$I$30,0,C40,,Permanent,Trigger,ObjectOverwrite)</f>
        <v>#VALUE!</v>
      </c>
      <c r="J40" s="122" t="b">
        <f t="shared" si="18"/>
        <v>0</v>
      </c>
      <c r="L40" s="21" t="str">
        <f t="shared" si="14"/>
        <v>Sw</v>
      </c>
      <c r="M40" s="21" t="e">
        <f t="shared" si="15"/>
        <v>#NUM!</v>
      </c>
      <c r="N40" s="21" t="e">
        <f t="shared" si="16"/>
        <v>#VALUE!</v>
      </c>
      <c r="O40" s="21" t="b">
        <f t="shared" si="17"/>
        <v>0</v>
      </c>
      <c r="P40" s="12">
        <v>0</v>
      </c>
      <c r="Q40" s="12">
        <v>0</v>
      </c>
      <c r="R40" s="12">
        <v>0</v>
      </c>
      <c r="S40" s="106" t="e">
        <f>_xll.qlRateHelperRate(R40,Trigger)</f>
        <v>#NUM!</v>
      </c>
      <c r="T40" s="13" t="e">
        <f>_xll.qlRateHelperEarliestDate(R40,Trigger)</f>
        <v>#NUM!</v>
      </c>
      <c r="U40" s="13" t="e">
        <f ca="1">_xll.qlRateHelperLatestDate(R40,Trigger)</f>
        <v>#NAME?</v>
      </c>
      <c r="V40" s="106" t="e">
        <v>#VALUE!</v>
      </c>
    </row>
    <row r="41" spans="1:22" ht="11.25" customHeight="1" x14ac:dyDescent="0.2">
      <c r="A41" s="96" t="s">
        <v>38</v>
      </c>
      <c r="B41" s="126"/>
      <c r="C41" s="126" t="s">
        <v>14</v>
      </c>
      <c r="D41" s="127" t="e">
        <v>#NUM!</v>
      </c>
      <c r="E41" s="119" t="s">
        <v>15</v>
      </c>
      <c r="F41" s="126" t="s">
        <v>16</v>
      </c>
      <c r="G41" s="119" t="s">
        <v>17</v>
      </c>
      <c r="H41" s="128" t="e">
        <v>#NUM!</v>
      </c>
      <c r="I41" s="94" t="e">
        <f>_xll.qlSwapRateHelper2(,$H41,2,$D41,Calendar,$F41,$E41,$G41,$I$30,0,C41,,Permanent,Trigger,ObjectOverwrite)</f>
        <v>#VALUE!</v>
      </c>
      <c r="J41" s="122" t="b">
        <f t="shared" si="18"/>
        <v>0</v>
      </c>
      <c r="L41" s="21" t="str">
        <f t="shared" si="14"/>
        <v>Sw</v>
      </c>
      <c r="M41" s="21" t="e">
        <f t="shared" si="15"/>
        <v>#NUM!</v>
      </c>
      <c r="N41" s="21" t="e">
        <f t="shared" si="16"/>
        <v>#VALUE!</v>
      </c>
      <c r="O41" s="21" t="b">
        <f t="shared" si="17"/>
        <v>0</v>
      </c>
      <c r="P41" s="12">
        <v>0</v>
      </c>
      <c r="Q41" s="12">
        <v>0</v>
      </c>
      <c r="R41" s="12">
        <v>0</v>
      </c>
      <c r="S41" s="106" t="e">
        <f>_xll.qlRateHelperRate(R41,Trigger)</f>
        <v>#NUM!</v>
      </c>
      <c r="T41" s="13" t="e">
        <f>_xll.qlRateHelperEarliestDate(R41,Trigger)</f>
        <v>#NUM!</v>
      </c>
      <c r="U41" s="13" t="e">
        <f ca="1">_xll.qlRateHelperLatestDate(R41,Trigger)</f>
        <v>#NAME?</v>
      </c>
      <c r="V41" s="106" t="e">
        <v>#VALUE!</v>
      </c>
    </row>
    <row r="42" spans="1:22" ht="11.25" customHeight="1" x14ac:dyDescent="0.2">
      <c r="A42" s="96" t="s">
        <v>38</v>
      </c>
      <c r="B42" s="126"/>
      <c r="C42" s="126" t="s">
        <v>14</v>
      </c>
      <c r="D42" s="127" t="e">
        <v>#NUM!</v>
      </c>
      <c r="E42" s="119" t="s">
        <v>15</v>
      </c>
      <c r="F42" s="126" t="s">
        <v>16</v>
      </c>
      <c r="G42" s="119" t="s">
        <v>17</v>
      </c>
      <c r="H42" s="128" t="e">
        <v>#NUM!</v>
      </c>
      <c r="I42" s="94" t="e">
        <f>_xll.qlSwapRateHelper2(,$H42,2,$D42,Calendar,$F42,$E42,$G42,$I$30,0,C42,,Permanent,Trigger,ObjectOverwrite)</f>
        <v>#VALUE!</v>
      </c>
      <c r="J42" s="122" t="b">
        <f t="shared" si="18"/>
        <v>0</v>
      </c>
      <c r="L42" s="21" t="str">
        <f t="shared" si="14"/>
        <v>Sw</v>
      </c>
      <c r="M42" s="21" t="e">
        <f t="shared" si="15"/>
        <v>#NUM!</v>
      </c>
      <c r="N42" s="21" t="e">
        <f t="shared" si="16"/>
        <v>#VALUE!</v>
      </c>
      <c r="O42" s="21" t="b">
        <f t="shared" si="17"/>
        <v>0</v>
      </c>
      <c r="P42" s="12">
        <v>0</v>
      </c>
      <c r="Q42" s="12">
        <v>0</v>
      </c>
      <c r="R42" s="12">
        <v>0</v>
      </c>
      <c r="S42" s="106" t="e">
        <f>_xll.qlRateHelperRate(R42,Trigger)</f>
        <v>#NUM!</v>
      </c>
      <c r="T42" s="13" t="e">
        <f>_xll.qlRateHelperEarliestDate(R42,Trigger)</f>
        <v>#NUM!</v>
      </c>
      <c r="U42" s="13" t="e">
        <f ca="1">_xll.qlRateHelperLatestDate(R42,Trigger)</f>
        <v>#NAME?</v>
      </c>
      <c r="V42" s="106" t="e">
        <v>#VALUE!</v>
      </c>
    </row>
    <row r="43" spans="1:22" ht="11.25" customHeight="1" x14ac:dyDescent="0.2">
      <c r="A43" s="96" t="s">
        <v>38</v>
      </c>
      <c r="B43" s="126"/>
      <c r="C43" s="126" t="s">
        <v>14</v>
      </c>
      <c r="D43" s="127" t="e">
        <v>#NUM!</v>
      </c>
      <c r="E43" s="119" t="s">
        <v>15</v>
      </c>
      <c r="F43" s="126" t="s">
        <v>16</v>
      </c>
      <c r="G43" s="119" t="s">
        <v>17</v>
      </c>
      <c r="H43" s="128" t="e">
        <v>#NUM!</v>
      </c>
      <c r="I43" s="94" t="e">
        <f>_xll.qlSwapRateHelper2(,$H43,2,$D43,Calendar,$F43,$E43,$G43,$I$30,0,C43,,Permanent,Trigger,ObjectOverwrite)</f>
        <v>#VALUE!</v>
      </c>
      <c r="J43" s="122" t="b">
        <f t="shared" si="18"/>
        <v>0</v>
      </c>
      <c r="L43" s="21" t="str">
        <f t="shared" si="14"/>
        <v>Sw</v>
      </c>
      <c r="M43" s="21" t="e">
        <f t="shared" si="15"/>
        <v>#NUM!</v>
      </c>
      <c r="N43" s="21" t="e">
        <f t="shared" si="16"/>
        <v>#VALUE!</v>
      </c>
      <c r="O43" s="21" t="b">
        <f t="shared" si="17"/>
        <v>0</v>
      </c>
      <c r="P43" s="12">
        <v>0</v>
      </c>
      <c r="Q43" s="12">
        <v>0</v>
      </c>
      <c r="R43" s="12">
        <v>0</v>
      </c>
      <c r="S43" s="106" t="e">
        <f>_xll.qlRateHelperRate(R43,Trigger)</f>
        <v>#NUM!</v>
      </c>
      <c r="T43" s="13" t="e">
        <f>_xll.qlRateHelperEarliestDate(R43,Trigger)</f>
        <v>#NUM!</v>
      </c>
      <c r="U43" s="13" t="e">
        <f ca="1">_xll.qlRateHelperLatestDate(R43,Trigger)</f>
        <v>#NAME?</v>
      </c>
      <c r="V43" s="106" t="e">
        <v>#VALUE!</v>
      </c>
    </row>
    <row r="44" spans="1:22" ht="11.25" customHeight="1" x14ac:dyDescent="0.2">
      <c r="A44" s="96" t="s">
        <v>38</v>
      </c>
      <c r="B44" s="126"/>
      <c r="C44" s="126" t="s">
        <v>14</v>
      </c>
      <c r="D44" s="127" t="e">
        <v>#NUM!</v>
      </c>
      <c r="E44" s="119" t="s">
        <v>15</v>
      </c>
      <c r="F44" s="126" t="s">
        <v>16</v>
      </c>
      <c r="G44" s="119" t="s">
        <v>17</v>
      </c>
      <c r="H44" s="128" t="e">
        <v>#NUM!</v>
      </c>
      <c r="I44" s="94" t="e">
        <f>_xll.qlSwapRateHelper2(,$H44,2,$D44,Calendar,$F44,$E44,$G44,$I$30,0,C44,,Permanent,Trigger,ObjectOverwrite)</f>
        <v>#VALUE!</v>
      </c>
      <c r="J44" s="122" t="b">
        <f t="shared" si="18"/>
        <v>0</v>
      </c>
      <c r="L44" s="21" t="str">
        <f t="shared" si="14"/>
        <v>Sw</v>
      </c>
      <c r="M44" s="21" t="e">
        <f t="shared" si="15"/>
        <v>#NUM!</v>
      </c>
      <c r="N44" s="21" t="e">
        <f t="shared" si="16"/>
        <v>#VALUE!</v>
      </c>
      <c r="O44" s="21" t="b">
        <f t="shared" si="17"/>
        <v>0</v>
      </c>
      <c r="P44" s="12">
        <v>0</v>
      </c>
      <c r="Q44" s="12">
        <v>0</v>
      </c>
      <c r="R44" s="12">
        <v>0</v>
      </c>
      <c r="S44" s="106" t="e">
        <f>_xll.qlRateHelperRate(R44,Trigger)</f>
        <v>#NUM!</v>
      </c>
      <c r="T44" s="13" t="e">
        <f>_xll.qlRateHelperEarliestDate(R44,Trigger)</f>
        <v>#NUM!</v>
      </c>
      <c r="U44" s="13" t="e">
        <f ca="1">_xll.qlRateHelperLatestDate(R44,Trigger)</f>
        <v>#NAME?</v>
      </c>
      <c r="V44" s="106" t="e">
        <v>#VALUE!</v>
      </c>
    </row>
    <row r="45" spans="1:22" ht="11.25" customHeight="1" x14ac:dyDescent="0.2">
      <c r="A45" s="96" t="s">
        <v>38</v>
      </c>
      <c r="B45" s="126"/>
      <c r="C45" s="126" t="s">
        <v>14</v>
      </c>
      <c r="D45" s="127" t="e">
        <v>#NUM!</v>
      </c>
      <c r="E45" s="119" t="s">
        <v>15</v>
      </c>
      <c r="F45" s="126" t="s">
        <v>16</v>
      </c>
      <c r="G45" s="119" t="s">
        <v>17</v>
      </c>
      <c r="H45" s="128" t="e">
        <v>#NUM!</v>
      </c>
      <c r="I45" s="94" t="e">
        <f>_xll.qlSwapRateHelper2(,$H45,2,$D45,Calendar,$F45,$E45,$G45,$I$30,0,C45,,Permanent,Trigger,ObjectOverwrite)</f>
        <v>#VALUE!</v>
      </c>
      <c r="J45" s="122" t="b">
        <f t="shared" si="18"/>
        <v>0</v>
      </c>
      <c r="L45" s="21" t="str">
        <f t="shared" si="14"/>
        <v>Sw</v>
      </c>
      <c r="M45" s="21" t="e">
        <f t="shared" si="15"/>
        <v>#NUM!</v>
      </c>
      <c r="N45" s="21" t="e">
        <f t="shared" si="16"/>
        <v>#VALUE!</v>
      </c>
      <c r="O45" s="21" t="b">
        <f t="shared" si="17"/>
        <v>0</v>
      </c>
      <c r="P45" s="12">
        <v>0</v>
      </c>
      <c r="Q45" s="12">
        <v>0</v>
      </c>
      <c r="R45" s="12">
        <v>0</v>
      </c>
      <c r="S45" s="106" t="e">
        <f>_xll.qlRateHelperRate(R45,Trigger)</f>
        <v>#NUM!</v>
      </c>
      <c r="T45" s="13" t="e">
        <f>_xll.qlRateHelperEarliestDate(R45,Trigger)</f>
        <v>#NUM!</v>
      </c>
      <c r="U45" s="13" t="e">
        <f ca="1">_xll.qlRateHelperLatestDate(R45,Trigger)</f>
        <v>#NAME?</v>
      </c>
      <c r="V45" s="106" t="e">
        <v>#VALUE!</v>
      </c>
    </row>
    <row r="46" spans="1:22" ht="11.25" customHeight="1" x14ac:dyDescent="0.2">
      <c r="A46" s="96" t="s">
        <v>38</v>
      </c>
      <c r="B46" s="126"/>
      <c r="C46" s="126" t="s">
        <v>14</v>
      </c>
      <c r="D46" s="127" t="e">
        <v>#NUM!</v>
      </c>
      <c r="E46" s="119" t="s">
        <v>15</v>
      </c>
      <c r="F46" s="126" t="s">
        <v>16</v>
      </c>
      <c r="G46" s="119" t="s">
        <v>17</v>
      </c>
      <c r="H46" s="128" t="e">
        <v>#NUM!</v>
      </c>
      <c r="I46" s="94" t="e">
        <f>_xll.qlSwapRateHelper2(,$H46,2,$D46,Calendar,$F46,$E46,$G46,$I$30,0,C46,,Permanent,Trigger,ObjectOverwrite)</f>
        <v>#VALUE!</v>
      </c>
      <c r="J46" s="122" t="b">
        <f t="shared" si="18"/>
        <v>0</v>
      </c>
      <c r="L46" s="21" t="str">
        <f t="shared" si="14"/>
        <v>Sw</v>
      </c>
      <c r="M46" s="21" t="e">
        <f t="shared" si="15"/>
        <v>#NUM!</v>
      </c>
      <c r="N46" s="21" t="e">
        <f t="shared" si="16"/>
        <v>#VALUE!</v>
      </c>
      <c r="O46" s="21" t="b">
        <f t="shared" si="17"/>
        <v>0</v>
      </c>
      <c r="P46" s="12">
        <v>0</v>
      </c>
      <c r="Q46" s="12">
        <v>0</v>
      </c>
      <c r="R46" s="12">
        <v>0</v>
      </c>
      <c r="S46" s="106" t="e">
        <f>_xll.qlRateHelperRate(R46,Trigger)</f>
        <v>#NUM!</v>
      </c>
      <c r="T46" s="13" t="e">
        <f>_xll.qlRateHelperEarliestDate(R46,Trigger)</f>
        <v>#NUM!</v>
      </c>
      <c r="U46" s="13" t="e">
        <f ca="1">_xll.qlRateHelperLatestDate(R46,Trigger)</f>
        <v>#NAME?</v>
      </c>
      <c r="V46" s="106" t="e">
        <v>#VALUE!</v>
      </c>
    </row>
    <row r="47" spans="1:22" ht="11.25" customHeight="1" x14ac:dyDescent="0.2">
      <c r="A47" s="96" t="s">
        <v>38</v>
      </c>
      <c r="B47" s="126"/>
      <c r="C47" s="126" t="s">
        <v>14</v>
      </c>
      <c r="D47" s="127" t="e">
        <v>#NUM!</v>
      </c>
      <c r="E47" s="119" t="s">
        <v>15</v>
      </c>
      <c r="F47" s="126" t="s">
        <v>16</v>
      </c>
      <c r="G47" s="119" t="s">
        <v>17</v>
      </c>
      <c r="H47" s="128" t="e">
        <v>#NUM!</v>
      </c>
      <c r="I47" s="94" t="e">
        <f>_xll.qlSwapRateHelper2(,$H47,2,$D47,Calendar,$F47,$E47,$G47,$I$30,0,C47,,Permanent,Trigger,ObjectOverwrite)</f>
        <v>#VALUE!</v>
      </c>
      <c r="J47" s="122" t="b">
        <f t="shared" si="18"/>
        <v>0</v>
      </c>
      <c r="L47" s="21" t="str">
        <f t="shared" si="14"/>
        <v>Sw</v>
      </c>
      <c r="M47" s="21" t="e">
        <f t="shared" si="15"/>
        <v>#NUM!</v>
      </c>
      <c r="N47" s="21" t="e">
        <f t="shared" si="16"/>
        <v>#VALUE!</v>
      </c>
      <c r="O47" s="21" t="b">
        <f t="shared" si="17"/>
        <v>0</v>
      </c>
      <c r="P47" s="12">
        <v>0</v>
      </c>
      <c r="Q47" s="12">
        <v>0</v>
      </c>
      <c r="R47" s="12">
        <v>0</v>
      </c>
      <c r="S47" s="106" t="e">
        <f>_xll.qlRateHelperRate(R47,Trigger)</f>
        <v>#NUM!</v>
      </c>
      <c r="T47" s="13" t="e">
        <f>_xll.qlRateHelperEarliestDate(R47,Trigger)</f>
        <v>#NUM!</v>
      </c>
      <c r="U47" s="13" t="e">
        <f ca="1">_xll.qlRateHelperLatestDate(R47,Trigger)</f>
        <v>#NAME?</v>
      </c>
      <c r="V47" s="106" t="e">
        <v>#VALUE!</v>
      </c>
    </row>
    <row r="48" spans="1:22" ht="11.25" customHeight="1" x14ac:dyDescent="0.2">
      <c r="A48" s="96" t="s">
        <v>38</v>
      </c>
      <c r="B48" s="126"/>
      <c r="C48" s="126" t="s">
        <v>14</v>
      </c>
      <c r="D48" s="127" t="e">
        <v>#NUM!</v>
      </c>
      <c r="E48" s="119" t="s">
        <v>15</v>
      </c>
      <c r="F48" s="126" t="s">
        <v>16</v>
      </c>
      <c r="G48" s="119" t="s">
        <v>17</v>
      </c>
      <c r="H48" s="128" t="e">
        <v>#NUM!</v>
      </c>
      <c r="I48" s="94" t="e">
        <f>_xll.qlSwapRateHelper2(,$H48,2,$D48,Calendar,$F48,$E48,$G48,$I$30,0,C48,,Permanent,Trigger,ObjectOverwrite)</f>
        <v>#VALUE!</v>
      </c>
      <c r="J48" s="122" t="b">
        <f t="shared" si="18"/>
        <v>0</v>
      </c>
      <c r="L48" s="21" t="str">
        <f t="shared" si="14"/>
        <v>Sw</v>
      </c>
      <c r="M48" s="21" t="e">
        <f t="shared" si="15"/>
        <v>#NUM!</v>
      </c>
      <c r="N48" s="21" t="e">
        <f t="shared" si="16"/>
        <v>#VALUE!</v>
      </c>
      <c r="O48" s="21" t="b">
        <f t="shared" si="17"/>
        <v>0</v>
      </c>
      <c r="P48" s="12">
        <v>0</v>
      </c>
      <c r="Q48" s="12">
        <v>0</v>
      </c>
      <c r="R48" s="12">
        <v>0</v>
      </c>
      <c r="S48" s="106" t="e">
        <f>_xll.qlRateHelperRate(R48,Trigger)</f>
        <v>#NUM!</v>
      </c>
      <c r="T48" s="13" t="e">
        <f>_xll.qlRateHelperEarliestDate(R48,Trigger)</f>
        <v>#NUM!</v>
      </c>
      <c r="U48" s="13" t="e">
        <f ca="1">_xll.qlRateHelperLatestDate(R48,Trigger)</f>
        <v>#NAME?</v>
      </c>
      <c r="V48" s="106" t="e">
        <v>#VALUE!</v>
      </c>
    </row>
    <row r="49" spans="1:22" ht="11.25" customHeight="1" x14ac:dyDescent="0.2">
      <c r="A49" s="96" t="s">
        <v>38</v>
      </c>
      <c r="B49" s="126"/>
      <c r="C49" s="126" t="s">
        <v>14</v>
      </c>
      <c r="D49" s="127" t="e">
        <v>#NUM!</v>
      </c>
      <c r="E49" s="119" t="s">
        <v>15</v>
      </c>
      <c r="F49" s="126" t="s">
        <v>16</v>
      </c>
      <c r="G49" s="119" t="s">
        <v>17</v>
      </c>
      <c r="H49" s="128" t="e">
        <v>#NUM!</v>
      </c>
      <c r="I49" s="94" t="e">
        <f>_xll.qlSwapRateHelper2(,$H49,2,$D49,Calendar,$F49,$E49,$G49,$I$30,0,C49,,Permanent,Trigger,ObjectOverwrite)</f>
        <v>#VALUE!</v>
      </c>
      <c r="J49" s="122" t="b">
        <f t="shared" si="18"/>
        <v>0</v>
      </c>
      <c r="L49" s="21" t="str">
        <f t="shared" si="14"/>
        <v>Sw</v>
      </c>
      <c r="M49" s="21" t="e">
        <f t="shared" si="15"/>
        <v>#NUM!</v>
      </c>
      <c r="N49" s="21" t="e">
        <f t="shared" si="16"/>
        <v>#VALUE!</v>
      </c>
      <c r="O49" s="21" t="b">
        <f t="shared" si="17"/>
        <v>0</v>
      </c>
      <c r="P49" s="12">
        <v>0</v>
      </c>
      <c r="Q49" s="12">
        <v>0</v>
      </c>
      <c r="R49" s="12">
        <v>0</v>
      </c>
      <c r="S49" s="106" t="e">
        <f>_xll.qlRateHelperRate(R49,Trigger)</f>
        <v>#NUM!</v>
      </c>
      <c r="T49" s="13" t="e">
        <f>_xll.qlRateHelperEarliestDate(R49,Trigger)</f>
        <v>#NUM!</v>
      </c>
      <c r="U49" s="13" t="e">
        <f ca="1">_xll.qlRateHelperLatestDate(R49,Trigger)</f>
        <v>#NAME?</v>
      </c>
      <c r="V49" s="106" t="e">
        <v>#VALUE!</v>
      </c>
    </row>
    <row r="50" spans="1:22" ht="11.25" customHeight="1" x14ac:dyDescent="0.2">
      <c r="A50" s="96" t="s">
        <v>38</v>
      </c>
      <c r="B50" s="126"/>
      <c r="C50" s="126" t="s">
        <v>14</v>
      </c>
      <c r="D50" s="127" t="e">
        <v>#NUM!</v>
      </c>
      <c r="E50" s="119" t="s">
        <v>15</v>
      </c>
      <c r="F50" s="126" t="s">
        <v>16</v>
      </c>
      <c r="G50" s="119" t="s">
        <v>17</v>
      </c>
      <c r="H50" s="128" t="e">
        <v>#NUM!</v>
      </c>
      <c r="I50" s="94" t="e">
        <f>_xll.qlSwapRateHelper2(,$H50,2,$D50,Calendar,$F50,$E50,$G50,$I$30,0,C50,,Permanent,Trigger,ObjectOverwrite)</f>
        <v>#VALUE!</v>
      </c>
      <c r="J50" s="122" t="b">
        <f t="shared" si="18"/>
        <v>0</v>
      </c>
      <c r="L50" s="21" t="str">
        <f t="shared" si="14"/>
        <v>Sw</v>
      </c>
      <c r="M50" s="21" t="e">
        <f t="shared" si="15"/>
        <v>#NUM!</v>
      </c>
      <c r="N50" s="21" t="e">
        <f t="shared" si="16"/>
        <v>#VALUE!</v>
      </c>
      <c r="O50" s="21" t="b">
        <f t="shared" si="17"/>
        <v>0</v>
      </c>
      <c r="P50" s="12">
        <v>0</v>
      </c>
      <c r="Q50" s="12">
        <v>0</v>
      </c>
      <c r="R50" s="12">
        <v>0</v>
      </c>
      <c r="S50" s="106" t="e">
        <f>_xll.qlRateHelperRate(R50,Trigger)</f>
        <v>#NUM!</v>
      </c>
      <c r="T50" s="13" t="e">
        <f>_xll.qlRateHelperEarliestDate(R50,Trigger)</f>
        <v>#NUM!</v>
      </c>
      <c r="U50" s="13" t="e">
        <f ca="1">_xll.qlRateHelperLatestDate(R50,Trigger)</f>
        <v>#NAME?</v>
      </c>
      <c r="V50" s="106" t="e">
        <v>#VALUE!</v>
      </c>
    </row>
    <row r="51" spans="1:22" ht="11.25" customHeight="1" x14ac:dyDescent="0.2">
      <c r="A51" s="96" t="s">
        <v>38</v>
      </c>
      <c r="B51" s="126"/>
      <c r="C51" s="126" t="s">
        <v>14</v>
      </c>
      <c r="D51" s="127" t="e">
        <v>#NUM!</v>
      </c>
      <c r="E51" s="119" t="s">
        <v>15</v>
      </c>
      <c r="F51" s="126" t="s">
        <v>16</v>
      </c>
      <c r="G51" s="119" t="s">
        <v>17</v>
      </c>
      <c r="H51" s="128" t="e">
        <v>#NUM!</v>
      </c>
      <c r="I51" s="94" t="e">
        <f>_xll.qlSwapRateHelper2(,$H51,2,$D51,Calendar,$F51,$E51,$G51,$I$30,0,C51,,Permanent,Trigger,ObjectOverwrite)</f>
        <v>#VALUE!</v>
      </c>
      <c r="J51" s="122" t="b">
        <f t="shared" si="18"/>
        <v>0</v>
      </c>
      <c r="L51" s="21" t="str">
        <f t="shared" si="14"/>
        <v>Sw</v>
      </c>
      <c r="M51" s="21" t="e">
        <f t="shared" si="15"/>
        <v>#NUM!</v>
      </c>
      <c r="N51" s="21" t="e">
        <f t="shared" si="16"/>
        <v>#VALUE!</v>
      </c>
      <c r="O51" s="21" t="b">
        <f t="shared" si="17"/>
        <v>0</v>
      </c>
      <c r="P51" s="12">
        <v>0</v>
      </c>
      <c r="Q51" s="12">
        <v>0</v>
      </c>
      <c r="R51" s="12">
        <v>0</v>
      </c>
      <c r="S51" s="106" t="e">
        <f>_xll.qlRateHelperRate(R51,Trigger)</f>
        <v>#NUM!</v>
      </c>
      <c r="T51" s="13" t="e">
        <f>_xll.qlRateHelperEarliestDate(R51,Trigger)</f>
        <v>#NUM!</v>
      </c>
      <c r="U51" s="13" t="e">
        <f ca="1">_xll.qlRateHelperLatestDate(R51,Trigger)</f>
        <v>#NAME?</v>
      </c>
      <c r="V51" s="106" t="e">
        <v>#VALUE!</v>
      </c>
    </row>
    <row r="52" spans="1:22" ht="11.25" customHeight="1" x14ac:dyDescent="0.2">
      <c r="A52" s="96" t="s">
        <v>38</v>
      </c>
      <c r="B52" s="126"/>
      <c r="C52" s="126" t="s">
        <v>14</v>
      </c>
      <c r="D52" s="127" t="e">
        <v>#NUM!</v>
      </c>
      <c r="E52" s="119" t="s">
        <v>15</v>
      </c>
      <c r="F52" s="126" t="s">
        <v>16</v>
      </c>
      <c r="G52" s="119" t="s">
        <v>17</v>
      </c>
      <c r="H52" s="128" t="e">
        <v>#NUM!</v>
      </c>
      <c r="I52" s="94" t="e">
        <f>_xll.qlSwapRateHelper2(,$H52,2,$D52,Calendar,$F52,$E52,$G52,$I$30,0,C52,,Permanent,Trigger,ObjectOverwrite)</f>
        <v>#VALUE!</v>
      </c>
      <c r="J52" s="122" t="b">
        <f t="shared" si="18"/>
        <v>0</v>
      </c>
      <c r="L52" s="21" t="str">
        <f t="shared" si="14"/>
        <v>Sw</v>
      </c>
      <c r="M52" s="21" t="e">
        <f t="shared" si="15"/>
        <v>#NUM!</v>
      </c>
      <c r="N52" s="21" t="e">
        <f t="shared" si="16"/>
        <v>#VALUE!</v>
      </c>
      <c r="O52" s="21" t="b">
        <f t="shared" si="17"/>
        <v>0</v>
      </c>
      <c r="P52" s="12">
        <v>0</v>
      </c>
      <c r="Q52" s="12">
        <v>0</v>
      </c>
      <c r="R52" s="12">
        <v>0</v>
      </c>
      <c r="S52" s="106" t="e">
        <f>_xll.qlRateHelperRate(R52,Trigger)</f>
        <v>#NUM!</v>
      </c>
      <c r="T52" s="13" t="e">
        <f>_xll.qlRateHelperEarliestDate(R52,Trigger)</f>
        <v>#NUM!</v>
      </c>
      <c r="U52" s="13" t="e">
        <f ca="1">_xll.qlRateHelperLatestDate(R52,Trigger)</f>
        <v>#NAME?</v>
      </c>
      <c r="V52" s="106" t="e">
        <v>#VALUE!</v>
      </c>
    </row>
    <row r="53" spans="1:22" ht="11.25" customHeight="1" x14ac:dyDescent="0.2">
      <c r="A53" s="96" t="s">
        <v>38</v>
      </c>
      <c r="B53" s="126"/>
      <c r="C53" s="126" t="s">
        <v>14</v>
      </c>
      <c r="D53" s="127" t="e">
        <v>#NUM!</v>
      </c>
      <c r="E53" s="119" t="s">
        <v>15</v>
      </c>
      <c r="F53" s="126" t="s">
        <v>16</v>
      </c>
      <c r="G53" s="119" t="s">
        <v>17</v>
      </c>
      <c r="H53" s="128" t="e">
        <v>#NUM!</v>
      </c>
      <c r="I53" s="94" t="e">
        <f>_xll.qlSwapRateHelper2(,$H53,2,$D53,Calendar,$F53,$E53,$G53,$I$30,0,C53,,Permanent,Trigger,ObjectOverwrite)</f>
        <v>#VALUE!</v>
      </c>
      <c r="J53" s="122" t="b">
        <f t="shared" si="18"/>
        <v>0</v>
      </c>
      <c r="L53" s="21" t="str">
        <f t="shared" si="14"/>
        <v>Sw</v>
      </c>
      <c r="M53" s="21" t="e">
        <f t="shared" si="15"/>
        <v>#NUM!</v>
      </c>
      <c r="N53" s="21" t="e">
        <f t="shared" si="16"/>
        <v>#VALUE!</v>
      </c>
      <c r="O53" s="21" t="b">
        <f t="shared" si="17"/>
        <v>0</v>
      </c>
      <c r="P53" s="12">
        <v>0</v>
      </c>
      <c r="Q53" s="12">
        <v>0</v>
      </c>
      <c r="R53" s="12">
        <v>0</v>
      </c>
      <c r="S53" s="106" t="e">
        <f>_xll.qlRateHelperRate(R53,Trigger)</f>
        <v>#NUM!</v>
      </c>
      <c r="T53" s="13" t="e">
        <f>_xll.qlRateHelperEarliestDate(R53,Trigger)</f>
        <v>#NUM!</v>
      </c>
      <c r="U53" s="13" t="e">
        <f ca="1">_xll.qlRateHelperLatestDate(R53,Trigger)</f>
        <v>#NAME?</v>
      </c>
      <c r="V53" s="106" t="e">
        <v>#VALUE!</v>
      </c>
    </row>
    <row r="54" spans="1:22" ht="11.25" customHeight="1" x14ac:dyDescent="0.2">
      <c r="A54" s="96" t="s">
        <v>38</v>
      </c>
      <c r="B54" s="126"/>
      <c r="C54" s="126" t="s">
        <v>14</v>
      </c>
      <c r="D54" s="127" t="e">
        <v>#NUM!</v>
      </c>
      <c r="E54" s="119" t="s">
        <v>15</v>
      </c>
      <c r="F54" s="126" t="s">
        <v>16</v>
      </c>
      <c r="G54" s="119" t="s">
        <v>17</v>
      </c>
      <c r="H54" s="128" t="e">
        <v>#NUM!</v>
      </c>
      <c r="I54" s="94" t="e">
        <f>_xll.qlSwapRateHelper2(,$H54,2,$D54,Calendar,$F54,$E54,$G54,$I$30,0,C54,,Permanent,Trigger,ObjectOverwrite)</f>
        <v>#VALUE!</v>
      </c>
      <c r="J54" s="122" t="b">
        <f t="shared" si="18"/>
        <v>0</v>
      </c>
      <c r="L54" s="21" t="str">
        <f t="shared" si="14"/>
        <v>Sw</v>
      </c>
      <c r="M54" s="21" t="e">
        <f t="shared" si="15"/>
        <v>#NUM!</v>
      </c>
      <c r="N54" s="21" t="e">
        <f t="shared" si="16"/>
        <v>#VALUE!</v>
      </c>
      <c r="O54" s="21" t="b">
        <f t="shared" si="17"/>
        <v>0</v>
      </c>
      <c r="P54" s="12">
        <v>0</v>
      </c>
      <c r="Q54" s="12">
        <v>0</v>
      </c>
      <c r="R54" s="12">
        <v>0</v>
      </c>
      <c r="S54" s="106" t="e">
        <f>_xll.qlRateHelperRate(R54,Trigger)</f>
        <v>#NUM!</v>
      </c>
      <c r="T54" s="13" t="e">
        <f>_xll.qlRateHelperEarliestDate(R54,Trigger)</f>
        <v>#NUM!</v>
      </c>
      <c r="U54" s="13" t="e">
        <f ca="1">_xll.qlRateHelperLatestDate(R54,Trigger)</f>
        <v>#NAME?</v>
      </c>
      <c r="V54" s="106" t="e">
        <v>#VALUE!</v>
      </c>
    </row>
    <row r="55" spans="1:22" ht="11.25" customHeight="1" x14ac:dyDescent="0.2">
      <c r="A55" s="96" t="s">
        <v>38</v>
      </c>
      <c r="B55" s="126"/>
      <c r="C55" s="126" t="s">
        <v>14</v>
      </c>
      <c r="D55" s="127" t="e">
        <v>#NUM!</v>
      </c>
      <c r="E55" s="119" t="s">
        <v>15</v>
      </c>
      <c r="F55" s="126" t="s">
        <v>16</v>
      </c>
      <c r="G55" s="119" t="s">
        <v>17</v>
      </c>
      <c r="H55" s="128" t="e">
        <v>#NUM!</v>
      </c>
      <c r="I55" s="94" t="e">
        <f>_xll.qlSwapRateHelper2(,$H55,2,$D55,Calendar,$F55,$E55,$G55,$I$30,0,C55,,Permanent,Trigger,ObjectOverwrite)</f>
        <v>#VALUE!</v>
      </c>
      <c r="J55" s="122" t="b">
        <f t="shared" si="18"/>
        <v>0</v>
      </c>
      <c r="L55" s="21" t="str">
        <f t="shared" si="14"/>
        <v>Sw</v>
      </c>
      <c r="M55" s="21" t="e">
        <f t="shared" si="15"/>
        <v>#NUM!</v>
      </c>
      <c r="N55" s="21" t="e">
        <f t="shared" si="16"/>
        <v>#VALUE!</v>
      </c>
      <c r="O55" s="21" t="b">
        <f t="shared" si="17"/>
        <v>0</v>
      </c>
      <c r="P55" s="12">
        <v>0</v>
      </c>
      <c r="Q55" s="12">
        <v>0</v>
      </c>
      <c r="R55" s="12">
        <v>0</v>
      </c>
      <c r="S55" s="106" t="e">
        <f>_xll.qlRateHelperRate(R55,Trigger)</f>
        <v>#NUM!</v>
      </c>
      <c r="T55" s="13" t="e">
        <f>_xll.qlRateHelperEarliestDate(R55,Trigger)</f>
        <v>#NUM!</v>
      </c>
      <c r="U55" s="13" t="e">
        <f ca="1">_xll.qlRateHelperLatestDate(R55,Trigger)</f>
        <v>#NAME?</v>
      </c>
      <c r="V55" s="106" t="e">
        <v>#VALUE!</v>
      </c>
    </row>
    <row r="56" spans="1:22" ht="11.25" customHeight="1" x14ac:dyDescent="0.2">
      <c r="A56" s="96" t="s">
        <v>38</v>
      </c>
      <c r="B56" s="126"/>
      <c r="C56" s="126" t="s">
        <v>14</v>
      </c>
      <c r="D56" s="127" t="e">
        <v>#NUM!</v>
      </c>
      <c r="E56" s="119" t="s">
        <v>15</v>
      </c>
      <c r="F56" s="126" t="s">
        <v>16</v>
      </c>
      <c r="G56" s="119" t="s">
        <v>17</v>
      </c>
      <c r="H56" s="128" t="e">
        <v>#NUM!</v>
      </c>
      <c r="I56" s="94" t="e">
        <f>_xll.qlSwapRateHelper2(,$H56,2,$D56,Calendar,$F56,$E56,$G56,$I$30,0,C56,,Permanent,Trigger,ObjectOverwrite)</f>
        <v>#VALUE!</v>
      </c>
      <c r="J56" s="122" t="b">
        <f t="shared" si="18"/>
        <v>0</v>
      </c>
      <c r="L56" s="21" t="str">
        <f t="shared" si="14"/>
        <v>Sw</v>
      </c>
      <c r="M56" s="21" t="e">
        <f t="shared" si="15"/>
        <v>#NUM!</v>
      </c>
      <c r="N56" s="21" t="e">
        <f t="shared" si="16"/>
        <v>#VALUE!</v>
      </c>
      <c r="O56" s="21" t="b">
        <f t="shared" si="17"/>
        <v>0</v>
      </c>
      <c r="P56" s="12">
        <v>0</v>
      </c>
      <c r="Q56" s="12">
        <v>0</v>
      </c>
      <c r="R56" s="12">
        <v>0</v>
      </c>
      <c r="S56" s="106" t="e">
        <f>_xll.qlRateHelperRate(R56,Trigger)</f>
        <v>#NUM!</v>
      </c>
      <c r="T56" s="13" t="e">
        <f>_xll.qlRateHelperEarliestDate(R56,Trigger)</f>
        <v>#NUM!</v>
      </c>
      <c r="U56" s="13" t="e">
        <f ca="1">_xll.qlRateHelperLatestDate(R56,Trigger)</f>
        <v>#NAME?</v>
      </c>
      <c r="V56" s="106" t="e">
        <v>#VALUE!</v>
      </c>
    </row>
    <row r="57" spans="1:22" ht="11.25" customHeight="1" x14ac:dyDescent="0.2">
      <c r="A57" s="96" t="s">
        <v>38</v>
      </c>
      <c r="B57" s="126"/>
      <c r="C57" s="126" t="s">
        <v>14</v>
      </c>
      <c r="D57" s="127" t="e">
        <v>#NUM!</v>
      </c>
      <c r="E57" s="119" t="s">
        <v>15</v>
      </c>
      <c r="F57" s="126" t="s">
        <v>16</v>
      </c>
      <c r="G57" s="119" t="s">
        <v>17</v>
      </c>
      <c r="H57" s="128" t="e">
        <v>#NUM!</v>
      </c>
      <c r="I57" s="94" t="e">
        <f>_xll.qlSwapRateHelper2(,$H57,2,$D57,Calendar,$F57,$E57,$G57,$I$30,0,C57,,Permanent,Trigger,ObjectOverwrite)</f>
        <v>#VALUE!</v>
      </c>
      <c r="J57" s="122" t="b">
        <f t="shared" si="18"/>
        <v>0</v>
      </c>
      <c r="L57" s="21" t="str">
        <f t="shared" si="14"/>
        <v>Sw</v>
      </c>
      <c r="M57" s="21" t="e">
        <f t="shared" si="15"/>
        <v>#NUM!</v>
      </c>
      <c r="N57" s="21" t="e">
        <f t="shared" si="16"/>
        <v>#VALUE!</v>
      </c>
      <c r="O57" s="21" t="b">
        <f t="shared" si="17"/>
        <v>0</v>
      </c>
      <c r="P57" s="12">
        <v>0</v>
      </c>
      <c r="Q57" s="12">
        <v>0</v>
      </c>
      <c r="R57" s="12">
        <v>0</v>
      </c>
      <c r="S57" s="106" t="e">
        <f>_xll.qlRateHelperRate(R57,Trigger)</f>
        <v>#NUM!</v>
      </c>
      <c r="T57" s="13" t="e">
        <f>_xll.qlRateHelperEarliestDate(R57,Trigger)</f>
        <v>#NUM!</v>
      </c>
      <c r="U57" s="13" t="e">
        <f ca="1">_xll.qlRateHelperLatestDate(R57,Trigger)</f>
        <v>#NAME?</v>
      </c>
      <c r="V57" s="106" t="e">
        <v>#VALUE!</v>
      </c>
    </row>
    <row r="58" spans="1:22" ht="11.25" customHeight="1" x14ac:dyDescent="0.2">
      <c r="A58" s="96" t="s">
        <v>38</v>
      </c>
      <c r="B58" s="126"/>
      <c r="C58" s="126" t="s">
        <v>14</v>
      </c>
      <c r="D58" s="127" t="e">
        <v>#NUM!</v>
      </c>
      <c r="E58" s="119" t="s">
        <v>15</v>
      </c>
      <c r="F58" s="126" t="s">
        <v>16</v>
      </c>
      <c r="G58" s="119" t="s">
        <v>17</v>
      </c>
      <c r="H58" s="128" t="e">
        <v>#NUM!</v>
      </c>
      <c r="I58" s="94" t="e">
        <f>_xll.qlSwapRateHelper2(,$H58,2,$D58,Calendar,$F58,$E58,$G58,$I$30,0,C58,,Permanent,Trigger,ObjectOverwrite)</f>
        <v>#VALUE!</v>
      </c>
      <c r="J58" s="122" t="b">
        <f t="shared" si="18"/>
        <v>0</v>
      </c>
      <c r="L58" s="21" t="str">
        <f t="shared" si="14"/>
        <v>Sw</v>
      </c>
      <c r="M58" s="21" t="e">
        <f t="shared" si="15"/>
        <v>#NUM!</v>
      </c>
      <c r="N58" s="21" t="e">
        <f t="shared" si="16"/>
        <v>#VALUE!</v>
      </c>
      <c r="O58" s="21" t="b">
        <f t="shared" si="17"/>
        <v>0</v>
      </c>
      <c r="P58" s="12">
        <v>0</v>
      </c>
      <c r="Q58" s="12">
        <v>0</v>
      </c>
      <c r="R58" s="12">
        <v>0</v>
      </c>
      <c r="S58" s="106" t="e">
        <f>_xll.qlRateHelperRate(R58,Trigger)</f>
        <v>#NUM!</v>
      </c>
      <c r="T58" s="13" t="e">
        <f>_xll.qlRateHelperEarliestDate(R58,Trigger)</f>
        <v>#NUM!</v>
      </c>
      <c r="U58" s="13" t="e">
        <f ca="1">_xll.qlRateHelperLatestDate(R58,Trigger)</f>
        <v>#NAME?</v>
      </c>
      <c r="V58" s="106" t="e">
        <v>#VALUE!</v>
      </c>
    </row>
    <row r="59" spans="1:22" ht="11.25" customHeight="1" x14ac:dyDescent="0.2">
      <c r="A59" s="96" t="s">
        <v>38</v>
      </c>
      <c r="B59" s="126"/>
      <c r="C59" s="126" t="s">
        <v>14</v>
      </c>
      <c r="D59" s="127" t="e">
        <v>#NUM!</v>
      </c>
      <c r="E59" s="119" t="s">
        <v>15</v>
      </c>
      <c r="F59" s="126" t="s">
        <v>16</v>
      </c>
      <c r="G59" s="119" t="s">
        <v>17</v>
      </c>
      <c r="H59" s="128" t="e">
        <v>#NUM!</v>
      </c>
      <c r="I59" s="94" t="e">
        <f>_xll.qlSwapRateHelper2(,$H59,2,$D59,Calendar,$F59,$E59,$G59,$I$30,0,C59,,Permanent,Trigger,ObjectOverwrite)</f>
        <v>#VALUE!</v>
      </c>
      <c r="J59" s="122" t="b">
        <f t="shared" si="18"/>
        <v>0</v>
      </c>
      <c r="L59" s="21" t="str">
        <f t="shared" si="14"/>
        <v>Sw</v>
      </c>
      <c r="M59" s="21" t="e">
        <f t="shared" si="15"/>
        <v>#NUM!</v>
      </c>
      <c r="N59" s="21" t="e">
        <f t="shared" si="16"/>
        <v>#VALUE!</v>
      </c>
      <c r="O59" s="21" t="b">
        <f t="shared" si="17"/>
        <v>0</v>
      </c>
      <c r="P59" s="12">
        <v>0</v>
      </c>
      <c r="Q59" s="12">
        <v>0</v>
      </c>
      <c r="R59" s="12">
        <v>0</v>
      </c>
      <c r="S59" s="106" t="e">
        <f>_xll.qlRateHelperRate(R59,Trigger)</f>
        <v>#NUM!</v>
      </c>
      <c r="T59" s="13" t="e">
        <f>_xll.qlRateHelperEarliestDate(R59,Trigger)</f>
        <v>#NUM!</v>
      </c>
      <c r="U59" s="13" t="e">
        <f ca="1">_xll.qlRateHelperLatestDate(R59,Trigger)</f>
        <v>#NAME?</v>
      </c>
      <c r="V59" s="106" t="e">
        <v>#VALUE!</v>
      </c>
    </row>
    <row r="60" spans="1:22" ht="11.25" customHeight="1" x14ac:dyDescent="0.2">
      <c r="A60" s="96" t="s">
        <v>38</v>
      </c>
      <c r="B60" s="126"/>
      <c r="C60" s="126" t="s">
        <v>14</v>
      </c>
      <c r="D60" s="127" t="e">
        <v>#NUM!</v>
      </c>
      <c r="E60" s="119" t="s">
        <v>15</v>
      </c>
      <c r="F60" s="126" t="s">
        <v>16</v>
      </c>
      <c r="G60" s="119" t="s">
        <v>17</v>
      </c>
      <c r="H60" s="128" t="e">
        <v>#NUM!</v>
      </c>
      <c r="I60" s="94" t="e">
        <f>_xll.qlSwapRateHelper2(,$H60,2,$D60,Calendar,$F60,$E60,$G60,$I$30,0,C60,,Permanent,Trigger,ObjectOverwrite)</f>
        <v>#VALUE!</v>
      </c>
      <c r="J60" s="122" t="b">
        <f t="shared" si="18"/>
        <v>0</v>
      </c>
      <c r="L60" s="21" t="str">
        <f t="shared" si="14"/>
        <v>Sw</v>
      </c>
      <c r="M60" s="21" t="e">
        <f t="shared" si="15"/>
        <v>#NUM!</v>
      </c>
      <c r="N60" s="21" t="e">
        <f t="shared" si="16"/>
        <v>#VALUE!</v>
      </c>
      <c r="O60" s="21" t="b">
        <f t="shared" si="17"/>
        <v>0</v>
      </c>
      <c r="P60" s="12">
        <v>0</v>
      </c>
      <c r="Q60" s="12">
        <v>0</v>
      </c>
      <c r="R60" s="12">
        <v>0</v>
      </c>
      <c r="S60" s="106" t="e">
        <f>_xll.qlRateHelperRate(R60,Trigger)</f>
        <v>#NUM!</v>
      </c>
      <c r="T60" s="13" t="e">
        <f>_xll.qlRateHelperEarliestDate(R60,Trigger)</f>
        <v>#NUM!</v>
      </c>
      <c r="U60" s="13" t="e">
        <f ca="1">_xll.qlRateHelperLatestDate(R60,Trigger)</f>
        <v>#NAME?</v>
      </c>
      <c r="V60" s="106" t="e">
        <v>#VALUE!</v>
      </c>
    </row>
    <row r="61" spans="1:22" ht="11.25" customHeight="1" x14ac:dyDescent="0.2">
      <c r="A61" s="96" t="s">
        <v>38</v>
      </c>
      <c r="B61" s="126"/>
      <c r="C61" s="126" t="s">
        <v>14</v>
      </c>
      <c r="D61" s="127" t="e">
        <v>#NUM!</v>
      </c>
      <c r="E61" s="119" t="s">
        <v>15</v>
      </c>
      <c r="F61" s="126" t="s">
        <v>16</v>
      </c>
      <c r="G61" s="119" t="s">
        <v>17</v>
      </c>
      <c r="H61" s="128" t="e">
        <v>#NUM!</v>
      </c>
      <c r="I61" s="94" t="e">
        <f>_xll.qlSwapRateHelper2(,$H61,2,$D61,Calendar,$F61,$E61,$G61,$I$30,0,C61,,Permanent,Trigger,ObjectOverwrite)</f>
        <v>#VALUE!</v>
      </c>
      <c r="J61" s="122" t="b">
        <f t="shared" si="18"/>
        <v>0</v>
      </c>
      <c r="L61" s="21" t="str">
        <f t="shared" si="14"/>
        <v>Sw</v>
      </c>
      <c r="M61" s="21" t="e">
        <f t="shared" si="15"/>
        <v>#NUM!</v>
      </c>
      <c r="N61" s="21" t="e">
        <f t="shared" si="16"/>
        <v>#VALUE!</v>
      </c>
      <c r="O61" s="21" t="b">
        <f t="shared" si="17"/>
        <v>0</v>
      </c>
      <c r="P61" s="12">
        <v>0</v>
      </c>
      <c r="Q61" s="12">
        <v>0</v>
      </c>
      <c r="R61" s="12">
        <v>0</v>
      </c>
      <c r="S61" s="106" t="e">
        <f>_xll.qlRateHelperRate(R61,Trigger)</f>
        <v>#NUM!</v>
      </c>
      <c r="T61" s="13" t="e">
        <f>_xll.qlRateHelperEarliestDate(R61,Trigger)</f>
        <v>#NUM!</v>
      </c>
      <c r="U61" s="13" t="e">
        <f ca="1">_xll.qlRateHelperLatestDate(R61,Trigger)</f>
        <v>#NAME?</v>
      </c>
      <c r="V61" s="106" t="e">
        <v>#VALUE!</v>
      </c>
    </row>
    <row r="62" spans="1:22" ht="11.25" customHeight="1" x14ac:dyDescent="0.2">
      <c r="A62" s="96" t="s">
        <v>38</v>
      </c>
      <c r="B62" s="126"/>
      <c r="C62" s="126" t="s">
        <v>14</v>
      </c>
      <c r="D62" s="127" t="e">
        <v>#NUM!</v>
      </c>
      <c r="E62" s="119" t="s">
        <v>15</v>
      </c>
      <c r="F62" s="126" t="s">
        <v>16</v>
      </c>
      <c r="G62" s="119" t="s">
        <v>17</v>
      </c>
      <c r="H62" s="128" t="e">
        <v>#NUM!</v>
      </c>
      <c r="I62" s="94" t="e">
        <f>_xll.qlSwapRateHelper2(,$H62,2,$D62,Calendar,$F62,$E62,$G62,$I$30,0,C62,,Permanent,Trigger,ObjectOverwrite)</f>
        <v>#VALUE!</v>
      </c>
      <c r="J62" s="122" t="b">
        <f t="shared" si="18"/>
        <v>0</v>
      </c>
      <c r="L62" s="21" t="str">
        <f t="shared" si="14"/>
        <v>Sw</v>
      </c>
      <c r="M62" s="21" t="e">
        <f t="shared" si="15"/>
        <v>#NUM!</v>
      </c>
      <c r="N62" s="21" t="e">
        <f t="shared" si="16"/>
        <v>#VALUE!</v>
      </c>
      <c r="O62" s="21" t="b">
        <f t="shared" si="17"/>
        <v>0</v>
      </c>
      <c r="P62" s="12">
        <v>0</v>
      </c>
      <c r="Q62" s="12">
        <v>0</v>
      </c>
      <c r="R62" s="12">
        <v>0</v>
      </c>
      <c r="S62" s="106" t="e">
        <f>_xll.qlRateHelperRate(R62,Trigger)</f>
        <v>#NUM!</v>
      </c>
      <c r="T62" s="13" t="e">
        <f>_xll.qlRateHelperEarliestDate(R62,Trigger)</f>
        <v>#NUM!</v>
      </c>
      <c r="U62" s="13" t="e">
        <f ca="1">_xll.qlRateHelperLatestDate(R62,Trigger)</f>
        <v>#NAME?</v>
      </c>
      <c r="V62" s="106" t="e">
        <v>#VALUE!</v>
      </c>
    </row>
    <row r="63" spans="1:22" ht="11.25" customHeight="1" x14ac:dyDescent="0.2">
      <c r="A63" s="96" t="s">
        <v>38</v>
      </c>
      <c r="B63" s="126"/>
      <c r="C63" s="126" t="s">
        <v>14</v>
      </c>
      <c r="D63" s="127" t="e">
        <v>#NUM!</v>
      </c>
      <c r="E63" s="119" t="s">
        <v>15</v>
      </c>
      <c r="F63" s="126" t="s">
        <v>16</v>
      </c>
      <c r="G63" s="119" t="s">
        <v>17</v>
      </c>
      <c r="H63" s="128" t="e">
        <v>#NUM!</v>
      </c>
      <c r="I63" s="94" t="e">
        <f>_xll.qlSwapRateHelper2(,$H63,2,$D63,Calendar,$F63,$E63,$G63,$I$30,0,C63,,Permanent,Trigger,ObjectOverwrite)</f>
        <v>#VALUE!</v>
      </c>
      <c r="J63" s="122" t="b">
        <f t="shared" si="18"/>
        <v>0</v>
      </c>
      <c r="L63" s="21" t="str">
        <f t="shared" si="14"/>
        <v>Sw</v>
      </c>
      <c r="M63" s="21" t="e">
        <f t="shared" si="15"/>
        <v>#NUM!</v>
      </c>
      <c r="N63" s="21" t="e">
        <f t="shared" si="16"/>
        <v>#VALUE!</v>
      </c>
      <c r="O63" s="21" t="b">
        <f t="shared" si="17"/>
        <v>0</v>
      </c>
      <c r="P63" s="12">
        <v>0</v>
      </c>
      <c r="Q63" s="12">
        <v>0</v>
      </c>
      <c r="R63" s="12">
        <v>0</v>
      </c>
      <c r="S63" s="106" t="e">
        <f>_xll.qlRateHelperRate(R63,Trigger)</f>
        <v>#NUM!</v>
      </c>
      <c r="T63" s="13" t="e">
        <f>_xll.qlRateHelperEarliestDate(R63,Trigger)</f>
        <v>#NUM!</v>
      </c>
      <c r="U63" s="13" t="e">
        <f ca="1">_xll.qlRateHelperLatestDate(R63,Trigger)</f>
        <v>#NAME?</v>
      </c>
      <c r="V63" s="106" t="e">
        <v>#VALUE!</v>
      </c>
    </row>
    <row r="64" spans="1:22" ht="11.25" customHeight="1" x14ac:dyDescent="0.2">
      <c r="A64" s="96" t="s">
        <v>38</v>
      </c>
      <c r="B64" s="126"/>
      <c r="C64" s="126" t="s">
        <v>14</v>
      </c>
      <c r="D64" s="127" t="e">
        <v>#NUM!</v>
      </c>
      <c r="E64" s="119" t="s">
        <v>15</v>
      </c>
      <c r="F64" s="126" t="s">
        <v>16</v>
      </c>
      <c r="G64" s="119" t="s">
        <v>17</v>
      </c>
      <c r="H64" s="128" t="e">
        <v>#NUM!</v>
      </c>
      <c r="I64" s="94" t="e">
        <f>_xll.qlSwapRateHelper2(,$H64,2,$D64,Calendar,$F64,$E64,$G64,$I$30,0,C64,,Permanent,Trigger,ObjectOverwrite)</f>
        <v>#VALUE!</v>
      </c>
      <c r="J64" s="122" t="b">
        <f t="shared" si="18"/>
        <v>0</v>
      </c>
      <c r="L64" s="21" t="str">
        <f t="shared" si="14"/>
        <v>Sw</v>
      </c>
      <c r="M64" s="21" t="e">
        <f t="shared" si="15"/>
        <v>#NUM!</v>
      </c>
      <c r="N64" s="21" t="e">
        <f t="shared" si="16"/>
        <v>#VALUE!</v>
      </c>
      <c r="O64" s="21" t="b">
        <f t="shared" si="17"/>
        <v>0</v>
      </c>
      <c r="P64" s="12">
        <v>0</v>
      </c>
      <c r="Q64" s="12">
        <v>0</v>
      </c>
      <c r="R64" s="12">
        <v>0</v>
      </c>
      <c r="S64" s="106" t="e">
        <f>_xll.qlRateHelperRate(R64,Trigger)</f>
        <v>#NUM!</v>
      </c>
      <c r="T64" s="13" t="e">
        <f>_xll.qlRateHelperEarliestDate(R64,Trigger)</f>
        <v>#NUM!</v>
      </c>
      <c r="U64" s="13" t="e">
        <f ca="1">_xll.qlRateHelperLatestDate(R64,Trigger)</f>
        <v>#NAME?</v>
      </c>
      <c r="V64" s="12" t="e">
        <v>#VALUE!</v>
      </c>
    </row>
    <row r="65" spans="1:22" ht="11.25" customHeight="1" x14ac:dyDescent="0.2">
      <c r="A65" s="96" t="s">
        <v>38</v>
      </c>
      <c r="B65" s="126"/>
      <c r="C65" s="126" t="s">
        <v>14</v>
      </c>
      <c r="D65" s="127" t="e">
        <v>#NUM!</v>
      </c>
      <c r="E65" s="119" t="s">
        <v>15</v>
      </c>
      <c r="F65" s="126" t="s">
        <v>16</v>
      </c>
      <c r="G65" s="119" t="s">
        <v>17</v>
      </c>
      <c r="H65" s="128" t="e">
        <v>#NUM!</v>
      </c>
      <c r="I65" s="94" t="e">
        <f>_xll.qlSwapRateHelper2(,$H65,2,$D65,Calendar,$F65,$E65,$G65,$I$30,0,C65,,Permanent,Trigger,ObjectOverwrite)</f>
        <v>#VALUE!</v>
      </c>
      <c r="J65" s="122" t="b">
        <f t="shared" si="18"/>
        <v>0</v>
      </c>
      <c r="L65" s="21" t="str">
        <f t="shared" si="14"/>
        <v>Sw</v>
      </c>
      <c r="M65" s="21" t="e">
        <f t="shared" si="15"/>
        <v>#NUM!</v>
      </c>
      <c r="N65" s="21" t="e">
        <f t="shared" si="16"/>
        <v>#VALUE!</v>
      </c>
      <c r="O65" s="21" t="b">
        <f t="shared" si="17"/>
        <v>0</v>
      </c>
      <c r="P65" s="12">
        <v>0</v>
      </c>
      <c r="Q65" s="12">
        <v>0</v>
      </c>
      <c r="R65" s="12">
        <v>0</v>
      </c>
      <c r="S65" s="106" t="e">
        <f>_xll.qlRateHelperRate(R65,Trigger)</f>
        <v>#NUM!</v>
      </c>
      <c r="T65" s="13" t="e">
        <f>_xll.qlRateHelperEarliestDate(R65,Trigger)</f>
        <v>#NUM!</v>
      </c>
      <c r="U65" s="13" t="e">
        <f ca="1">_xll.qlRateHelperLatestDate(R65,Trigger)</f>
        <v>#NAME?</v>
      </c>
      <c r="V65" s="12" t="e">
        <v>#VALUE!</v>
      </c>
    </row>
    <row r="66" spans="1:22" ht="11.25" customHeight="1" x14ac:dyDescent="0.2">
      <c r="A66" s="96" t="s">
        <v>38</v>
      </c>
      <c r="B66" s="126"/>
      <c r="C66" s="126" t="s">
        <v>14</v>
      </c>
      <c r="D66" s="127" t="e">
        <v>#NUM!</v>
      </c>
      <c r="E66" s="119" t="s">
        <v>15</v>
      </c>
      <c r="F66" s="126" t="s">
        <v>16</v>
      </c>
      <c r="G66" s="119" t="s">
        <v>17</v>
      </c>
      <c r="H66" s="128" t="e">
        <v>#NUM!</v>
      </c>
      <c r="I66" s="94" t="e">
        <f>_xll.qlSwapRateHelper2(,$H66,2,$D66,Calendar,$F66,$E66,$G66,$I$30,0,C66,,Permanent,Trigger,ObjectOverwrite)</f>
        <v>#VALUE!</v>
      </c>
      <c r="J66" s="122" t="b">
        <f t="shared" si="18"/>
        <v>0</v>
      </c>
      <c r="L66" s="21" t="str">
        <f t="shared" si="14"/>
        <v>Sw</v>
      </c>
      <c r="M66" s="21" t="e">
        <f t="shared" si="15"/>
        <v>#NUM!</v>
      </c>
      <c r="N66" s="21" t="e">
        <f t="shared" si="16"/>
        <v>#VALUE!</v>
      </c>
      <c r="O66" s="21" t="b">
        <f t="shared" si="17"/>
        <v>0</v>
      </c>
      <c r="P66" s="12">
        <v>0</v>
      </c>
      <c r="Q66" s="12">
        <v>0</v>
      </c>
      <c r="R66" s="12">
        <v>0</v>
      </c>
      <c r="S66" s="106" t="e">
        <f>_xll.qlRateHelperRate(R66,Trigger)</f>
        <v>#NUM!</v>
      </c>
      <c r="T66" s="13" t="e">
        <f>_xll.qlRateHelperEarliestDate(R66,Trigger)</f>
        <v>#NUM!</v>
      </c>
      <c r="U66" s="13" t="e">
        <f ca="1">_xll.qlRateHelperLatestDate(R66,Trigger)</f>
        <v>#NAME?</v>
      </c>
      <c r="V66" s="12" t="e">
        <v>#VALUE!</v>
      </c>
    </row>
    <row r="67" spans="1:22" ht="11.25" customHeight="1" x14ac:dyDescent="0.2">
      <c r="A67" s="96" t="s">
        <v>38</v>
      </c>
      <c r="B67" s="126"/>
      <c r="C67" s="126" t="s">
        <v>14</v>
      </c>
      <c r="D67" s="127" t="e">
        <v>#NUM!</v>
      </c>
      <c r="E67" s="119" t="s">
        <v>15</v>
      </c>
      <c r="F67" s="126" t="s">
        <v>16</v>
      </c>
      <c r="G67" s="119" t="s">
        <v>17</v>
      </c>
      <c r="H67" s="128" t="e">
        <v>#NUM!</v>
      </c>
      <c r="I67" s="94" t="e">
        <f>_xll.qlSwapRateHelper2(,$H67,2,$D67,Calendar,$F67,$E67,$G67,$I$30,0,C67,,Permanent,Trigger,ObjectOverwrite)</f>
        <v>#VALUE!</v>
      </c>
      <c r="J67" s="122" t="b">
        <f t="shared" si="18"/>
        <v>0</v>
      </c>
      <c r="L67" s="21" t="str">
        <f t="shared" si="14"/>
        <v>Sw</v>
      </c>
      <c r="M67" s="21" t="e">
        <f t="shared" si="15"/>
        <v>#NUM!</v>
      </c>
      <c r="N67" s="21" t="e">
        <f t="shared" si="16"/>
        <v>#VALUE!</v>
      </c>
      <c r="O67" s="21" t="b">
        <f t="shared" si="17"/>
        <v>0</v>
      </c>
      <c r="P67" s="12">
        <v>0</v>
      </c>
      <c r="Q67" s="12">
        <v>0</v>
      </c>
      <c r="R67" s="12">
        <v>0</v>
      </c>
      <c r="S67" s="106" t="e">
        <f>_xll.qlRateHelperRate(R67,Trigger)</f>
        <v>#NUM!</v>
      </c>
      <c r="T67" s="13" t="e">
        <f>_xll.qlRateHelperEarliestDate(R67,Trigger)</f>
        <v>#NUM!</v>
      </c>
      <c r="U67" s="13" t="e">
        <f ca="1">_xll.qlRateHelperLatestDate(R67,Trigger)</f>
        <v>#NAME?</v>
      </c>
      <c r="V67" s="12" t="e">
        <v>#VALUE!</v>
      </c>
    </row>
    <row r="68" spans="1:22" ht="11.25" customHeight="1" x14ac:dyDescent="0.2">
      <c r="A68" s="96" t="s">
        <v>38</v>
      </c>
      <c r="B68" s="126"/>
      <c r="C68" s="126" t="s">
        <v>14</v>
      </c>
      <c r="D68" s="127" t="e">
        <v>#NUM!</v>
      </c>
      <c r="E68" s="119" t="s">
        <v>15</v>
      </c>
      <c r="F68" s="126" t="s">
        <v>16</v>
      </c>
      <c r="G68" s="119" t="s">
        <v>17</v>
      </c>
      <c r="H68" s="128" t="e">
        <v>#NUM!</v>
      </c>
      <c r="I68" s="94" t="e">
        <f>_xll.qlSwapRateHelper2(,$H68,2,$D68,Calendar,$F68,$E68,$G68,$I$30,0,C68,,Permanent,Trigger,ObjectOverwrite)</f>
        <v>#VALUE!</v>
      </c>
      <c r="J68" s="122" t="b">
        <f t="shared" si="18"/>
        <v>0</v>
      </c>
      <c r="L68" s="21" t="str">
        <f t="shared" si="14"/>
        <v>Sw</v>
      </c>
      <c r="M68" s="21" t="e">
        <f t="shared" si="15"/>
        <v>#NUM!</v>
      </c>
      <c r="N68" s="21" t="e">
        <f t="shared" si="16"/>
        <v>#VALUE!</v>
      </c>
      <c r="O68" s="21" t="b">
        <f t="shared" si="17"/>
        <v>0</v>
      </c>
      <c r="P68" s="12">
        <v>0</v>
      </c>
      <c r="Q68" s="12">
        <v>0</v>
      </c>
      <c r="R68" s="12">
        <v>0</v>
      </c>
      <c r="S68" s="106" t="e">
        <f>_xll.qlRateHelperRate(R68,Trigger)</f>
        <v>#NUM!</v>
      </c>
      <c r="T68" s="13" t="e">
        <f>_xll.qlRateHelperEarliestDate(R68,Trigger)</f>
        <v>#NUM!</v>
      </c>
      <c r="U68" s="13" t="e">
        <f ca="1">_xll.qlRateHelperLatestDate(R68,Trigger)</f>
        <v>#NAME?</v>
      </c>
      <c r="V68" s="12" t="e">
        <v>#VALUE!</v>
      </c>
    </row>
    <row r="69" spans="1:22" ht="11.25" customHeight="1" x14ac:dyDescent="0.2">
      <c r="A69" s="96" t="s">
        <v>38</v>
      </c>
      <c r="B69" s="126"/>
      <c r="C69" s="126" t="s">
        <v>14</v>
      </c>
      <c r="D69" s="127" t="e">
        <v>#NUM!</v>
      </c>
      <c r="E69" s="119" t="s">
        <v>15</v>
      </c>
      <c r="F69" s="126" t="s">
        <v>16</v>
      </c>
      <c r="G69" s="119" t="s">
        <v>17</v>
      </c>
      <c r="H69" s="128" t="e">
        <v>#NUM!</v>
      </c>
      <c r="I69" s="94" t="e">
        <f>_xll.qlSwapRateHelper2(,$H69,2,$D69,Calendar,$F69,$E69,$G69,$I$30,0,C69,,Permanent,Trigger,ObjectOverwrite)</f>
        <v>#VALUE!</v>
      </c>
      <c r="J69" s="122" t="b">
        <f t="shared" si="18"/>
        <v>0</v>
      </c>
      <c r="L69" s="21" t="str">
        <f t="shared" si="14"/>
        <v>Sw</v>
      </c>
      <c r="M69" s="21" t="e">
        <f t="shared" si="15"/>
        <v>#NUM!</v>
      </c>
      <c r="N69" s="21" t="e">
        <f t="shared" si="16"/>
        <v>#VALUE!</v>
      </c>
      <c r="O69" s="21" t="b">
        <f t="shared" si="17"/>
        <v>0</v>
      </c>
      <c r="P69" s="12">
        <v>0</v>
      </c>
      <c r="Q69" s="12">
        <v>0</v>
      </c>
      <c r="R69" s="12">
        <v>0</v>
      </c>
      <c r="S69" s="106" t="e">
        <f>_xll.qlRateHelperRate(R69,Trigger)</f>
        <v>#NUM!</v>
      </c>
      <c r="T69" s="13" t="e">
        <f>_xll.qlRateHelperEarliestDate(R69,Trigger)</f>
        <v>#NUM!</v>
      </c>
      <c r="U69" s="13" t="e">
        <f ca="1">_xll.qlRateHelperLatestDate(R69,Trigger)</f>
        <v>#NAME?</v>
      </c>
      <c r="V69" s="12" t="e">
        <v>#VALUE!</v>
      </c>
    </row>
    <row r="70" spans="1:22" ht="11.25" customHeight="1" x14ac:dyDescent="0.2">
      <c r="A70" s="96" t="s">
        <v>38</v>
      </c>
      <c r="B70" s="126"/>
      <c r="C70" s="126" t="s">
        <v>14</v>
      </c>
      <c r="D70" s="127" t="e">
        <v>#NUM!</v>
      </c>
      <c r="E70" s="119" t="s">
        <v>15</v>
      </c>
      <c r="F70" s="126" t="s">
        <v>16</v>
      </c>
      <c r="G70" s="119" t="s">
        <v>17</v>
      </c>
      <c r="H70" s="128" t="e">
        <v>#NUM!</v>
      </c>
      <c r="I70" s="94" t="e">
        <f>_xll.qlSwapRateHelper2(,$H70,2,$D70,Calendar,$F70,$E70,$G70,$I$30,0,C70,,Permanent,Trigger,ObjectOverwrite)</f>
        <v>#VALUE!</v>
      </c>
      <c r="J70" s="122" t="b">
        <f t="shared" si="18"/>
        <v>0</v>
      </c>
      <c r="L70" s="107" t="str">
        <f t="shared" si="14"/>
        <v>Sw</v>
      </c>
      <c r="M70" s="107" t="e">
        <f t="shared" si="15"/>
        <v>#NUM!</v>
      </c>
      <c r="N70" s="107" t="e">
        <f t="shared" si="16"/>
        <v>#VALUE!</v>
      </c>
      <c r="O70" s="107" t="b">
        <f t="shared" si="17"/>
        <v>0</v>
      </c>
      <c r="P70" s="12">
        <v>0</v>
      </c>
      <c r="Q70" s="12">
        <v>0</v>
      </c>
      <c r="R70" s="12">
        <v>0</v>
      </c>
      <c r="S70" s="106" t="e">
        <f>_xll.qlRateHelperRate(R70,Trigger)</f>
        <v>#NUM!</v>
      </c>
      <c r="T70" s="13" t="e">
        <f>_xll.qlRateHelperEarliestDate(R70,Trigger)</f>
        <v>#NUM!</v>
      </c>
      <c r="U70" s="13" t="e">
        <f ca="1">_xll.qlRateHelperLatestDate(R70,Trigger)</f>
        <v>#NAME?</v>
      </c>
      <c r="V70" s="12" t="e">
        <v>#VALUE!</v>
      </c>
    </row>
    <row r="71" spans="1:22" ht="11.25" customHeight="1" x14ac:dyDescent="0.2">
      <c r="A71" s="96" t="s">
        <v>38</v>
      </c>
      <c r="B71" s="126"/>
      <c r="C71" s="126" t="s">
        <v>14</v>
      </c>
      <c r="D71" s="127" t="e">
        <v>#NUM!</v>
      </c>
      <c r="E71" s="119" t="s">
        <v>15</v>
      </c>
      <c r="F71" s="126" t="s">
        <v>16</v>
      </c>
      <c r="G71" s="119" t="s">
        <v>17</v>
      </c>
      <c r="H71" s="128" t="e">
        <v>#NUM!</v>
      </c>
      <c r="I71" s="94" t="e">
        <f>_xll.qlSwapRateHelper2(,$H71,2,$D71,Calendar,$F71,$E71,$G71,$I$30,0,C71,,Permanent,Trigger,ObjectOverwrite)</f>
        <v>#VALUE!</v>
      </c>
      <c r="J71" s="122" t="b">
        <f t="shared" si="18"/>
        <v>0</v>
      </c>
      <c r="L71" s="108" t="str">
        <f t="shared" si="14"/>
        <v>Sw</v>
      </c>
      <c r="M71" s="108" t="e">
        <f t="shared" si="15"/>
        <v>#NUM!</v>
      </c>
      <c r="N71" s="108" t="e">
        <f t="shared" si="16"/>
        <v>#VALUE!</v>
      </c>
      <c r="O71" s="108" t="b">
        <f t="shared" si="17"/>
        <v>0</v>
      </c>
      <c r="P71" s="14">
        <v>0</v>
      </c>
      <c r="Q71" s="14">
        <v>0</v>
      </c>
      <c r="R71" s="14">
        <v>0</v>
      </c>
      <c r="S71" s="146" t="e">
        <f>_xll.qlRateHelperRate(R71,Trigger)</f>
        <v>#NUM!</v>
      </c>
      <c r="T71" s="25" t="e">
        <f>_xll.qlRateHelperEarliestDate(R71,Trigger)</f>
        <v>#NUM!</v>
      </c>
      <c r="U71" s="25" t="e">
        <f ca="1">_xll.qlRateHelperLatestDate(R71,Trigger)</f>
        <v>#NAME?</v>
      </c>
      <c r="V71" s="14" t="e">
        <v>#VALUE!</v>
      </c>
    </row>
    <row r="72" spans="1:22" ht="11.25" customHeight="1" x14ac:dyDescent="0.2">
      <c r="A72" s="96" t="s">
        <v>38</v>
      </c>
      <c r="B72" s="126"/>
      <c r="C72" s="126" t="s">
        <v>14</v>
      </c>
      <c r="D72" s="127" t="e">
        <v>#NUM!</v>
      </c>
      <c r="E72" s="119" t="s">
        <v>15</v>
      </c>
      <c r="F72" s="126" t="s">
        <v>16</v>
      </c>
      <c r="G72" s="119" t="s">
        <v>17</v>
      </c>
      <c r="H72" s="128" t="e">
        <v>#NUM!</v>
      </c>
      <c r="I72" s="94" t="e">
        <f>_xll.qlSwapRateHelper2(,$H72,2,$D72,Calendar,$F72,$E72,$G72,$I$30,0,C72,,Permanent,Trigger,ObjectOverwrite)</f>
        <v>#VALUE!</v>
      </c>
      <c r="J72" s="122" t="b">
        <f t="shared" si="18"/>
        <v>0</v>
      </c>
    </row>
    <row r="73" spans="1:22" ht="11.25" customHeight="1" x14ac:dyDescent="0.2">
      <c r="A73" s="96" t="s">
        <v>38</v>
      </c>
      <c r="B73" s="126"/>
      <c r="C73" s="126" t="s">
        <v>14</v>
      </c>
      <c r="D73" s="127" t="e">
        <v>#NUM!</v>
      </c>
      <c r="E73" s="119" t="s">
        <v>15</v>
      </c>
      <c r="F73" s="126" t="s">
        <v>16</v>
      </c>
      <c r="G73" s="119" t="s">
        <v>17</v>
      </c>
      <c r="H73" s="128" t="e">
        <v>#NUM!</v>
      </c>
      <c r="I73" s="94" t="e">
        <f>_xll.qlSwapRateHelper2(,$H73,2,$D73,Calendar,$F73,$E73,$G73,$I$30,0,C73,,Permanent,Trigger,ObjectOverwrite)</f>
        <v>#VALUE!</v>
      </c>
      <c r="J73" s="122" t="b">
        <f t="shared" si="18"/>
        <v>0</v>
      </c>
    </row>
    <row r="74" spans="1:22" ht="11.25" customHeight="1" x14ac:dyDescent="0.2">
      <c r="A74" s="96" t="s">
        <v>38</v>
      </c>
      <c r="B74" s="126"/>
      <c r="C74" s="126" t="s">
        <v>14</v>
      </c>
      <c r="D74" s="127" t="e">
        <v>#NUM!</v>
      </c>
      <c r="E74" s="119" t="s">
        <v>15</v>
      </c>
      <c r="F74" s="126" t="s">
        <v>16</v>
      </c>
      <c r="G74" s="119" t="s">
        <v>17</v>
      </c>
      <c r="H74" s="128" t="e">
        <v>#NUM!</v>
      </c>
      <c r="I74" s="94" t="e">
        <f>_xll.qlSwapRateHelper2(,$H74,2,$D74,Calendar,$F74,$E74,$G74,$I$30,0,C74,,Permanent,Trigger,ObjectOverwrite)</f>
        <v>#VALUE!</v>
      </c>
      <c r="J74" s="122" t="b">
        <f t="shared" si="18"/>
        <v>0</v>
      </c>
    </row>
    <row r="75" spans="1:22" ht="11.25" customHeight="1" x14ac:dyDescent="0.2">
      <c r="A75" s="96" t="s">
        <v>38</v>
      </c>
      <c r="B75" s="126"/>
      <c r="C75" s="126" t="s">
        <v>14</v>
      </c>
      <c r="D75" s="127" t="e">
        <v>#NUM!</v>
      </c>
      <c r="E75" s="119" t="s">
        <v>15</v>
      </c>
      <c r="F75" s="126" t="s">
        <v>16</v>
      </c>
      <c r="G75" s="119" t="s">
        <v>17</v>
      </c>
      <c r="H75" s="128" t="e">
        <v>#NUM!</v>
      </c>
      <c r="I75" s="94" t="e">
        <f>_xll.qlSwapRateHelper2(,$H75,2,$D75,Calendar,$F75,$E75,$G75,$I$30,0,C75,,Permanent,Trigger,ObjectOverwrite)</f>
        <v>#VALUE!</v>
      </c>
      <c r="J75" s="122" t="b">
        <f t="shared" si="18"/>
        <v>0</v>
      </c>
    </row>
    <row r="76" spans="1:22" ht="11.25" customHeight="1" x14ac:dyDescent="0.2">
      <c r="A76" s="6" t="s">
        <v>38</v>
      </c>
      <c r="B76" s="129"/>
      <c r="C76" s="129" t="s">
        <v>14</v>
      </c>
      <c r="D76" s="130" t="e">
        <v>#NUM!</v>
      </c>
      <c r="E76" s="2" t="s">
        <v>15</v>
      </c>
      <c r="F76" s="129" t="s">
        <v>16</v>
      </c>
      <c r="G76" s="2" t="s">
        <v>17</v>
      </c>
      <c r="H76" s="131" t="e">
        <v>#NUM!</v>
      </c>
      <c r="I76" s="4" t="e">
        <f>_xll.qlSwapRateHelper2(,$H76,2,$D76,Calendar,$F76,$E76,$G76,$I$30,0,C76,,Permanent,Trigger,ObjectOverwrite)</f>
        <v>#VALUE!</v>
      </c>
      <c r="J76" s="10" t="b">
        <f t="shared" si="18"/>
        <v>0</v>
      </c>
    </row>
    <row r="77" spans="1:22" ht="11.25" customHeight="1" x14ac:dyDescent="0.2"/>
    <row r="78" spans="1:22" ht="11.25" customHeight="1" x14ac:dyDescent="0.2"/>
    <row r="79" spans="1:22" ht="11.25" customHeight="1" x14ac:dyDescent="0.2"/>
    <row r="80" spans="1:22" ht="11.25" customHeight="1" x14ac:dyDescent="0.2"/>
  </sheetData>
  <dataValidations count="4">
    <dataValidation type="list" allowBlank="1" showInputMessage="1" showErrorMessage="1" sqref="E32:E76">
      <formula1>"Following,Modified Following,Preceding,Modified Preceding,Month End Reference,Unadjusted Month End,Unadjusted"</formula1>
    </dataValidation>
    <dataValidation type="list" allowBlank="1" showInputMessage="1" showErrorMessage="1" sqref="F32:F76">
      <formula1>"Annual,Semiannual,EveryFourthMonth,Quarterly,Bimonthly,Monthly,Biweekly,Weekly,Daily,Once,NoFrequency"</formula1>
    </dataValidation>
    <dataValidation type="list" allowBlank="1" showInputMessage="1" showErrorMessage="1" sqref="G32:G76 G3:G1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21:E28">
      <formula1>"Following,Modified Following,Preceding,Modified Preceding,Unadjusted"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29</vt:i4>
      </vt:variant>
    </vt:vector>
  </HeadingPairs>
  <TitlesOfParts>
    <vt:vector size="36" baseType="lpstr">
      <vt:lpstr>GeneralSettings</vt:lpstr>
      <vt:lpstr>USDON</vt:lpstr>
      <vt:lpstr>USD3M</vt:lpstr>
      <vt:lpstr>USD1M</vt:lpstr>
      <vt:lpstr>USD6M</vt:lpstr>
      <vt:lpstr>USD1Y</vt:lpstr>
      <vt:lpstr>USDSTD</vt:lpstr>
      <vt:lpstr>Calendar</vt:lpstr>
      <vt:lpstr>Currency</vt:lpstr>
      <vt:lpstr>Discounting</vt:lpstr>
      <vt:lpstr>Evaluationdate</vt:lpstr>
      <vt:lpstr>FamilyName</vt:lpstr>
      <vt:lpstr>HolidayCheck</vt:lpstr>
      <vt:lpstr>USD3M!IncludeFlag</vt:lpstr>
      <vt:lpstr>USDON!IncludeFlag</vt:lpstr>
      <vt:lpstr>JoinCalendar</vt:lpstr>
      <vt:lpstr>LiborCalendar</vt:lpstr>
      <vt:lpstr>LocalCalendar</vt:lpstr>
      <vt:lpstr>USD3M!MinDistance</vt:lpstr>
      <vt:lpstr>USDON!MinDistance</vt:lpstr>
      <vt:lpstr>ObjectOverwrite</vt:lpstr>
      <vt:lpstr>Permanent</vt:lpstr>
      <vt:lpstr>PillarDate</vt:lpstr>
      <vt:lpstr>USD3M!Priority</vt:lpstr>
      <vt:lpstr>USDON!Priority</vt:lpstr>
      <vt:lpstr>QuoteSuffix</vt:lpstr>
      <vt:lpstr>USD3M!RateHelpers</vt:lpstr>
      <vt:lpstr>USDON!RateHelpers</vt:lpstr>
      <vt:lpstr>Settlementdate</vt:lpstr>
      <vt:lpstr>Trigger</vt:lpstr>
      <vt:lpstr>YieldCurve_1M</vt:lpstr>
      <vt:lpstr>YieldCurve_1Y</vt:lpstr>
      <vt:lpstr>YieldCurve_3M</vt:lpstr>
      <vt:lpstr>YieldCurve_6M</vt:lpstr>
      <vt:lpstr>YieldCurve_ON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2014-09-18T08:07:51Z</dcterms:created>
  <dcterms:modified xsi:type="dcterms:W3CDTF">2015-09-01T17:17:49Z</dcterms:modified>
</cp:coreProperties>
</file>