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L3" i="33" l="1" a="1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G4" i="33" l="1"/>
  <c r="G5" i="33"/>
  <c r="G6" i="33"/>
  <c r="G7" i="33"/>
  <c r="G8" i="33"/>
  <c r="G9" i="33"/>
  <c r="G3" i="33"/>
  <c r="L1" i="52"/>
  <c r="D1" i="48" l="1"/>
  <c r="T25" i="45"/>
  <c r="P24" i="45"/>
  <c r="B5" i="48"/>
  <c r="B6" i="48"/>
  <c r="B7" i="48"/>
  <c r="B4" i="48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L7" i="45"/>
  <c r="U7" i="45" s="1"/>
  <c r="L8" i="45"/>
  <c r="U8" i="45" s="1"/>
  <c r="L9" i="45"/>
  <c r="U9" i="45" s="1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3" i="52"/>
  <c r="U3" i="52" s="1"/>
  <c r="M1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M3" i="52"/>
  <c r="K10" i="51"/>
  <c r="K13" i="51"/>
  <c r="K3" i="51"/>
  <c r="K29" i="51"/>
  <c r="K31" i="51"/>
  <c r="K35" i="51"/>
  <c r="K12" i="51"/>
  <c r="K3" i="50"/>
  <c r="K21" i="51"/>
  <c r="K25" i="51"/>
  <c r="K15" i="51"/>
  <c r="K27" i="51"/>
  <c r="L2" i="51"/>
  <c r="K5" i="50"/>
  <c r="K11" i="51"/>
  <c r="K24" i="51"/>
  <c r="K5" i="51"/>
  <c r="K20" i="51"/>
  <c r="K32" i="51"/>
  <c r="K23" i="51"/>
  <c r="K8" i="51"/>
  <c r="K28" i="51"/>
  <c r="K18" i="51"/>
  <c r="K6" i="50"/>
  <c r="K16" i="51"/>
  <c r="K34" i="51"/>
  <c r="K4" i="51"/>
  <c r="K33" i="51"/>
  <c r="K17" i="51"/>
  <c r="K6" i="51"/>
  <c r="K14" i="51"/>
  <c r="P3" i="52"/>
  <c r="K9" i="51"/>
  <c r="K7" i="51"/>
  <c r="K30" i="51"/>
  <c r="K19" i="51"/>
  <c r="K26" i="51"/>
  <c r="K22" i="51"/>
  <c r="L2" i="50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4" i="45"/>
  <c r="U4" i="45" s="1"/>
  <c r="L6" i="45"/>
  <c r="U6" i="45" s="1"/>
  <c r="L6" i="52"/>
  <c r="U6" i="52" s="1"/>
  <c r="L5" i="45"/>
  <c r="U5" i="45" s="1"/>
  <c r="L7" i="52"/>
  <c r="U7" i="52" s="1"/>
  <c r="L4" i="52"/>
  <c r="U4" i="52" s="1"/>
  <c r="L28" i="51"/>
  <c r="L34" i="51"/>
  <c r="L29" i="51"/>
  <c r="L16" i="51"/>
  <c r="L19" i="51"/>
  <c r="L12" i="51"/>
  <c r="L32" i="51"/>
  <c r="L17" i="51"/>
  <c r="L10" i="51"/>
  <c r="L9" i="51"/>
  <c r="L4" i="51"/>
  <c r="L6" i="50"/>
  <c r="K4" i="50"/>
  <c r="L5" i="51"/>
  <c r="L21" i="51"/>
  <c r="L30" i="51"/>
  <c r="L20" i="51"/>
  <c r="L22" i="51"/>
  <c r="L26" i="51"/>
  <c r="L7" i="51"/>
  <c r="L14" i="51"/>
  <c r="L33" i="51"/>
  <c r="L31" i="51"/>
  <c r="L11" i="51"/>
  <c r="L3" i="51"/>
  <c r="L5" i="50"/>
  <c r="L3" i="50"/>
  <c r="L8" i="51"/>
  <c r="L23" i="51"/>
  <c r="L24" i="51"/>
  <c r="L25" i="51"/>
  <c r="L35" i="51"/>
  <c r="L15" i="51"/>
  <c r="T4" i="52"/>
  <c r="L18" i="51"/>
  <c r="L27" i="51"/>
  <c r="L6" i="51"/>
  <c r="L13" i="51"/>
  <c r="T6" i="52"/>
  <c r="M6" i="52"/>
  <c r="P6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L5" i="52"/>
  <c r="U5" i="52" s="1"/>
  <c r="T5" i="52"/>
  <c r="P4" i="52"/>
  <c r="M7" i="52"/>
  <c r="M4" i="52"/>
  <c r="M5" i="52"/>
  <c r="T7" i="52"/>
  <c r="P7" i="52"/>
  <c r="L4" i="50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P7" i="45"/>
  <c r="M1" i="45"/>
  <c r="T6" i="45"/>
  <c r="P5" i="45"/>
  <c r="M7" i="45"/>
  <c r="M6" i="45"/>
  <c r="C6" i="39" l="1"/>
  <c r="C7" i="39"/>
  <c r="C5" i="39"/>
  <c r="I21" i="29"/>
  <c r="P8" i="45"/>
  <c r="M9" i="45"/>
  <c r="P6" i="45"/>
  <c r="M5" i="45"/>
  <c r="T7" i="45"/>
  <c r="P4" i="45"/>
  <c r="T9" i="45"/>
  <c r="P9" i="45"/>
  <c r="T8" i="45"/>
  <c r="I18" i="29"/>
  <c r="T4" i="45"/>
  <c r="M8" i="45"/>
  <c r="T5" i="45"/>
  <c r="M4" i="45"/>
  <c r="G77" i="33" l="1"/>
  <c r="G78" i="33"/>
  <c r="G79" i="33"/>
  <c r="G80" i="33"/>
  <c r="G81" i="33"/>
  <c r="G82" i="33"/>
  <c r="G83" i="33"/>
  <c r="G84" i="33"/>
  <c r="G85" i="33"/>
  <c r="G86" i="33"/>
  <c r="G76" i="33"/>
  <c r="D18" i="29"/>
  <c r="D4" i="48"/>
  <c r="D17" i="29"/>
  <c r="E4" i="48"/>
  <c r="E19" i="48"/>
  <c r="E21" i="48"/>
  <c r="D4" i="39"/>
  <c r="Q25" i="52"/>
  <c r="E20" i="48"/>
  <c r="Q26" i="45" l="1"/>
  <c r="D19" i="48"/>
  <c r="D20" i="48"/>
  <c r="D21" i="48"/>
  <c r="Q24" i="52"/>
  <c r="C2" i="33"/>
  <c r="A11" i="33"/>
  <c r="D6" i="39"/>
  <c r="F20" i="48"/>
  <c r="C7" i="42"/>
  <c r="F21" i="48"/>
  <c r="F19" i="48"/>
  <c r="Q27" i="45"/>
  <c r="D5" i="39"/>
  <c r="D7" i="39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54" i="33"/>
  <c r="E50" i="33"/>
  <c r="E53" i="33"/>
  <c r="E46" i="33"/>
  <c r="E55" i="33"/>
  <c r="E69" i="33"/>
  <c r="E45" i="33"/>
  <c r="E75" i="33"/>
  <c r="E74" i="33"/>
  <c r="E67" i="33"/>
  <c r="E52" i="33"/>
  <c r="E64" i="33"/>
  <c r="E83" i="33"/>
  <c r="E48" i="33"/>
  <c r="E73" i="33"/>
  <c r="E47" i="33"/>
  <c r="E81" i="33"/>
  <c r="E86" i="33"/>
  <c r="E79" i="33"/>
  <c r="E61" i="33"/>
  <c r="E85" i="33"/>
  <c r="E44" i="33"/>
  <c r="E65" i="33"/>
  <c r="A4" i="33"/>
  <c r="E62" i="33"/>
  <c r="A18" i="33"/>
  <c r="E68" i="33"/>
  <c r="E66" i="33"/>
  <c r="E78" i="33"/>
  <c r="E77" i="33"/>
  <c r="E70" i="33"/>
  <c r="E60" i="33"/>
  <c r="E59" i="33"/>
  <c r="E57" i="33"/>
  <c r="E76" i="33"/>
  <c r="E51" i="33"/>
  <c r="E84" i="33"/>
  <c r="A28" i="33"/>
  <c r="E58" i="33"/>
  <c r="E63" i="33"/>
  <c r="E49" i="33"/>
  <c r="E43" i="33"/>
  <c r="E82" i="33"/>
  <c r="E56" i="33"/>
  <c r="E71" i="33"/>
  <c r="E80" i="33"/>
  <c r="E72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23" i="33"/>
  <c r="E16" i="43"/>
  <c r="E16" i="48"/>
  <c r="D3" i="33"/>
  <c r="E17" i="43"/>
  <c r="D7" i="43"/>
  <c r="D22" i="33"/>
  <c r="E15" i="39"/>
  <c r="D19" i="33"/>
  <c r="D16" i="33"/>
  <c r="D9" i="33"/>
  <c r="D5" i="33"/>
  <c r="E15" i="43"/>
  <c r="D12" i="33"/>
  <c r="E17" i="39"/>
  <c r="D14" i="33"/>
  <c r="E22" i="39"/>
  <c r="D4" i="33"/>
  <c r="E16" i="39"/>
  <c r="D24" i="33"/>
  <c r="E19" i="43"/>
  <c r="E24" i="39"/>
  <c r="E18" i="39"/>
  <c r="E21" i="39"/>
  <c r="E18" i="48"/>
  <c r="E18" i="43"/>
  <c r="D5" i="43"/>
  <c r="D26" i="33"/>
  <c r="D7" i="33"/>
  <c r="E19" i="39"/>
  <c r="D17" i="33"/>
  <c r="E23" i="39"/>
  <c r="E15" i="48"/>
  <c r="B1" i="29"/>
  <c r="D21" i="33"/>
  <c r="D11" i="33"/>
  <c r="D8" i="33"/>
  <c r="D10" i="33"/>
  <c r="D13" i="33"/>
  <c r="D15" i="33"/>
  <c r="D25" i="33"/>
  <c r="D6" i="33"/>
  <c r="E20" i="43"/>
  <c r="E21" i="43"/>
  <c r="E17" i="48"/>
  <c r="D6" i="43"/>
  <c r="D20" i="33"/>
  <c r="E20" i="39"/>
  <c r="D18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8" i="33"/>
  <c r="K5" i="43"/>
  <c r="K7" i="43"/>
  <c r="E7" i="33"/>
  <c r="E5" i="43"/>
  <c r="E9" i="33"/>
  <c r="K6" i="43"/>
  <c r="K4" i="43"/>
  <c r="D2" i="33" l="1"/>
  <c r="L5" i="43"/>
  <c r="H5" i="43"/>
  <c r="M5" i="43" l="1"/>
  <c r="D7" i="42"/>
  <c r="J15" i="39"/>
  <c r="E7" i="39"/>
  <c r="J20" i="43"/>
  <c r="E5" i="39"/>
  <c r="J24" i="39"/>
  <c r="J22" i="39"/>
  <c r="J18" i="39"/>
  <c r="E4" i="39"/>
  <c r="F16" i="48"/>
  <c r="F18" i="48"/>
  <c r="J23" i="39"/>
  <c r="J20" i="39"/>
  <c r="E6" i="39"/>
  <c r="G4" i="48"/>
  <c r="J16" i="43"/>
  <c r="AG3" i="43"/>
  <c r="J15" i="43"/>
  <c r="J19" i="39"/>
  <c r="F17" i="48"/>
  <c r="E6" i="43"/>
  <c r="AF4" i="39"/>
  <c r="K5" i="39"/>
  <c r="J19" i="43"/>
  <c r="E4" i="43"/>
  <c r="J21" i="43"/>
  <c r="J21" i="39"/>
  <c r="L3" i="45"/>
  <c r="J16" i="39"/>
  <c r="J17" i="43"/>
  <c r="K7" i="39"/>
  <c r="J17" i="39"/>
  <c r="AC3" i="48"/>
  <c r="K6" i="39"/>
  <c r="AF4" i="43"/>
  <c r="J18" i="43"/>
  <c r="K4" i="39"/>
  <c r="E7" i="43"/>
  <c r="T3" i="45"/>
  <c r="AB4" i="48"/>
  <c r="F15" i="48"/>
  <c r="AG3" i="39"/>
  <c r="U3" i="45"/>
  <c r="P3" i="45"/>
  <c r="D5" i="48" l="1"/>
  <c r="E5" i="48"/>
  <c r="H5" i="39"/>
  <c r="H4" i="39"/>
  <c r="L7" i="39"/>
  <c r="L6" i="39"/>
  <c r="H7" i="39"/>
  <c r="L5" i="39"/>
  <c r="M13" i="45" a="1"/>
  <c r="M3" i="45"/>
  <c r="H6" i="39"/>
  <c r="L6" i="43"/>
  <c r="AB5" i="48"/>
  <c r="H6" i="43"/>
  <c r="H4" i="43"/>
  <c r="AC4" i="48"/>
  <c r="L4" i="43"/>
  <c r="H7" i="43"/>
  <c r="AG4" i="43"/>
  <c r="G5" i="48"/>
  <c r="H4" i="48"/>
  <c r="L4" i="39"/>
  <c r="AG4" i="39"/>
  <c r="L7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2" i="33"/>
  <c r="E37" i="33"/>
  <c r="E42" i="33"/>
  <c r="E40" i="33"/>
  <c r="E29" i="33"/>
  <c r="E41" i="33"/>
  <c r="E39" i="33"/>
  <c r="E38" i="33"/>
  <c r="E35" i="33"/>
  <c r="E36" i="33"/>
  <c r="E31" i="33"/>
  <c r="E30" i="33"/>
  <c r="E28" i="33"/>
  <c r="E34" i="33"/>
  <c r="E27" i="33"/>
  <c r="E33" i="33"/>
  <c r="E4" i="33"/>
  <c r="E17" i="33"/>
  <c r="H5" i="48"/>
  <c r="E6" i="48"/>
  <c r="AC5" i="48"/>
  <c r="AF5" i="39"/>
  <c r="G6" i="48"/>
  <c r="E24" i="33"/>
  <c r="AF5" i="43"/>
  <c r="E20" i="33"/>
  <c r="E6" i="33"/>
  <c r="E5" i="33"/>
  <c r="E25" i="33"/>
  <c r="E26" i="33"/>
  <c r="AB6" i="48"/>
  <c r="E23" i="33"/>
  <c r="P13" i="45" a="1"/>
  <c r="S13" i="45" a="1"/>
  <c r="E22" i="33"/>
  <c r="E21" i="33"/>
  <c r="E3" i="33"/>
  <c r="E18" i="33"/>
  <c r="E19" i="33"/>
  <c r="T13" i="45" a="1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C6" i="48"/>
  <c r="AF6" i="39"/>
  <c r="G7" i="48"/>
  <c r="AB7" i="48"/>
  <c r="AG5" i="43"/>
  <c r="AG5" i="39"/>
  <c r="E7" i="48"/>
  <c r="AF6" i="43"/>
  <c r="H6" i="48"/>
  <c r="K6" i="48" l="1"/>
  <c r="J6" i="48"/>
  <c r="I6" i="48"/>
  <c r="D41" i="29"/>
  <c r="N27" i="33"/>
  <c r="N43" i="33"/>
  <c r="P11" i="52" a="1"/>
  <c r="AG6" i="39"/>
  <c r="S11" i="52" a="1"/>
  <c r="AF7" i="43"/>
  <c r="AG7" i="43"/>
  <c r="H7" i="48"/>
  <c r="AC7" i="48"/>
  <c r="AF7" i="39"/>
  <c r="AG7" i="39" s="1"/>
  <c r="AF8" i="39"/>
  <c r="AG8" i="39" s="1"/>
  <c r="D34" i="29"/>
  <c r="AF8" i="43"/>
  <c r="AG6" i="43"/>
  <c r="AB8" i="48"/>
  <c r="P23" i="45"/>
  <c r="R27" i="45"/>
  <c r="M11" i="52" a="1"/>
  <c r="D28" i="29"/>
  <c r="D35" i="29"/>
  <c r="AF9" i="39"/>
  <c r="T11" i="52" a="1"/>
  <c r="C38" i="29"/>
  <c r="C37" i="29"/>
  <c r="AC8" i="48"/>
  <c r="Q28" i="45" l="1"/>
  <c r="S13" i="52"/>
  <c r="S17" i="52"/>
  <c r="S15" i="52"/>
  <c r="S19" i="52"/>
  <c r="S12" i="52"/>
  <c r="S14" i="52"/>
  <c r="S11" i="52"/>
  <c r="S16" i="52"/>
  <c r="S18" i="52"/>
  <c r="T13" i="52"/>
  <c r="T11" i="52"/>
  <c r="T16" i="52"/>
  <c r="T15" i="52"/>
  <c r="T19" i="52"/>
  <c r="T12" i="52"/>
  <c r="T18" i="52"/>
  <c r="T17" i="52"/>
  <c r="T14" i="52"/>
  <c r="I7" i="48"/>
  <c r="J7" i="48"/>
  <c r="K7" i="48"/>
  <c r="M13" i="52"/>
  <c r="M16" i="52"/>
  <c r="M14" i="52"/>
  <c r="M15" i="52"/>
  <c r="M11" i="52"/>
  <c r="M18" i="52"/>
  <c r="M12" i="52"/>
  <c r="M17" i="52"/>
  <c r="M19" i="52"/>
  <c r="P19" i="52"/>
  <c r="P15" i="52"/>
  <c r="P17" i="52"/>
  <c r="P11" i="52"/>
  <c r="P13" i="52"/>
  <c r="P18" i="52"/>
  <c r="P14" i="52"/>
  <c r="P12" i="52"/>
  <c r="P16" i="52"/>
  <c r="AB9" i="48"/>
  <c r="R26" i="45"/>
  <c r="S26" i="45" s="1"/>
  <c r="AF9" i="43"/>
  <c r="AF10" i="43" s="1"/>
  <c r="AG10" i="43" s="1"/>
  <c r="AF10" i="39"/>
  <c r="AG8" i="43"/>
  <c r="S27" i="45"/>
  <c r="AF11" i="43"/>
  <c r="AG11" i="43" s="1"/>
  <c r="R28" i="45"/>
  <c r="AG9" i="39"/>
  <c r="D37" i="29"/>
  <c r="AF12" i="43"/>
  <c r="AF13" i="43" s="1"/>
  <c r="AF14" i="43" s="1"/>
  <c r="D33" i="29"/>
  <c r="AG9" i="43"/>
  <c r="D38" i="29"/>
  <c r="AC9" i="48"/>
  <c r="AB10" i="48"/>
  <c r="AG10" i="39"/>
  <c r="AF11" i="39"/>
  <c r="AG14" i="43"/>
  <c r="AF15" i="43"/>
  <c r="AB11" i="48"/>
  <c r="AC10" i="48"/>
  <c r="AG11" i="39"/>
  <c r="AF12" i="39"/>
  <c r="AG15" i="43"/>
  <c r="AF16" i="43"/>
  <c r="AC11" i="48"/>
  <c r="AB12" i="48"/>
  <c r="AG12" i="39"/>
  <c r="AF13" i="39"/>
  <c r="AF17" i="43"/>
  <c r="AG16" i="43"/>
  <c r="AC12" i="48"/>
  <c r="AB13" i="48"/>
  <c r="AF18" i="43"/>
  <c r="AG17" i="43"/>
  <c r="AB14" i="48"/>
  <c r="AC13" i="48"/>
  <c r="AF19" i="43"/>
  <c r="AG18" i="43"/>
  <c r="AG19" i="43"/>
  <c r="AF20" i="43"/>
  <c r="AG20" i="43"/>
  <c r="AF21" i="43"/>
  <c r="AG21" i="43"/>
  <c r="AF22" i="43"/>
  <c r="AF23" i="43"/>
  <c r="AG22" i="43"/>
  <c r="AF24" i="43"/>
  <c r="AG23" i="43"/>
  <c r="AG24" i="43"/>
  <c r="AF25" i="43"/>
  <c r="AF26" i="43"/>
  <c r="AG25" i="43"/>
  <c r="AF27" i="43"/>
  <c r="AG26" i="43"/>
  <c r="AG27" i="43"/>
  <c r="AF28" i="43"/>
  <c r="AG28" i="43"/>
  <c r="AF29" i="43"/>
  <c r="AF30" i="43"/>
  <c r="AG29" i="43"/>
  <c r="AG30" i="43"/>
  <c r="AF31" i="43"/>
  <c r="AF32" i="43"/>
  <c r="AG31" i="43"/>
  <c r="AG32" i="43"/>
  <c r="AF33" i="43"/>
  <c r="AF34" i="43"/>
  <c r="AG33" i="43"/>
  <c r="AG34" i="43"/>
  <c r="AF35" i="43"/>
  <c r="AF36" i="43"/>
  <c r="AG35" i="43"/>
  <c r="AF37" i="43"/>
  <c r="AG36" i="43"/>
  <c r="AG37" i="43"/>
  <c r="AF38" i="43"/>
  <c r="AF39" i="43"/>
  <c r="AG38" i="43"/>
  <c r="AF40" i="43"/>
  <c r="AG39" i="43"/>
  <c r="AF41" i="43"/>
  <c r="AG40" i="43"/>
  <c r="AF42" i="43"/>
  <c r="AG41" i="43"/>
  <c r="AF43" i="43"/>
  <c r="AG42" i="43"/>
  <c r="AG43" i="43"/>
  <c r="AF44" i="43"/>
  <c r="AF45" i="43"/>
  <c r="AG44" i="43"/>
  <c r="AG45" i="43"/>
  <c r="AF46" i="43"/>
  <c r="AG46" i="43"/>
  <c r="AF47" i="43"/>
  <c r="AF48" i="43"/>
  <c r="AG47" i="43"/>
  <c r="AF49" i="43"/>
  <c r="AG48" i="43"/>
  <c r="AF50" i="43"/>
  <c r="AG49" i="43"/>
  <c r="AF51" i="43"/>
  <c r="AG50" i="43"/>
  <c r="AG51" i="43"/>
  <c r="AF52" i="43"/>
  <c r="AG52" i="43"/>
  <c r="AF53" i="43"/>
  <c r="AF54" i="43"/>
  <c r="AG53" i="43"/>
  <c r="AF55" i="43"/>
  <c r="AG54" i="43"/>
  <c r="AF56" i="43"/>
  <c r="AG55" i="43"/>
  <c r="AF57" i="43"/>
  <c r="AG56" i="43"/>
  <c r="AF58" i="43"/>
  <c r="AG57" i="43"/>
  <c r="AG58" i="43"/>
  <c r="AF59" i="43"/>
  <c r="AF60" i="43"/>
  <c r="AG59" i="43"/>
  <c r="AF61" i="43"/>
  <c r="AG60" i="43"/>
  <c r="AF62" i="43"/>
  <c r="AG61" i="43"/>
  <c r="AG62" i="43"/>
  <c r="AF63" i="43"/>
  <c r="AG63" i="43"/>
  <c r="AF64" i="43"/>
  <c r="AG64" i="43"/>
  <c r="AF65" i="43"/>
  <c r="Q29" i="45" l="1"/>
  <c r="AF14" i="39"/>
  <c r="AC14" i="48"/>
  <c r="AG13" i="43"/>
  <c r="AG13" i="39"/>
  <c r="AB15" i="48"/>
  <c r="AC15" i="48" s="1"/>
  <c r="AG12" i="43"/>
  <c r="AB16" i="48"/>
  <c r="AC16" i="48"/>
  <c r="AG14" i="39"/>
  <c r="AG65" i="43"/>
  <c r="S28" i="45"/>
  <c r="R29" i="45"/>
  <c r="Q30" i="45" l="1"/>
  <c r="AB17" i="48"/>
  <c r="AF15" i="39"/>
  <c r="R30" i="45"/>
  <c r="S29" i="45"/>
  <c r="S30" i="45"/>
  <c r="AC17" i="48"/>
  <c r="AB18" i="48"/>
  <c r="AG15" i="39"/>
  <c r="AF16" i="39"/>
  <c r="AB19" i="48"/>
  <c r="AC18" i="48"/>
  <c r="AF17" i="39"/>
  <c r="AG16" i="39"/>
  <c r="AC19" i="48"/>
  <c r="AB20" i="48"/>
  <c r="AF18" i="39"/>
  <c r="AG17" i="39"/>
  <c r="AB21" i="48"/>
  <c r="AC20" i="48"/>
  <c r="AF19" i="39"/>
  <c r="AG18" i="39"/>
  <c r="AB22" i="48"/>
  <c r="AC21" i="48"/>
  <c r="AF20" i="39"/>
  <c r="AG19" i="39"/>
  <c r="AC22" i="48"/>
  <c r="AB23" i="48"/>
  <c r="AG20" i="39"/>
  <c r="AF21" i="39"/>
  <c r="AB24" i="48"/>
  <c r="AC23" i="48"/>
  <c r="AF22" i="39"/>
  <c r="AG21" i="39"/>
  <c r="AC24" i="48"/>
  <c r="AB25" i="48"/>
  <c r="AG22" i="39"/>
  <c r="AF23" i="39"/>
  <c r="AC25" i="48"/>
  <c r="AB26" i="48"/>
  <c r="AF24" i="39"/>
  <c r="AG23" i="39"/>
  <c r="AC26" i="48"/>
  <c r="AB27" i="48"/>
  <c r="AF25" i="39"/>
  <c r="AG24" i="39"/>
  <c r="AB28" i="48"/>
  <c r="AC27" i="48"/>
  <c r="AF26" i="39"/>
  <c r="AG25" i="39"/>
  <c r="AB29" i="48"/>
  <c r="AC28" i="48"/>
  <c r="AF27" i="39"/>
  <c r="AG26" i="39"/>
  <c r="AC29" i="48"/>
  <c r="AB30" i="48"/>
  <c r="AG27" i="39"/>
  <c r="AF28" i="39"/>
  <c r="AC30" i="48"/>
  <c r="AB31" i="48"/>
  <c r="AG28" i="39"/>
  <c r="AF29" i="39"/>
  <c r="AC31" i="48"/>
  <c r="AB32" i="48"/>
  <c r="AG29" i="39"/>
  <c r="AF30" i="39"/>
  <c r="AB33" i="48"/>
  <c r="AC32" i="48"/>
  <c r="AF31" i="39"/>
  <c r="AG30" i="39"/>
  <c r="AB34" i="48"/>
  <c r="AC33" i="48"/>
  <c r="AF32" i="39"/>
  <c r="AG31" i="39"/>
  <c r="AB35" i="48"/>
  <c r="AC34" i="48"/>
  <c r="AG32" i="39"/>
  <c r="AF33" i="39"/>
  <c r="AB36" i="48"/>
  <c r="AC35" i="48"/>
  <c r="AF34" i="39"/>
  <c r="AG33" i="39"/>
  <c r="AC36" i="48"/>
  <c r="AB37" i="48"/>
  <c r="AG34" i="39"/>
  <c r="AF35" i="39"/>
  <c r="AC37" i="48"/>
  <c r="AB38" i="48"/>
  <c r="AF36" i="39"/>
  <c r="AG35" i="39"/>
  <c r="AB39" i="48"/>
  <c r="AC38" i="48"/>
  <c r="AF37" i="39"/>
  <c r="AG36" i="39"/>
  <c r="AB40" i="48"/>
  <c r="AC39" i="48"/>
  <c r="AG37" i="39"/>
  <c r="AF38" i="39"/>
  <c r="AC40" i="48"/>
  <c r="AB41" i="48"/>
  <c r="AG38" i="39"/>
  <c r="AF39" i="39"/>
  <c r="AC41" i="48"/>
  <c r="AB42" i="48"/>
  <c r="AG39" i="39"/>
  <c r="AF40" i="39"/>
  <c r="AC42" i="48"/>
  <c r="AB43" i="48"/>
  <c r="AF41" i="39"/>
  <c r="AG40" i="39"/>
  <c r="AC43" i="48"/>
  <c r="AB44" i="48"/>
  <c r="AF42" i="39"/>
  <c r="AG41" i="39"/>
  <c r="AC44" i="48"/>
  <c r="AB45" i="48"/>
  <c r="AF43" i="39"/>
  <c r="AG42" i="39"/>
  <c r="AB46" i="48"/>
  <c r="AC45" i="48"/>
  <c r="AF44" i="39"/>
  <c r="AG43" i="39"/>
  <c r="AB47" i="48"/>
  <c r="AC46" i="48"/>
  <c r="AF45" i="39"/>
  <c r="AG44" i="39"/>
  <c r="AB48" i="48"/>
  <c r="AC47" i="48"/>
  <c r="AG45" i="39"/>
  <c r="AF46" i="39"/>
  <c r="AC48" i="48"/>
  <c r="AB49" i="48"/>
  <c r="AG46" i="39"/>
  <c r="AF47" i="39"/>
  <c r="AB50" i="48"/>
  <c r="AC49" i="48"/>
  <c r="AG47" i="39"/>
  <c r="AF48" i="39"/>
  <c r="AB51" i="48"/>
  <c r="AC50" i="48"/>
  <c r="AF49" i="39"/>
  <c r="AG48" i="39"/>
  <c r="AC51" i="48"/>
  <c r="AB52" i="48"/>
  <c r="AG49" i="39"/>
  <c r="AF50" i="39"/>
  <c r="AB53" i="48"/>
  <c r="AC52" i="48"/>
  <c r="AG50" i="39"/>
  <c r="AF51" i="39"/>
  <c r="AB54" i="48"/>
  <c r="AC53" i="48"/>
  <c r="AF52" i="39"/>
  <c r="AG51" i="39"/>
  <c r="AB55" i="48"/>
  <c r="AC54" i="48"/>
  <c r="AF53" i="39"/>
  <c r="AG52" i="39"/>
  <c r="AB56" i="48"/>
  <c r="AC55" i="48"/>
  <c r="AG53" i="39"/>
  <c r="AF54" i="39"/>
  <c r="AC56" i="48"/>
  <c r="AB57" i="48"/>
  <c r="AG54" i="39"/>
  <c r="AF55" i="39"/>
  <c r="AC57" i="48"/>
  <c r="AB58" i="48"/>
  <c r="AG55" i="39"/>
  <c r="AF56" i="39"/>
  <c r="AC58" i="48"/>
  <c r="AB59" i="48"/>
  <c r="AF57" i="39"/>
  <c r="AG56" i="39"/>
  <c r="AB60" i="48"/>
  <c r="AC59" i="48"/>
  <c r="AF58" i="39"/>
  <c r="AG57" i="39"/>
  <c r="AC60" i="48"/>
  <c r="AB61" i="48"/>
  <c r="AF59" i="39"/>
  <c r="AG58" i="39"/>
  <c r="AC61" i="48"/>
  <c r="AB62" i="48"/>
  <c r="AG59" i="39"/>
  <c r="AF60" i="39"/>
  <c r="AC62" i="48"/>
  <c r="AB63" i="48"/>
  <c r="AF61" i="39"/>
  <c r="AG60" i="39"/>
  <c r="AC63" i="48"/>
  <c r="AB64" i="48"/>
  <c r="AC64" i="48" s="1"/>
  <c r="AF62" i="39"/>
  <c r="AG61" i="39"/>
  <c r="AG62" i="39"/>
  <c r="AF63" i="39"/>
  <c r="AF64" i="39"/>
  <c r="AG63" i="39"/>
  <c r="AF65" i="39"/>
  <c r="AG64" i="39"/>
  <c r="AG65" i="39"/>
  <c r="AF66" i="39"/>
  <c r="AG66" i="39"/>
  <c r="AF67" i="39"/>
  <c r="AG67" i="39"/>
  <c r="AF68" i="39"/>
  <c r="AG68" i="39"/>
  <c r="AF69" i="39"/>
  <c r="AF70" i="39"/>
  <c r="AG69" i="39"/>
  <c r="AF71" i="39"/>
  <c r="AG70" i="39"/>
  <c r="AF72" i="39"/>
  <c r="AG71" i="39"/>
  <c r="AF73" i="39"/>
  <c r="AG72" i="39"/>
  <c r="AF74" i="39"/>
  <c r="AG73" i="39"/>
  <c r="AG74" i="39"/>
  <c r="AF75" i="39"/>
  <c r="AG75" i="39"/>
  <c r="AF76" i="39"/>
  <c r="AG76" i="39"/>
  <c r="AF77" i="39"/>
  <c r="AF78" i="39"/>
  <c r="AG77" i="39"/>
  <c r="AG78" i="39"/>
  <c r="AF79" i="39"/>
  <c r="AG79" i="39"/>
  <c r="AF80" i="39"/>
  <c r="AF81" i="39"/>
  <c r="AG80" i="39"/>
  <c r="AF82" i="39"/>
  <c r="AG81" i="39"/>
  <c r="AG82" i="39"/>
  <c r="AF83" i="39"/>
  <c r="AG83" i="39"/>
  <c r="AF84" i="39"/>
  <c r="AF85" i="39"/>
  <c r="AG84" i="39"/>
  <c r="AF86" i="39"/>
  <c r="AG85" i="39"/>
  <c r="AF87" i="39"/>
  <c r="AG86" i="39"/>
  <c r="AG87" i="39"/>
  <c r="AF88" i="39"/>
  <c r="AG88" i="39"/>
  <c r="AF89" i="39"/>
  <c r="AG89" i="39"/>
  <c r="AF90" i="39"/>
  <c r="AF91" i="39"/>
  <c r="AG90" i="39"/>
  <c r="AF92" i="39"/>
  <c r="AG91" i="39"/>
  <c r="AF93" i="39"/>
  <c r="AG92" i="39"/>
  <c r="AF94" i="39"/>
  <c r="AG93" i="39"/>
  <c r="AG94" i="39"/>
  <c r="AF95" i="39"/>
  <c r="AF96" i="39"/>
  <c r="AG95" i="39"/>
  <c r="AF97" i="39"/>
  <c r="AG96" i="39"/>
  <c r="AG97" i="39"/>
  <c r="AF98" i="39"/>
  <c r="AG98" i="39"/>
  <c r="AF99" i="39"/>
  <c r="AG99" i="39"/>
  <c r="AF100" i="39"/>
  <c r="AF101" i="39"/>
  <c r="AG100" i="39"/>
  <c r="AG101" i="39"/>
  <c r="AF102" i="39"/>
  <c r="AG102" i="39"/>
  <c r="AF103" i="39"/>
  <c r="AF104" i="39"/>
  <c r="AG103" i="39"/>
  <c r="AF105" i="39"/>
  <c r="AG104" i="39"/>
  <c r="AG105" i="39"/>
  <c r="AF106" i="39"/>
  <c r="AF107" i="39"/>
  <c r="AG106" i="39"/>
  <c r="AG107" i="39"/>
  <c r="AF108" i="39"/>
  <c r="AF109" i="39"/>
  <c r="AG108" i="39"/>
  <c r="AG109" i="39"/>
  <c r="AF110" i="39"/>
  <c r="AF111" i="39"/>
  <c r="AG110" i="39"/>
  <c r="AF112" i="39"/>
  <c r="AG111" i="39"/>
  <c r="AG112" i="39"/>
  <c r="AF113" i="39"/>
  <c r="AF114" i="39"/>
  <c r="AG113" i="39"/>
  <c r="AG114" i="39"/>
  <c r="AF115" i="39"/>
  <c r="AF116" i="39"/>
  <c r="AG115" i="39"/>
  <c r="AF117" i="39"/>
  <c r="AG116" i="39"/>
  <c r="AF118" i="39"/>
  <c r="AG117" i="39"/>
  <c r="AF119" i="39"/>
  <c r="AG118" i="39"/>
  <c r="AF120" i="39"/>
  <c r="AG119" i="39"/>
  <c r="AF121" i="39"/>
  <c r="AG120" i="39"/>
  <c r="AG121" i="39"/>
  <c r="AF122" i="39"/>
  <c r="AG122" i="39"/>
  <c r="AF123" i="39"/>
  <c r="AF124" i="39"/>
  <c r="AG123" i="39"/>
  <c r="AG124" i="39"/>
  <c r="AF125" i="39"/>
  <c r="AG125" i="39"/>
  <c r="AF126" i="39"/>
  <c r="AG126" i="39"/>
  <c r="AF127" i="39"/>
  <c r="AG127" i="39"/>
  <c r="AF128" i="39"/>
  <c r="AF129" i="39"/>
  <c r="AG128" i="39"/>
  <c r="AG129" i="39"/>
  <c r="AF130" i="39"/>
  <c r="AG130" i="39"/>
  <c r="AF131" i="39"/>
  <c r="AG131" i="39"/>
  <c r="AF132" i="39"/>
  <c r="AG132" i="39" s="1"/>
  <c r="F4" i="48" l="1" a="1"/>
  <c r="I34" i="29"/>
  <c r="I28" i="29"/>
  <c r="H37" i="29"/>
  <c r="I37" i="29"/>
  <c r="I35" i="29"/>
  <c r="R24" i="52"/>
  <c r="R25" i="52"/>
  <c r="Q26" i="52" l="1"/>
  <c r="S25" i="52"/>
  <c r="R26" i="52"/>
  <c r="H38" i="29"/>
  <c r="S24" i="52"/>
  <c r="S26" i="52"/>
  <c r="Q27" i="52" l="1"/>
  <c r="I38" i="29"/>
  <c r="R27" i="52"/>
  <c r="S27" i="52"/>
  <c r="Q28" i="52" l="1"/>
  <c r="J4" i="39" a="1"/>
  <c r="R28" i="52"/>
  <c r="S28" i="52"/>
  <c r="I19" i="29" l="1"/>
  <c r="I20" i="29"/>
  <c r="G4" i="43"/>
  <c r="Q3" i="52"/>
  <c r="Q5" i="52"/>
  <c r="L21" i="39"/>
  <c r="L21" i="43"/>
  <c r="L24" i="39"/>
  <c r="W27" i="52"/>
  <c r="V28" i="45"/>
  <c r="V24" i="52"/>
  <c r="G16" i="48"/>
  <c r="K17" i="43"/>
  <c r="K23" i="39"/>
  <c r="Q3" i="45"/>
  <c r="L15" i="39"/>
  <c r="H19" i="48"/>
  <c r="Q4" i="45"/>
  <c r="W30" i="45"/>
  <c r="G4" i="39"/>
  <c r="W24" i="52"/>
  <c r="V28" i="52"/>
  <c r="F7" i="43"/>
  <c r="H7" i="42"/>
  <c r="G19" i="48"/>
  <c r="K21" i="43"/>
  <c r="K22" i="39"/>
  <c r="L23" i="39"/>
  <c r="L18" i="43"/>
  <c r="L18" i="39"/>
  <c r="G6" i="43"/>
  <c r="L17" i="43"/>
  <c r="H20" i="48"/>
  <c r="W26" i="52"/>
  <c r="F6" i="39"/>
  <c r="V26" i="52"/>
  <c r="H4" i="42"/>
  <c r="G18" i="48"/>
  <c r="K20" i="43"/>
  <c r="K19" i="39"/>
  <c r="L19" i="43"/>
  <c r="L19" i="39"/>
  <c r="W28" i="45"/>
  <c r="W28" i="52"/>
  <c r="V26" i="45"/>
  <c r="F5" i="43"/>
  <c r="H5" i="42"/>
  <c r="G15" i="48"/>
  <c r="K17" i="39"/>
  <c r="K24" i="39"/>
  <c r="G7" i="43"/>
  <c r="G5" i="43"/>
  <c r="W25" i="52"/>
  <c r="F6" i="43"/>
  <c r="F4" i="39"/>
  <c r="K16" i="43"/>
  <c r="K20" i="39"/>
  <c r="K16" i="39"/>
  <c r="G7" i="39"/>
  <c r="H18" i="48"/>
  <c r="Q9" i="45"/>
  <c r="L20" i="43"/>
  <c r="H16" i="48"/>
  <c r="W29" i="45"/>
  <c r="L17" i="39"/>
  <c r="Q5" i="45"/>
  <c r="L16" i="39"/>
  <c r="V27" i="52"/>
  <c r="V27" i="45"/>
  <c r="V29" i="45"/>
  <c r="G17" i="48"/>
  <c r="K15" i="43"/>
  <c r="K18" i="39"/>
  <c r="H15" i="48"/>
  <c r="G5" i="39"/>
  <c r="L20" i="39"/>
  <c r="L16" i="43"/>
  <c r="Q4" i="52"/>
  <c r="Q6" i="52"/>
  <c r="W27" i="45"/>
  <c r="Q7" i="52"/>
  <c r="F4" i="43"/>
  <c r="F7" i="39"/>
  <c r="F5" i="39"/>
  <c r="G21" i="48"/>
  <c r="K19" i="43"/>
  <c r="K15" i="39"/>
  <c r="L22" i="39"/>
  <c r="L15" i="43"/>
  <c r="W26" i="45"/>
  <c r="H21" i="48"/>
  <c r="Q6" i="45"/>
  <c r="G6" i="39"/>
  <c r="H17" i="48"/>
  <c r="Q7" i="45"/>
  <c r="Q8" i="45"/>
  <c r="V30" i="45"/>
  <c r="V25" i="52"/>
  <c r="H6" i="42"/>
  <c r="G20" i="48"/>
  <c r="K18" i="43"/>
  <c r="K21" i="39"/>
  <c r="T28" i="52"/>
  <c r="T24" i="52"/>
  <c r="T25" i="52"/>
  <c r="T27" i="52"/>
  <c r="T26" i="52"/>
  <c r="R4" i="52"/>
  <c r="R7" i="52"/>
  <c r="R5" i="52"/>
  <c r="R6" i="52"/>
  <c r="R11" i="52" s="1" a="1"/>
  <c r="R6" i="45"/>
  <c r="R9" i="45"/>
  <c r="T27" i="45"/>
  <c r="R4" i="45"/>
  <c r="T29" i="45"/>
  <c r="T30" i="45"/>
  <c r="R8" i="45"/>
  <c r="T28" i="45"/>
  <c r="R5" i="45"/>
  <c r="R7" i="45"/>
  <c r="R13" i="45" s="1" a="1"/>
  <c r="T26" i="45"/>
  <c r="U12" i="45" a="1"/>
  <c r="U10" i="52" a="1"/>
  <c r="H3" i="42"/>
  <c r="E3" i="42"/>
  <c r="D3" i="39"/>
  <c r="D3" i="48"/>
  <c r="D3" i="43"/>
  <c r="I3" i="42"/>
  <c r="F3" i="42"/>
  <c r="E7" i="42"/>
  <c r="E6" i="42"/>
  <c r="E4" i="42"/>
  <c r="E5" i="42"/>
  <c r="E3" i="39"/>
  <c r="F3" i="39"/>
  <c r="K3" i="39"/>
  <c r="G3" i="48"/>
  <c r="E3" i="48"/>
  <c r="H3" i="48" s="1"/>
  <c r="K3" i="43"/>
  <c r="F3" i="43"/>
  <c r="E3" i="43"/>
  <c r="G3" i="42"/>
  <c r="J3" i="42"/>
  <c r="F7" i="42"/>
  <c r="C8" i="42"/>
  <c r="I7" i="42"/>
  <c r="I6" i="42"/>
  <c r="F6" i="42"/>
  <c r="I4" i="42"/>
  <c r="F4" i="42"/>
  <c r="I5" i="42"/>
  <c r="F5" i="42"/>
  <c r="H3" i="39"/>
  <c r="L3" i="39"/>
  <c r="G3" i="39"/>
  <c r="H3" i="43"/>
  <c r="L3" i="43"/>
  <c r="G3" i="43"/>
  <c r="G7" i="42"/>
  <c r="J7" i="42"/>
  <c r="E8" i="42"/>
  <c r="G6" i="42"/>
  <c r="J6" i="42"/>
  <c r="G4" i="42"/>
  <c r="J4" i="42"/>
  <c r="G5" i="42"/>
  <c r="J5" i="42"/>
  <c r="I8" i="42"/>
  <c r="F8" i="42"/>
  <c r="C9" i="42"/>
  <c r="G8" i="42"/>
  <c r="J8" i="42"/>
  <c r="E9" i="42"/>
  <c r="C10" i="42"/>
  <c r="I9" i="42"/>
  <c r="F9" i="42"/>
  <c r="E10" i="42"/>
  <c r="G9" i="42"/>
  <c r="J9" i="42"/>
  <c r="F10" i="42"/>
  <c r="C11" i="42"/>
  <c r="I10" i="42"/>
  <c r="G10" i="42"/>
  <c r="J10" i="42"/>
  <c r="E11" i="42"/>
  <c r="I11" i="42"/>
  <c r="C12" i="42"/>
  <c r="F11" i="42"/>
  <c r="E12" i="42"/>
  <c r="G11" i="42"/>
  <c r="J11" i="42"/>
  <c r="I12" i="42"/>
  <c r="F12" i="42"/>
  <c r="C13" i="42"/>
  <c r="G12" i="42"/>
  <c r="J12" i="42"/>
  <c r="E13" i="42"/>
  <c r="C14" i="42"/>
  <c r="I13" i="42"/>
  <c r="F13" i="42"/>
  <c r="E14" i="42"/>
  <c r="G13" i="42"/>
  <c r="J13" i="42"/>
  <c r="F14" i="42"/>
  <c r="C15" i="42"/>
  <c r="I14" i="42"/>
  <c r="G14" i="42"/>
  <c r="J14" i="42"/>
  <c r="E15" i="42"/>
  <c r="I15" i="42"/>
  <c r="F15" i="42"/>
  <c r="G15" i="42"/>
  <c r="J15" i="42"/>
  <c r="K15" i="42" l="1"/>
  <c r="K14" i="42"/>
  <c r="D15" i="42"/>
  <c r="K13" i="42"/>
  <c r="D14" i="42"/>
  <c r="D13" i="42"/>
  <c r="K12" i="42"/>
  <c r="D12" i="42"/>
  <c r="K11" i="42"/>
  <c r="K10" i="42"/>
  <c r="D11" i="42"/>
  <c r="K9" i="42"/>
  <c r="D10" i="42"/>
  <c r="D9" i="42"/>
  <c r="K8" i="42"/>
  <c r="N3" i="43"/>
  <c r="M3" i="43"/>
  <c r="O3" i="43"/>
  <c r="M3" i="39"/>
  <c r="N3" i="39"/>
  <c r="O3" i="39"/>
  <c r="K5" i="42"/>
  <c r="P5" i="42" s="1"/>
  <c r="K4" i="42"/>
  <c r="L4" i="42" s="1"/>
  <c r="K6" i="42"/>
  <c r="P6" i="42" s="1"/>
  <c r="K7" i="42"/>
  <c r="L7" i="42" s="1"/>
  <c r="D8" i="42"/>
  <c r="I3" i="43"/>
  <c r="J3" i="48"/>
  <c r="K3" i="48"/>
  <c r="I3" i="48"/>
  <c r="I3" i="39"/>
  <c r="K3" i="42"/>
  <c r="L3" i="42" s="1"/>
  <c r="R3" i="42"/>
  <c r="U18" i="52"/>
  <c r="U11" i="52"/>
  <c r="U15" i="52"/>
  <c r="U17" i="52"/>
  <c r="U13" i="52"/>
  <c r="U19" i="52"/>
  <c r="U14" i="52"/>
  <c r="U12" i="52"/>
  <c r="U16" i="52"/>
  <c r="U10" i="52"/>
  <c r="U20" i="45"/>
  <c r="U15" i="45"/>
  <c r="U16" i="45"/>
  <c r="U12" i="45"/>
  <c r="U19" i="45"/>
  <c r="U14" i="45"/>
  <c r="U21" i="45"/>
  <c r="U13" i="45"/>
  <c r="U17" i="45"/>
  <c r="U18" i="45"/>
  <c r="R21" i="45"/>
  <c r="R20" i="45"/>
  <c r="R15" i="45"/>
  <c r="R14" i="45"/>
  <c r="R18" i="45"/>
  <c r="R17" i="45"/>
  <c r="R19" i="45"/>
  <c r="R16" i="45"/>
  <c r="R13" i="45"/>
  <c r="R18" i="52"/>
  <c r="R12" i="52"/>
  <c r="R17" i="52"/>
  <c r="R16" i="52"/>
  <c r="R11" i="52"/>
  <c r="R19" i="52"/>
  <c r="R13" i="52"/>
  <c r="R14" i="52"/>
  <c r="R15" i="52"/>
  <c r="M21" i="39"/>
  <c r="M18" i="43"/>
  <c r="I20" i="48"/>
  <c r="U25" i="52"/>
  <c r="X25" i="52" s="1"/>
  <c r="J4" i="39" s="1"/>
  <c r="U30" i="45"/>
  <c r="X30" i="45" s="1"/>
  <c r="F7" i="48" s="1"/>
  <c r="M15" i="39"/>
  <c r="M19" i="43"/>
  <c r="I21" i="48"/>
  <c r="I5" i="39"/>
  <c r="I7" i="39"/>
  <c r="I4" i="43"/>
  <c r="M18" i="39"/>
  <c r="M15" i="43"/>
  <c r="I17" i="48"/>
  <c r="U29" i="45"/>
  <c r="X29" i="45" s="1"/>
  <c r="F6" i="48" s="1"/>
  <c r="U27" i="45"/>
  <c r="X27" i="45" s="1"/>
  <c r="F4" i="48" s="1"/>
  <c r="U27" i="52"/>
  <c r="X27" i="52" s="1"/>
  <c r="J6" i="39" s="1"/>
  <c r="M16" i="39"/>
  <c r="M20" i="39"/>
  <c r="M16" i="43"/>
  <c r="I4" i="39"/>
  <c r="I6" i="43"/>
  <c r="M24" i="39"/>
  <c r="M17" i="39"/>
  <c r="I15" i="48"/>
  <c r="I5" i="43"/>
  <c r="U26" i="45"/>
  <c r="X26" i="45" s="1"/>
  <c r="F3" i="48" s="1"/>
  <c r="M19" i="39"/>
  <c r="M20" i="43"/>
  <c r="I18" i="48"/>
  <c r="U26" i="52"/>
  <c r="X26" i="52" s="1"/>
  <c r="J5" i="39" s="1"/>
  <c r="I6" i="39"/>
  <c r="M22" i="39"/>
  <c r="M21" i="43"/>
  <c r="I19" i="48"/>
  <c r="I7" i="43"/>
  <c r="U28" i="52"/>
  <c r="X28" i="52" s="1"/>
  <c r="J7" i="39" s="1"/>
  <c r="M23" i="39"/>
  <c r="M17" i="43"/>
  <c r="I16" i="48"/>
  <c r="U24" i="52"/>
  <c r="X24" i="52" s="1"/>
  <c r="J3" i="39" s="1"/>
  <c r="U28" i="45"/>
  <c r="X28" i="45" s="1"/>
  <c r="F5" i="48" s="1"/>
  <c r="U3" i="43" a="1"/>
  <c r="U9" i="43" a="1"/>
  <c r="U13" i="43" a="1"/>
  <c r="S3" i="43" a="1"/>
  <c r="S3" i="42"/>
  <c r="V3" i="42"/>
  <c r="R4" i="42"/>
  <c r="H15" i="42"/>
  <c r="H11" i="42"/>
  <c r="U9" i="39" a="1"/>
  <c r="U3" i="39" a="1"/>
  <c r="U13" i="39" a="1"/>
  <c r="H8" i="42"/>
  <c r="T3" i="39" a="1"/>
  <c r="T9" i="39" a="1"/>
  <c r="H14" i="42"/>
  <c r="S3" i="39" a="1"/>
  <c r="P3" i="48" a="1"/>
  <c r="P9" i="48" a="1"/>
  <c r="H13" i="42"/>
  <c r="T9" i="43" a="1"/>
  <c r="T3" i="43" a="1"/>
  <c r="H10" i="42"/>
  <c r="H9" i="42"/>
  <c r="O3" i="48" a="1"/>
  <c r="Q13" i="48" a="1"/>
  <c r="Q3" i="48" a="1"/>
  <c r="Q9" i="48" a="1"/>
  <c r="H12" i="42"/>
  <c r="T3" i="42"/>
  <c r="W3" i="42"/>
  <c r="S4" i="42"/>
  <c r="V4" i="42"/>
  <c r="R5" i="42"/>
  <c r="T4" i="42"/>
  <c r="W4" i="42"/>
  <c r="V5" i="42"/>
  <c r="S5" i="42"/>
  <c r="R6" i="42"/>
  <c r="T5" i="42"/>
  <c r="W5" i="42"/>
  <c r="R7" i="42"/>
  <c r="V6" i="42"/>
  <c r="S6" i="42"/>
  <c r="R8" i="42"/>
  <c r="V7" i="42"/>
  <c r="S7" i="42"/>
  <c r="T6" i="42"/>
  <c r="W6" i="42"/>
  <c r="S8" i="42"/>
  <c r="R9" i="42"/>
  <c r="V8" i="42"/>
  <c r="T7" i="42"/>
  <c r="W7" i="42"/>
  <c r="T8" i="42"/>
  <c r="W8" i="42"/>
  <c r="R10" i="42"/>
  <c r="V9" i="42"/>
  <c r="S9" i="42"/>
  <c r="R11" i="42"/>
  <c r="V10" i="42"/>
  <c r="S10" i="42"/>
  <c r="T9" i="42"/>
  <c r="W9" i="42"/>
  <c r="R12" i="42"/>
  <c r="V11" i="42"/>
  <c r="S11" i="42"/>
  <c r="T10" i="42"/>
  <c r="W10" i="42"/>
  <c r="R13" i="42"/>
  <c r="V12" i="42"/>
  <c r="S12" i="42"/>
  <c r="T11" i="42"/>
  <c r="W11" i="42"/>
  <c r="V13" i="42"/>
  <c r="S13" i="42"/>
  <c r="R14" i="42"/>
  <c r="T12" i="42"/>
  <c r="W12" i="42"/>
  <c r="T13" i="42"/>
  <c r="W13" i="42"/>
  <c r="R15" i="42"/>
  <c r="V14" i="42"/>
  <c r="S14" i="42"/>
  <c r="R16" i="42"/>
  <c r="V15" i="42"/>
  <c r="S15" i="42"/>
  <c r="T14" i="42"/>
  <c r="W14" i="42"/>
  <c r="S16" i="42"/>
  <c r="R17" i="42"/>
  <c r="V16" i="42"/>
  <c r="T15" i="42"/>
  <c r="W15" i="42"/>
  <c r="T16" i="42"/>
  <c r="W16" i="42"/>
  <c r="R18" i="42"/>
  <c r="V17" i="42"/>
  <c r="S17" i="42"/>
  <c r="R19" i="42"/>
  <c r="V18" i="42"/>
  <c r="S18" i="42"/>
  <c r="T17" i="42"/>
  <c r="W17" i="42"/>
  <c r="R20" i="42"/>
  <c r="V19" i="42"/>
  <c r="S19" i="42"/>
  <c r="T18" i="42"/>
  <c r="W18" i="42"/>
  <c r="R21" i="42"/>
  <c r="V20" i="42"/>
  <c r="S20" i="42"/>
  <c r="T19" i="42"/>
  <c r="W19" i="42"/>
  <c r="V21" i="42"/>
  <c r="S21" i="42"/>
  <c r="R22" i="42"/>
  <c r="T20" i="42"/>
  <c r="W20" i="42"/>
  <c r="T21" i="42"/>
  <c r="W21" i="42"/>
  <c r="R23" i="42"/>
  <c r="V22" i="42"/>
  <c r="S22" i="42"/>
  <c r="R24" i="42"/>
  <c r="V23" i="42"/>
  <c r="S23" i="42"/>
  <c r="T22" i="42"/>
  <c r="W22" i="42"/>
  <c r="S24" i="42"/>
  <c r="R25" i="42"/>
  <c r="V24" i="42"/>
  <c r="T23" i="42"/>
  <c r="W23" i="42"/>
  <c r="T24" i="42"/>
  <c r="W24" i="42"/>
  <c r="R26" i="42"/>
  <c r="V25" i="42"/>
  <c r="S25" i="42"/>
  <c r="R27" i="42"/>
  <c r="V26" i="42"/>
  <c r="S26" i="42"/>
  <c r="T25" i="42"/>
  <c r="W25" i="42"/>
  <c r="R28" i="42"/>
  <c r="V27" i="42"/>
  <c r="S27" i="42"/>
  <c r="T26" i="42"/>
  <c r="W26" i="42"/>
  <c r="R29" i="42"/>
  <c r="V28" i="42"/>
  <c r="S28" i="42"/>
  <c r="T27" i="42"/>
  <c r="W27" i="42"/>
  <c r="V29" i="42"/>
  <c r="S29" i="42"/>
  <c r="R30" i="42"/>
  <c r="T28" i="42"/>
  <c r="W28" i="42"/>
  <c r="T29" i="42"/>
  <c r="W29" i="42"/>
  <c r="R31" i="42"/>
  <c r="V30" i="42"/>
  <c r="S30" i="42"/>
  <c r="R32" i="42"/>
  <c r="V31" i="42"/>
  <c r="S31" i="42"/>
  <c r="T30" i="42"/>
  <c r="W30" i="42"/>
  <c r="S32" i="42"/>
  <c r="R33" i="42"/>
  <c r="V32" i="42"/>
  <c r="T31" i="42"/>
  <c r="W31" i="42"/>
  <c r="T32" i="42"/>
  <c r="W32" i="42"/>
  <c r="R34" i="42"/>
  <c r="V33" i="42"/>
  <c r="S33" i="42"/>
  <c r="R35" i="42"/>
  <c r="V34" i="42"/>
  <c r="S34" i="42"/>
  <c r="T33" i="42"/>
  <c r="W33" i="42"/>
  <c r="R36" i="42"/>
  <c r="V35" i="42"/>
  <c r="S35" i="42"/>
  <c r="T34" i="42"/>
  <c r="W34" i="42"/>
  <c r="R37" i="42"/>
  <c r="V36" i="42"/>
  <c r="S36" i="42"/>
  <c r="T35" i="42"/>
  <c r="W35" i="42"/>
  <c r="V37" i="42"/>
  <c r="S37" i="42"/>
  <c r="R38" i="42"/>
  <c r="T36" i="42"/>
  <c r="W36" i="42"/>
  <c r="T37" i="42"/>
  <c r="W37" i="42"/>
  <c r="R39" i="42"/>
  <c r="V38" i="42"/>
  <c r="S38" i="42"/>
  <c r="R40" i="42"/>
  <c r="V39" i="42"/>
  <c r="S39" i="42"/>
  <c r="T38" i="42"/>
  <c r="W38" i="42"/>
  <c r="S40" i="42"/>
  <c r="R41" i="42"/>
  <c r="V40" i="42"/>
  <c r="T39" i="42"/>
  <c r="W39" i="42"/>
  <c r="T40" i="42"/>
  <c r="W40" i="42"/>
  <c r="R42" i="42"/>
  <c r="V41" i="42"/>
  <c r="S41" i="42"/>
  <c r="R43" i="42"/>
  <c r="V42" i="42"/>
  <c r="S42" i="42"/>
  <c r="T41" i="42"/>
  <c r="W41" i="42"/>
  <c r="R44" i="42"/>
  <c r="V43" i="42"/>
  <c r="S43" i="42"/>
  <c r="T42" i="42"/>
  <c r="W42" i="42"/>
  <c r="R45" i="42"/>
  <c r="V44" i="42"/>
  <c r="S44" i="42"/>
  <c r="T43" i="42"/>
  <c r="W43" i="42"/>
  <c r="V45" i="42"/>
  <c r="S45" i="42"/>
  <c r="R46" i="42"/>
  <c r="T44" i="42"/>
  <c r="W44" i="42"/>
  <c r="T45" i="42"/>
  <c r="W45" i="42"/>
  <c r="R47" i="42"/>
  <c r="V46" i="42"/>
  <c r="S46" i="42"/>
  <c r="R48" i="42"/>
  <c r="V47" i="42"/>
  <c r="S47" i="42"/>
  <c r="T46" i="42"/>
  <c r="W46" i="42"/>
  <c r="S48" i="42"/>
  <c r="R49" i="42"/>
  <c r="V48" i="42"/>
  <c r="T47" i="42"/>
  <c r="W47" i="42"/>
  <c r="T48" i="42"/>
  <c r="W48" i="42"/>
  <c r="R50" i="42"/>
  <c r="V49" i="42"/>
  <c r="S49" i="42"/>
  <c r="R51" i="42"/>
  <c r="V50" i="42"/>
  <c r="S50" i="42"/>
  <c r="T49" i="42"/>
  <c r="W49" i="42"/>
  <c r="R52" i="42"/>
  <c r="V51" i="42"/>
  <c r="S51" i="42"/>
  <c r="T50" i="42"/>
  <c r="W50" i="42"/>
  <c r="R53" i="42"/>
  <c r="V52" i="42"/>
  <c r="S52" i="42"/>
  <c r="T51" i="42"/>
  <c r="W51" i="42"/>
  <c r="V53" i="42"/>
  <c r="S53" i="42"/>
  <c r="R54" i="42"/>
  <c r="T52" i="42"/>
  <c r="W52" i="42"/>
  <c r="T53" i="42"/>
  <c r="W53" i="42"/>
  <c r="V54" i="42"/>
  <c r="S54" i="42"/>
  <c r="R55" i="42"/>
  <c r="T54" i="42"/>
  <c r="W54" i="42"/>
  <c r="R56" i="42"/>
  <c r="V55" i="42"/>
  <c r="S55" i="42"/>
  <c r="S56" i="42"/>
  <c r="R57" i="42"/>
  <c r="V56" i="42"/>
  <c r="T55" i="42"/>
  <c r="W55" i="42"/>
  <c r="T56" i="42"/>
  <c r="W56" i="42"/>
  <c r="R58" i="42"/>
  <c r="S57" i="42"/>
  <c r="V57" i="42"/>
  <c r="R59" i="42"/>
  <c r="V58" i="42"/>
  <c r="S58" i="42"/>
  <c r="T57" i="42"/>
  <c r="W57" i="42"/>
  <c r="R60" i="42"/>
  <c r="V59" i="42"/>
  <c r="S59" i="42"/>
  <c r="T58" i="42"/>
  <c r="W58" i="42"/>
  <c r="R61" i="42"/>
  <c r="V60" i="42"/>
  <c r="S60" i="42"/>
  <c r="T59" i="42"/>
  <c r="W59" i="42"/>
  <c r="V61" i="42"/>
  <c r="S61" i="42"/>
  <c r="R62" i="42"/>
  <c r="T60" i="42"/>
  <c r="W60" i="42"/>
  <c r="T61" i="42"/>
  <c r="W61" i="42"/>
  <c r="V62" i="42"/>
  <c r="S62" i="42"/>
  <c r="R63" i="42"/>
  <c r="T62" i="42"/>
  <c r="W62" i="42"/>
  <c r="R64" i="42"/>
  <c r="V63" i="42"/>
  <c r="S63" i="42"/>
  <c r="S64" i="42"/>
  <c r="V64" i="42"/>
  <c r="R65" i="42"/>
  <c r="T63" i="42"/>
  <c r="W63" i="42"/>
  <c r="T64" i="42"/>
  <c r="W64" i="42"/>
  <c r="R66" i="42"/>
  <c r="S65" i="42"/>
  <c r="V65" i="42"/>
  <c r="R67" i="42"/>
  <c r="V66" i="42"/>
  <c r="S66" i="42"/>
  <c r="T65" i="42"/>
  <c r="W65" i="42"/>
  <c r="R68" i="42"/>
  <c r="V67" i="42"/>
  <c r="S67" i="42"/>
  <c r="T66" i="42"/>
  <c r="W66" i="42"/>
  <c r="R69" i="42"/>
  <c r="V68" i="42"/>
  <c r="S68" i="42"/>
  <c r="T67" i="42"/>
  <c r="W67" i="42"/>
  <c r="V69" i="42"/>
  <c r="S69" i="42"/>
  <c r="R70" i="42"/>
  <c r="T68" i="42"/>
  <c r="W68" i="42"/>
  <c r="T69" i="42"/>
  <c r="W69" i="42"/>
  <c r="V70" i="42"/>
  <c r="S70" i="42"/>
  <c r="R71" i="42"/>
  <c r="T70" i="42"/>
  <c r="W70" i="42"/>
  <c r="R72" i="42"/>
  <c r="V71" i="42"/>
  <c r="S71" i="42"/>
  <c r="S72" i="42"/>
  <c r="V72" i="42"/>
  <c r="R73" i="42"/>
  <c r="T71" i="42"/>
  <c r="W71" i="42"/>
  <c r="T72" i="42"/>
  <c r="W72" i="42"/>
  <c r="V73" i="42"/>
  <c r="S73" i="42"/>
  <c r="R74" i="42"/>
  <c r="T73" i="42"/>
  <c r="W73" i="42"/>
  <c r="R75" i="42"/>
  <c r="V74" i="42"/>
  <c r="S74" i="42"/>
  <c r="V75" i="42"/>
  <c r="S75" i="42"/>
  <c r="R76" i="42"/>
  <c r="T74" i="42"/>
  <c r="W74" i="42"/>
  <c r="T75" i="42"/>
  <c r="W75" i="42"/>
  <c r="R77" i="42"/>
  <c r="V76" i="42"/>
  <c r="S76" i="42"/>
  <c r="V77" i="42"/>
  <c r="S77" i="42"/>
  <c r="R78" i="42"/>
  <c r="T76" i="42"/>
  <c r="W76" i="42"/>
  <c r="T77" i="42"/>
  <c r="W77" i="42"/>
  <c r="R79" i="42"/>
  <c r="V78" i="42"/>
  <c r="S78" i="42"/>
  <c r="R80" i="42"/>
  <c r="V79" i="42"/>
  <c r="S79" i="42"/>
  <c r="T78" i="42"/>
  <c r="W78" i="42"/>
  <c r="S80" i="42"/>
  <c r="V80" i="42"/>
  <c r="R81" i="42"/>
  <c r="T79" i="42"/>
  <c r="W79" i="42"/>
  <c r="T80" i="42"/>
  <c r="W80" i="42"/>
  <c r="R82" i="42"/>
  <c r="V81" i="42"/>
  <c r="S81" i="42"/>
  <c r="R83" i="42"/>
  <c r="V82" i="42"/>
  <c r="S82" i="42"/>
  <c r="T81" i="42"/>
  <c r="W81" i="42"/>
  <c r="S83" i="42"/>
  <c r="V83" i="42"/>
  <c r="R84" i="42"/>
  <c r="T82" i="42"/>
  <c r="W82" i="42"/>
  <c r="T83" i="42"/>
  <c r="W83" i="42"/>
  <c r="R85" i="42"/>
  <c r="V84" i="42"/>
  <c r="S84" i="42"/>
  <c r="V85" i="42"/>
  <c r="S85" i="42"/>
  <c r="R86" i="42"/>
  <c r="T84" i="42"/>
  <c r="W84" i="42"/>
  <c r="T85" i="42"/>
  <c r="W85" i="42"/>
  <c r="S86" i="42"/>
  <c r="R87" i="42"/>
  <c r="V86" i="42"/>
  <c r="T86" i="42"/>
  <c r="W86" i="42"/>
  <c r="R88" i="42"/>
  <c r="V87" i="42"/>
  <c r="S87" i="42"/>
  <c r="S88" i="42"/>
  <c r="R89" i="42"/>
  <c r="V88" i="42"/>
  <c r="T87" i="42"/>
  <c r="W87" i="42"/>
  <c r="T88" i="42"/>
  <c r="W88" i="42"/>
  <c r="S89" i="42"/>
  <c r="R90" i="42"/>
  <c r="V89" i="42"/>
  <c r="T89" i="42"/>
  <c r="W89" i="42"/>
  <c r="R91" i="42"/>
  <c r="V90" i="42"/>
  <c r="S90" i="42"/>
  <c r="R92" i="42"/>
  <c r="V91" i="42"/>
  <c r="S91" i="42"/>
  <c r="T90" i="42"/>
  <c r="W90" i="42"/>
  <c r="R93" i="42"/>
  <c r="V92" i="42"/>
  <c r="S92" i="42"/>
  <c r="T91" i="42"/>
  <c r="W91" i="42"/>
  <c r="V93" i="42"/>
  <c r="S93" i="42"/>
  <c r="R94" i="42"/>
  <c r="T92" i="42"/>
  <c r="W92" i="42"/>
  <c r="T93" i="42"/>
  <c r="W93" i="42"/>
  <c r="S94" i="42"/>
  <c r="R95" i="42"/>
  <c r="V94" i="42"/>
  <c r="T94" i="42"/>
  <c r="W94" i="42"/>
  <c r="R96" i="42"/>
  <c r="V95" i="42"/>
  <c r="S95" i="42"/>
  <c r="S96" i="42"/>
  <c r="V96" i="42"/>
  <c r="R97" i="42"/>
  <c r="T95" i="42"/>
  <c r="W95" i="42"/>
  <c r="T96" i="42"/>
  <c r="W96" i="42"/>
  <c r="V97" i="42"/>
  <c r="S97" i="42"/>
  <c r="R98" i="42"/>
  <c r="T97" i="42"/>
  <c r="W97" i="42"/>
  <c r="R99" i="42"/>
  <c r="V98" i="42"/>
  <c r="S98" i="42"/>
  <c r="S99" i="42"/>
  <c r="R100" i="42"/>
  <c r="V99" i="42"/>
  <c r="T98" i="42"/>
  <c r="W98" i="42"/>
  <c r="T99" i="42"/>
  <c r="W99" i="42"/>
  <c r="R101" i="42"/>
  <c r="V100" i="42"/>
  <c r="S100" i="42"/>
  <c r="V101" i="42"/>
  <c r="S101" i="42"/>
  <c r="R102" i="42"/>
  <c r="T100" i="42"/>
  <c r="W100" i="42"/>
  <c r="T101" i="42"/>
  <c r="W101" i="42"/>
  <c r="V102" i="42"/>
  <c r="S102" i="42"/>
  <c r="R103" i="42"/>
  <c r="T102" i="42"/>
  <c r="W102" i="42"/>
  <c r="R104" i="42"/>
  <c r="V103" i="42"/>
  <c r="S103" i="42"/>
  <c r="S104" i="42"/>
  <c r="V104" i="42"/>
  <c r="R105" i="42"/>
  <c r="T103" i="42"/>
  <c r="W103" i="42"/>
  <c r="T104" i="42"/>
  <c r="W104" i="42"/>
  <c r="R106" i="42"/>
  <c r="V105" i="42"/>
  <c r="S105" i="42"/>
  <c r="R107" i="42"/>
  <c r="V106" i="42"/>
  <c r="S106" i="42"/>
  <c r="T105" i="42"/>
  <c r="W105" i="42"/>
  <c r="V107" i="42"/>
  <c r="S107" i="42"/>
  <c r="R108" i="42"/>
  <c r="T106" i="42"/>
  <c r="W106" i="42"/>
  <c r="T107" i="42"/>
  <c r="W107" i="42"/>
  <c r="R109" i="42"/>
  <c r="V108" i="42"/>
  <c r="S108" i="42"/>
  <c r="V109" i="42"/>
  <c r="S109" i="42"/>
  <c r="R110" i="42"/>
  <c r="T108" i="42"/>
  <c r="W108" i="42"/>
  <c r="T109" i="42"/>
  <c r="W109" i="42"/>
  <c r="R111" i="42"/>
  <c r="V110" i="42"/>
  <c r="S110" i="42"/>
  <c r="R112" i="42"/>
  <c r="V111" i="42"/>
  <c r="S111" i="42"/>
  <c r="T110" i="42"/>
  <c r="W110" i="42"/>
  <c r="S112" i="42"/>
  <c r="R113" i="42"/>
  <c r="V112" i="42"/>
  <c r="T111" i="42"/>
  <c r="W111" i="42"/>
  <c r="T112" i="42"/>
  <c r="W112" i="42"/>
  <c r="R114" i="42"/>
  <c r="V113" i="42"/>
  <c r="S113" i="42"/>
  <c r="R115" i="42"/>
  <c r="V114" i="42"/>
  <c r="S114" i="42"/>
  <c r="T113" i="42"/>
  <c r="W113" i="42"/>
  <c r="R116" i="42"/>
  <c r="V115" i="42"/>
  <c r="S115" i="42"/>
  <c r="T114" i="42"/>
  <c r="W114" i="42"/>
  <c r="R117" i="42"/>
  <c r="V116" i="42"/>
  <c r="S116" i="42"/>
  <c r="T115" i="42"/>
  <c r="W115" i="42"/>
  <c r="V117" i="42"/>
  <c r="S117" i="42"/>
  <c r="R118" i="42"/>
  <c r="T116" i="42"/>
  <c r="W116" i="42"/>
  <c r="T117" i="42"/>
  <c r="W117" i="42"/>
  <c r="R119" i="42"/>
  <c r="V118" i="42"/>
  <c r="S118" i="42"/>
  <c r="R120" i="42"/>
  <c r="V119" i="42"/>
  <c r="S119" i="42"/>
  <c r="T118" i="42"/>
  <c r="W118" i="42"/>
  <c r="S120" i="42"/>
  <c r="R121" i="42"/>
  <c r="V120" i="42"/>
  <c r="T119" i="42"/>
  <c r="W119" i="42"/>
  <c r="T120" i="42"/>
  <c r="W120" i="42"/>
  <c r="R122" i="42"/>
  <c r="V121" i="42"/>
  <c r="S121" i="42"/>
  <c r="R123" i="42"/>
  <c r="V122" i="42"/>
  <c r="S122" i="42"/>
  <c r="T121" i="42"/>
  <c r="W121" i="42"/>
  <c r="R124" i="42"/>
  <c r="V123" i="42"/>
  <c r="S123" i="42"/>
  <c r="T122" i="42"/>
  <c r="W122" i="42"/>
  <c r="R125" i="42"/>
  <c r="V124" i="42"/>
  <c r="S124" i="42"/>
  <c r="T123" i="42"/>
  <c r="W123" i="42"/>
  <c r="V125" i="42"/>
  <c r="S125" i="42"/>
  <c r="R126" i="42"/>
  <c r="T124" i="42"/>
  <c r="W124" i="42"/>
  <c r="T125" i="42"/>
  <c r="W125" i="42"/>
  <c r="R127" i="42"/>
  <c r="V126" i="42"/>
  <c r="S126" i="42"/>
  <c r="R128" i="42"/>
  <c r="V127" i="42"/>
  <c r="S127" i="42"/>
  <c r="T126" i="42"/>
  <c r="W126" i="42"/>
  <c r="S128" i="42"/>
  <c r="V128" i="42"/>
  <c r="R129" i="42"/>
  <c r="T127" i="42"/>
  <c r="W127" i="42"/>
  <c r="T128" i="42"/>
  <c r="W128" i="42"/>
  <c r="R130" i="42"/>
  <c r="V129" i="42"/>
  <c r="S129" i="42"/>
  <c r="R131" i="42"/>
  <c r="V130" i="42"/>
  <c r="S130" i="42"/>
  <c r="T129" i="42"/>
  <c r="W129" i="42"/>
  <c r="R132" i="42"/>
  <c r="V131" i="42"/>
  <c r="S131" i="42"/>
  <c r="T130" i="42"/>
  <c r="W130" i="42"/>
  <c r="R133" i="42"/>
  <c r="V132" i="42"/>
  <c r="S132" i="42"/>
  <c r="T131" i="42"/>
  <c r="W131" i="42"/>
  <c r="V133" i="42"/>
  <c r="S133" i="42"/>
  <c r="R134" i="42"/>
  <c r="T132" i="42"/>
  <c r="W132" i="42"/>
  <c r="T133" i="42"/>
  <c r="W133" i="42"/>
  <c r="R135" i="42"/>
  <c r="V134" i="42"/>
  <c r="S134" i="42"/>
  <c r="R136" i="42"/>
  <c r="V135" i="42"/>
  <c r="S135" i="42"/>
  <c r="T134" i="42"/>
  <c r="W134" i="42"/>
  <c r="S136" i="42"/>
  <c r="R137" i="42"/>
  <c r="V136" i="42"/>
  <c r="T135" i="42"/>
  <c r="W135" i="42"/>
  <c r="T136" i="42"/>
  <c r="W136" i="42"/>
  <c r="R138" i="42"/>
  <c r="V137" i="42"/>
  <c r="S137" i="42"/>
  <c r="R139" i="42"/>
  <c r="V138" i="42"/>
  <c r="S138" i="42"/>
  <c r="T137" i="42"/>
  <c r="W137" i="42"/>
  <c r="R140" i="42"/>
  <c r="V139" i="42"/>
  <c r="S139" i="42"/>
  <c r="T138" i="42"/>
  <c r="W138" i="42"/>
  <c r="R141" i="42"/>
  <c r="V140" i="42"/>
  <c r="S140" i="42"/>
  <c r="T139" i="42"/>
  <c r="W139" i="42"/>
  <c r="V141" i="42"/>
  <c r="S141" i="42"/>
  <c r="R142" i="42"/>
  <c r="T140" i="42"/>
  <c r="W140" i="42"/>
  <c r="T141" i="42"/>
  <c r="W141" i="42"/>
  <c r="R143" i="42"/>
  <c r="V142" i="42"/>
  <c r="S142" i="42"/>
  <c r="R144" i="42"/>
  <c r="V143" i="42"/>
  <c r="S143" i="42"/>
  <c r="T142" i="42"/>
  <c r="W142" i="42"/>
  <c r="S144" i="42"/>
  <c r="R145" i="42"/>
  <c r="V144" i="42"/>
  <c r="T143" i="42"/>
  <c r="W143" i="42"/>
  <c r="T144" i="42"/>
  <c r="W144" i="42"/>
  <c r="R146" i="42"/>
  <c r="V145" i="42"/>
  <c r="S145" i="42"/>
  <c r="R147" i="42"/>
  <c r="V146" i="42"/>
  <c r="S146" i="42"/>
  <c r="T145" i="42"/>
  <c r="W145" i="42"/>
  <c r="R148" i="42"/>
  <c r="V147" i="42"/>
  <c r="S147" i="42"/>
  <c r="T146" i="42"/>
  <c r="W146" i="42"/>
  <c r="R149" i="42"/>
  <c r="S148" i="42"/>
  <c r="V148" i="42"/>
  <c r="T147" i="42"/>
  <c r="W147" i="42"/>
  <c r="V149" i="42"/>
  <c r="S149" i="42"/>
  <c r="R150" i="42"/>
  <c r="T148" i="42"/>
  <c r="W148" i="42"/>
  <c r="T149" i="42"/>
  <c r="W149" i="42"/>
  <c r="R151" i="42"/>
  <c r="V150" i="42"/>
  <c r="S150" i="42"/>
  <c r="R152" i="42"/>
  <c r="V151" i="42"/>
  <c r="S151" i="42"/>
  <c r="T150" i="42"/>
  <c r="W150" i="42"/>
  <c r="S152" i="42"/>
  <c r="R153" i="42"/>
  <c r="V152" i="42"/>
  <c r="T151" i="42"/>
  <c r="W151" i="42"/>
  <c r="T152" i="42"/>
  <c r="W152" i="42"/>
  <c r="S153" i="42"/>
  <c r="R154" i="42"/>
  <c r="V153" i="42"/>
  <c r="T153" i="42"/>
  <c r="W153" i="42"/>
  <c r="R155" i="42"/>
  <c r="V154" i="42"/>
  <c r="S154" i="42"/>
  <c r="R156" i="42"/>
  <c r="V155" i="42"/>
  <c r="S155" i="42"/>
  <c r="T154" i="42"/>
  <c r="W154" i="42"/>
  <c r="R157" i="42"/>
  <c r="V156" i="42"/>
  <c r="S156" i="42"/>
  <c r="T155" i="42"/>
  <c r="W155" i="42"/>
  <c r="V157" i="42"/>
  <c r="S157" i="42"/>
  <c r="R158" i="42"/>
  <c r="T156" i="42"/>
  <c r="W156" i="42"/>
  <c r="T157" i="42"/>
  <c r="W157" i="42"/>
  <c r="S158" i="42"/>
  <c r="R159" i="42"/>
  <c r="V158" i="42"/>
  <c r="T158" i="42"/>
  <c r="W158" i="42"/>
  <c r="R160" i="42"/>
  <c r="V159" i="42"/>
  <c r="S159" i="42"/>
  <c r="S160" i="42"/>
  <c r="R161" i="42"/>
  <c r="V160" i="42"/>
  <c r="T159" i="42"/>
  <c r="W159" i="42"/>
  <c r="T160" i="42"/>
  <c r="W160" i="42"/>
  <c r="V161" i="42"/>
  <c r="S161" i="42"/>
  <c r="R162" i="42"/>
  <c r="T161" i="42"/>
  <c r="W161" i="42"/>
  <c r="R163" i="42"/>
  <c r="V162" i="42"/>
  <c r="S162" i="42"/>
  <c r="S163" i="42"/>
  <c r="R164" i="42"/>
  <c r="V163" i="42"/>
  <c r="T162" i="42"/>
  <c r="W162" i="42"/>
  <c r="T163" i="42"/>
  <c r="W163" i="42"/>
  <c r="R165" i="42"/>
  <c r="V164" i="42"/>
  <c r="S164" i="42"/>
  <c r="V165" i="42"/>
  <c r="S165" i="42"/>
  <c r="R166" i="42"/>
  <c r="T164" i="42"/>
  <c r="W164" i="42"/>
  <c r="T165" i="42"/>
  <c r="W165" i="42"/>
  <c r="V166" i="42"/>
  <c r="S166" i="42"/>
  <c r="R167" i="42"/>
  <c r="T166" i="42"/>
  <c r="W166" i="42"/>
  <c r="R168" i="42"/>
  <c r="V167" i="42"/>
  <c r="S167" i="42"/>
  <c r="S168" i="42"/>
  <c r="R169" i="42"/>
  <c r="V168" i="42"/>
  <c r="T167" i="42"/>
  <c r="W167" i="42"/>
  <c r="T168" i="42"/>
  <c r="W168" i="42"/>
  <c r="R170" i="42"/>
  <c r="V169" i="42"/>
  <c r="S169" i="42"/>
  <c r="R171" i="42"/>
  <c r="V170" i="42"/>
  <c r="S170" i="42"/>
  <c r="T169" i="42"/>
  <c r="W169" i="42"/>
  <c r="V171" i="42"/>
  <c r="S171" i="42"/>
  <c r="R172" i="42"/>
  <c r="T170" i="42"/>
  <c r="W170" i="42"/>
  <c r="T171" i="42"/>
  <c r="W171" i="42"/>
  <c r="R173" i="42"/>
  <c r="V172" i="42"/>
  <c r="S172" i="42"/>
  <c r="V173" i="42"/>
  <c r="S173" i="42"/>
  <c r="R174" i="42"/>
  <c r="T172" i="42"/>
  <c r="W172" i="42"/>
  <c r="T173" i="42"/>
  <c r="W173" i="42"/>
  <c r="R175" i="42"/>
  <c r="V174" i="42"/>
  <c r="S174" i="42"/>
  <c r="R176" i="42"/>
  <c r="V175" i="42"/>
  <c r="S175" i="42"/>
  <c r="T174" i="42"/>
  <c r="W174" i="42"/>
  <c r="S176" i="42"/>
  <c r="V176" i="42"/>
  <c r="R177" i="42"/>
  <c r="T175" i="42"/>
  <c r="W175" i="42"/>
  <c r="T176" i="42"/>
  <c r="W176" i="42"/>
  <c r="R178" i="42"/>
  <c r="V177" i="42"/>
  <c r="S177" i="42"/>
  <c r="R179" i="42"/>
  <c r="S178" i="42"/>
  <c r="V178" i="42"/>
  <c r="T177" i="42"/>
  <c r="W177" i="42"/>
  <c r="R180" i="42"/>
  <c r="S179" i="42"/>
  <c r="V179" i="42"/>
  <c r="T178" i="42"/>
  <c r="W178" i="42"/>
  <c r="R181" i="42"/>
  <c r="V180" i="42"/>
  <c r="S180" i="42"/>
  <c r="T179" i="42"/>
  <c r="W179" i="42"/>
  <c r="V181" i="42"/>
  <c r="R182" i="42"/>
  <c r="S181" i="42"/>
  <c r="T180" i="42"/>
  <c r="W180" i="42"/>
  <c r="R183" i="42"/>
  <c r="V182" i="42"/>
  <c r="S182" i="42"/>
  <c r="T181" i="42"/>
  <c r="W181" i="42"/>
  <c r="V183" i="42"/>
  <c r="R184" i="42"/>
  <c r="S183" i="42"/>
  <c r="T182" i="42"/>
  <c r="W182" i="42"/>
  <c r="S184" i="42"/>
  <c r="R185" i="42"/>
  <c r="V184" i="42"/>
  <c r="T183" i="42"/>
  <c r="W183" i="42"/>
  <c r="T184" i="42"/>
  <c r="W184" i="42"/>
  <c r="V185" i="42"/>
  <c r="S185" i="42"/>
  <c r="R186" i="42"/>
  <c r="T185" i="42"/>
  <c r="W185" i="42"/>
  <c r="R187" i="42"/>
  <c r="S186" i="42"/>
  <c r="V186" i="42"/>
  <c r="V187" i="42"/>
  <c r="S187" i="42"/>
  <c r="R188" i="42"/>
  <c r="T186" i="42"/>
  <c r="W186" i="42"/>
  <c r="T187" i="42"/>
  <c r="W187" i="42"/>
  <c r="R189" i="42"/>
  <c r="V188" i="42"/>
  <c r="S188" i="42"/>
  <c r="V189" i="42"/>
  <c r="S189" i="42"/>
  <c r="R190" i="42"/>
  <c r="T188" i="42"/>
  <c r="W188" i="42"/>
  <c r="T189" i="42"/>
  <c r="W189" i="42"/>
  <c r="V190" i="42"/>
  <c r="R191" i="42"/>
  <c r="S190" i="42"/>
  <c r="V191" i="42"/>
  <c r="R192" i="42"/>
  <c r="S191" i="42"/>
  <c r="T190" i="42"/>
  <c r="W190" i="42"/>
  <c r="S192" i="42"/>
  <c r="R193" i="42"/>
  <c r="V192" i="42"/>
  <c r="T191" i="42"/>
  <c r="W191" i="42"/>
  <c r="T192" i="42"/>
  <c r="W192" i="42"/>
  <c r="R194" i="42"/>
  <c r="V193" i="42"/>
  <c r="S193" i="42"/>
  <c r="R195" i="42"/>
  <c r="S194" i="42"/>
  <c r="V194" i="42"/>
  <c r="T193" i="42"/>
  <c r="W193" i="42"/>
  <c r="R196" i="42"/>
  <c r="V195" i="42"/>
  <c r="S195" i="42"/>
  <c r="T194" i="42"/>
  <c r="W194" i="42"/>
  <c r="R197" i="42"/>
  <c r="V196" i="42"/>
  <c r="S196" i="42"/>
  <c r="T195" i="42"/>
  <c r="W195" i="42"/>
  <c r="S197" i="42"/>
  <c r="R198" i="42"/>
  <c r="V197" i="42"/>
  <c r="T196" i="42"/>
  <c r="W196" i="42"/>
  <c r="T197" i="42"/>
  <c r="W197" i="42"/>
  <c r="R199" i="42"/>
  <c r="V198" i="42"/>
  <c r="S198" i="42"/>
  <c r="R200" i="42"/>
  <c r="V199" i="42"/>
  <c r="S199" i="42"/>
  <c r="T198" i="42"/>
  <c r="W198" i="42"/>
  <c r="R201" i="42"/>
  <c r="V200" i="42"/>
  <c r="S200" i="42"/>
  <c r="T199" i="42"/>
  <c r="W199" i="42"/>
  <c r="S201" i="42"/>
  <c r="R202" i="42"/>
  <c r="V201" i="42"/>
  <c r="T200" i="42"/>
  <c r="W200" i="42"/>
  <c r="T201" i="42"/>
  <c r="W201" i="42"/>
  <c r="V202" i="42"/>
  <c r="S202" i="42"/>
  <c r="R203" i="42"/>
  <c r="T202" i="42"/>
  <c r="W202" i="42"/>
  <c r="R204" i="42"/>
  <c r="V203" i="42"/>
  <c r="S203" i="42"/>
  <c r="R205" i="42"/>
  <c r="S204" i="42"/>
  <c r="V204" i="42"/>
  <c r="T203" i="42"/>
  <c r="W203" i="42"/>
  <c r="S205" i="42"/>
  <c r="R206" i="42"/>
  <c r="V205" i="42"/>
  <c r="T204" i="42"/>
  <c r="W204" i="42"/>
  <c r="T205" i="42"/>
  <c r="W205" i="42"/>
  <c r="V206" i="42"/>
  <c r="R207" i="42"/>
  <c r="S206" i="42"/>
  <c r="R208" i="42"/>
  <c r="V207" i="42"/>
  <c r="S207" i="42"/>
  <c r="T206" i="42"/>
  <c r="W206" i="42"/>
  <c r="R209" i="42"/>
  <c r="V208" i="42"/>
  <c r="S208" i="42"/>
  <c r="T207" i="42"/>
  <c r="W207" i="42"/>
  <c r="S209" i="42"/>
  <c r="R210" i="42"/>
  <c r="V209" i="42"/>
  <c r="T208" i="42"/>
  <c r="W208" i="42"/>
  <c r="T209" i="42"/>
  <c r="W209" i="42"/>
  <c r="V210" i="42"/>
  <c r="S210" i="42"/>
  <c r="R211" i="42"/>
  <c r="T210" i="42"/>
  <c r="W210" i="42"/>
  <c r="R212" i="42"/>
  <c r="V211" i="42"/>
  <c r="S211" i="42"/>
  <c r="R213" i="42"/>
  <c r="V212" i="42"/>
  <c r="S212" i="42"/>
  <c r="T211" i="42"/>
  <c r="W211" i="42"/>
  <c r="S213" i="42"/>
  <c r="R214" i="42"/>
  <c r="V213" i="42"/>
  <c r="T212" i="42"/>
  <c r="W212" i="42"/>
  <c r="T213" i="42"/>
  <c r="W213" i="42"/>
  <c r="R215" i="42"/>
  <c r="V214" i="42"/>
  <c r="S214" i="42"/>
  <c r="R216" i="42"/>
  <c r="V215" i="42"/>
  <c r="S215" i="42"/>
  <c r="T214" i="42"/>
  <c r="W214" i="42"/>
  <c r="R217" i="42"/>
  <c r="V216" i="42"/>
  <c r="S216" i="42"/>
  <c r="T215" i="42"/>
  <c r="W215" i="42"/>
  <c r="S217" i="42"/>
  <c r="V217" i="42"/>
  <c r="R218" i="42"/>
  <c r="T216" i="42"/>
  <c r="W216" i="42"/>
  <c r="T217" i="42"/>
  <c r="W217" i="42"/>
  <c r="V218" i="42"/>
  <c r="S218" i="42"/>
  <c r="R219" i="42"/>
  <c r="T218" i="42"/>
  <c r="W218" i="42"/>
  <c r="R220" i="42"/>
  <c r="V219" i="42"/>
  <c r="S219" i="42"/>
  <c r="R221" i="42"/>
  <c r="V220" i="42"/>
  <c r="S220" i="42"/>
  <c r="T219" i="42"/>
  <c r="W219" i="42"/>
  <c r="S221" i="42"/>
  <c r="V221" i="42"/>
  <c r="R222" i="42"/>
  <c r="T220" i="42"/>
  <c r="W220" i="42"/>
  <c r="T221" i="42"/>
  <c r="W221" i="42"/>
  <c r="R223" i="42"/>
  <c r="V222" i="42"/>
  <c r="S222" i="42"/>
  <c r="R224" i="42"/>
  <c r="V223" i="42"/>
  <c r="S223" i="42"/>
  <c r="T222" i="42"/>
  <c r="W222" i="42"/>
  <c r="V224" i="42"/>
  <c r="S224" i="42"/>
  <c r="R225" i="42"/>
  <c r="T223" i="42"/>
  <c r="W223" i="42"/>
  <c r="T224" i="42"/>
  <c r="W224" i="42"/>
  <c r="R226" i="42"/>
  <c r="V225" i="42"/>
  <c r="S225" i="42"/>
  <c r="V226" i="42"/>
  <c r="S226" i="42"/>
  <c r="R227" i="42"/>
  <c r="T225" i="42"/>
  <c r="W225" i="42"/>
  <c r="T226" i="42"/>
  <c r="W226" i="42"/>
  <c r="V227" i="42"/>
  <c r="R228" i="42"/>
  <c r="S227" i="42"/>
  <c r="S228" i="42"/>
  <c r="R229" i="42"/>
  <c r="V228" i="42"/>
  <c r="T227" i="42"/>
  <c r="W227" i="42"/>
  <c r="T228" i="42"/>
  <c r="W228" i="42"/>
  <c r="S229" i="42"/>
  <c r="R230" i="42"/>
  <c r="V229" i="42"/>
  <c r="T229" i="42"/>
  <c r="W229" i="42"/>
  <c r="V230" i="42"/>
  <c r="R231" i="42"/>
  <c r="S230" i="42"/>
  <c r="R232" i="42"/>
  <c r="V231" i="42"/>
  <c r="S231" i="42"/>
  <c r="T230" i="42"/>
  <c r="W230" i="42"/>
  <c r="R233" i="42"/>
  <c r="V232" i="42"/>
  <c r="S232" i="42"/>
  <c r="T231" i="42"/>
  <c r="W231" i="42"/>
  <c r="R234" i="42"/>
  <c r="S233" i="42"/>
  <c r="V233" i="42"/>
  <c r="T232" i="42"/>
  <c r="W232" i="42"/>
  <c r="V234" i="42"/>
  <c r="S234" i="42"/>
  <c r="R235" i="42"/>
  <c r="T233" i="42"/>
  <c r="W233" i="42"/>
  <c r="T234" i="42"/>
  <c r="W234" i="42"/>
  <c r="V235" i="42"/>
  <c r="R236" i="42"/>
  <c r="S235" i="42"/>
  <c r="S236" i="42"/>
  <c r="R237" i="42"/>
  <c r="V236" i="42"/>
  <c r="T235" i="42"/>
  <c r="W235" i="42"/>
  <c r="T236" i="42"/>
  <c r="W236" i="42"/>
  <c r="S237" i="42"/>
  <c r="R238" i="42"/>
  <c r="V237" i="42"/>
  <c r="T237" i="42"/>
  <c r="W237" i="42"/>
  <c r="R239" i="42"/>
  <c r="V238" i="42"/>
  <c r="S238" i="42"/>
  <c r="R240" i="42"/>
  <c r="V239" i="42"/>
  <c r="S239" i="42"/>
  <c r="T238" i="42"/>
  <c r="W238" i="42"/>
  <c r="R241" i="42"/>
  <c r="V240" i="42"/>
  <c r="S240" i="42"/>
  <c r="T239" i="42"/>
  <c r="W239" i="42"/>
  <c r="V241" i="42"/>
  <c r="R242" i="42"/>
  <c r="S241" i="42"/>
  <c r="T240" i="42"/>
  <c r="W240" i="42"/>
  <c r="V242" i="42"/>
  <c r="S242" i="42"/>
  <c r="R243" i="42"/>
  <c r="T241" i="42"/>
  <c r="W241" i="42"/>
  <c r="T242" i="42"/>
  <c r="W242" i="42"/>
  <c r="V243" i="42"/>
  <c r="R244" i="42"/>
  <c r="S243" i="42"/>
  <c r="R245" i="42"/>
  <c r="V244" i="42"/>
  <c r="S244" i="42"/>
  <c r="T243" i="42"/>
  <c r="W243" i="42"/>
  <c r="S245" i="42"/>
  <c r="R246" i="42"/>
  <c r="V245" i="42"/>
  <c r="T244" i="42"/>
  <c r="W244" i="42"/>
  <c r="T245" i="42"/>
  <c r="W245" i="42"/>
  <c r="R247" i="42"/>
  <c r="V246" i="42"/>
  <c r="S246" i="42"/>
  <c r="R248" i="42"/>
  <c r="V247" i="42"/>
  <c r="S247" i="42"/>
  <c r="T246" i="42"/>
  <c r="W246" i="42"/>
  <c r="V248" i="42"/>
  <c r="R249" i="42"/>
  <c r="S248" i="42"/>
  <c r="T247" i="42"/>
  <c r="W247" i="42"/>
  <c r="S249" i="42"/>
  <c r="V249" i="42"/>
  <c r="R250" i="42"/>
  <c r="T248" i="42"/>
  <c r="W248" i="42"/>
  <c r="T249" i="42"/>
  <c r="W249" i="42"/>
  <c r="V250" i="42"/>
  <c r="S250" i="42"/>
  <c r="R251" i="42"/>
  <c r="T250" i="42"/>
  <c r="W250" i="42"/>
  <c r="V251" i="42"/>
  <c r="R252" i="42"/>
  <c r="S251" i="42"/>
  <c r="S252" i="42"/>
  <c r="R253" i="42"/>
  <c r="V252" i="42"/>
  <c r="T251" i="42"/>
  <c r="W251" i="42"/>
  <c r="T252" i="42"/>
  <c r="W252" i="42"/>
  <c r="S253" i="42"/>
  <c r="R254" i="42"/>
  <c r="V253" i="42"/>
  <c r="T253" i="42"/>
  <c r="W253" i="42"/>
  <c r="V254" i="42"/>
  <c r="R255" i="42"/>
  <c r="S254" i="42"/>
  <c r="R256" i="42"/>
  <c r="V255" i="42"/>
  <c r="S255" i="42"/>
  <c r="T254" i="42"/>
  <c r="W254" i="42"/>
  <c r="R257" i="42"/>
  <c r="V256" i="42"/>
  <c r="S256" i="42"/>
  <c r="T255" i="42"/>
  <c r="W255" i="42"/>
  <c r="V257" i="42"/>
  <c r="R258" i="42"/>
  <c r="S257" i="42"/>
  <c r="T256" i="42"/>
  <c r="W256" i="42"/>
  <c r="V258" i="42"/>
  <c r="S258" i="42"/>
  <c r="R259" i="42"/>
  <c r="T257" i="42"/>
  <c r="W257" i="42"/>
  <c r="T258" i="42"/>
  <c r="W258" i="42"/>
  <c r="V259" i="42"/>
  <c r="S259" i="42"/>
  <c r="R260" i="42"/>
  <c r="T259" i="42"/>
  <c r="W259" i="42"/>
  <c r="S260" i="42"/>
  <c r="V260" i="42"/>
  <c r="R261" i="42"/>
  <c r="T260" i="42"/>
  <c r="W260" i="42"/>
  <c r="V261" i="42"/>
  <c r="S261" i="42"/>
  <c r="T261" i="42"/>
  <c r="W261" i="42"/>
  <c r="P7" i="42" l="1"/>
  <c r="L6" i="42"/>
  <c r="P3" i="42"/>
  <c r="J3" i="43" s="1"/>
  <c r="X261" i="42"/>
  <c r="X260" i="42"/>
  <c r="X259" i="42"/>
  <c r="X258" i="42"/>
  <c r="X257" i="42"/>
  <c r="X256" i="42"/>
  <c r="X255" i="42"/>
  <c r="X254" i="42"/>
  <c r="X253" i="42"/>
  <c r="X252" i="42"/>
  <c r="X251" i="42"/>
  <c r="X250" i="42"/>
  <c r="X249" i="42"/>
  <c r="X248" i="42"/>
  <c r="X247" i="42"/>
  <c r="X246" i="42"/>
  <c r="X245" i="42"/>
  <c r="X244" i="42"/>
  <c r="X243" i="42"/>
  <c r="X242" i="42"/>
  <c r="X241" i="42"/>
  <c r="X240" i="42"/>
  <c r="X239" i="42"/>
  <c r="X238" i="42"/>
  <c r="X237" i="42"/>
  <c r="X236" i="42"/>
  <c r="X235" i="42"/>
  <c r="X234" i="42"/>
  <c r="X233" i="42"/>
  <c r="X232" i="42"/>
  <c r="X231" i="42"/>
  <c r="X230" i="42"/>
  <c r="X229" i="42"/>
  <c r="X228" i="42"/>
  <c r="X227" i="42"/>
  <c r="X226" i="42"/>
  <c r="X225" i="42"/>
  <c r="X224" i="42"/>
  <c r="X223" i="42"/>
  <c r="X222" i="42"/>
  <c r="X221" i="42"/>
  <c r="X220" i="42"/>
  <c r="X219" i="42"/>
  <c r="X218" i="42"/>
  <c r="X217" i="42"/>
  <c r="X216" i="42"/>
  <c r="X215" i="42"/>
  <c r="X214" i="42"/>
  <c r="X213" i="42"/>
  <c r="X212" i="42"/>
  <c r="X211" i="42"/>
  <c r="X210" i="42"/>
  <c r="X209" i="42"/>
  <c r="X208" i="42"/>
  <c r="X207" i="42"/>
  <c r="X206" i="42"/>
  <c r="X205" i="42"/>
  <c r="X204" i="42"/>
  <c r="X203" i="42"/>
  <c r="X202" i="42"/>
  <c r="X201" i="42"/>
  <c r="X200" i="42"/>
  <c r="X199" i="42"/>
  <c r="X198" i="42"/>
  <c r="X197" i="42"/>
  <c r="X196" i="42"/>
  <c r="X195" i="42"/>
  <c r="X194" i="42"/>
  <c r="X193" i="42"/>
  <c r="X192" i="42"/>
  <c r="X191" i="42"/>
  <c r="X190" i="42"/>
  <c r="X189" i="42"/>
  <c r="X188" i="42"/>
  <c r="X187" i="42"/>
  <c r="X186" i="42"/>
  <c r="X185" i="42"/>
  <c r="X184" i="42"/>
  <c r="X183" i="42"/>
  <c r="X182" i="42"/>
  <c r="X181" i="42"/>
  <c r="X180" i="42"/>
  <c r="X179" i="42"/>
  <c r="X178" i="42"/>
  <c r="X177" i="42"/>
  <c r="X176" i="42"/>
  <c r="X175" i="42"/>
  <c r="X174" i="42"/>
  <c r="X173" i="42"/>
  <c r="X172" i="42"/>
  <c r="X171" i="42"/>
  <c r="X170" i="42"/>
  <c r="X169" i="42"/>
  <c r="X168" i="42"/>
  <c r="X167" i="42"/>
  <c r="X166" i="42"/>
  <c r="X165" i="42"/>
  <c r="X164" i="42"/>
  <c r="X163" i="42"/>
  <c r="X162" i="42"/>
  <c r="X161" i="42"/>
  <c r="X160" i="42"/>
  <c r="X159" i="42"/>
  <c r="X158" i="42"/>
  <c r="X157" i="42"/>
  <c r="X156" i="42"/>
  <c r="X155" i="42"/>
  <c r="X154" i="42"/>
  <c r="X153" i="42"/>
  <c r="X152" i="42"/>
  <c r="X151" i="42"/>
  <c r="X150" i="42"/>
  <c r="X149" i="42"/>
  <c r="X148" i="42"/>
  <c r="X147" i="42"/>
  <c r="X146" i="42"/>
  <c r="X145" i="42"/>
  <c r="X144" i="42"/>
  <c r="X143" i="42"/>
  <c r="X142" i="42"/>
  <c r="X141" i="42"/>
  <c r="X140" i="42"/>
  <c r="X139" i="42"/>
  <c r="X138" i="42"/>
  <c r="X137" i="42"/>
  <c r="X136" i="42"/>
  <c r="X135" i="42"/>
  <c r="X134" i="42"/>
  <c r="X133" i="42"/>
  <c r="X132" i="42"/>
  <c r="X131" i="42"/>
  <c r="X130" i="42"/>
  <c r="X129" i="42"/>
  <c r="X128" i="42"/>
  <c r="X127" i="42"/>
  <c r="X126" i="42"/>
  <c r="X125" i="42"/>
  <c r="X124" i="42"/>
  <c r="X123" i="42"/>
  <c r="X122" i="42"/>
  <c r="X121" i="42"/>
  <c r="X120" i="42"/>
  <c r="X119" i="42"/>
  <c r="X118" i="42"/>
  <c r="X117" i="42"/>
  <c r="X116" i="42"/>
  <c r="X115" i="42"/>
  <c r="X114" i="42"/>
  <c r="X113" i="42"/>
  <c r="X112" i="42"/>
  <c r="X111" i="42"/>
  <c r="X110" i="42"/>
  <c r="X109" i="42"/>
  <c r="X108" i="42"/>
  <c r="X107" i="42"/>
  <c r="X106" i="42"/>
  <c r="X105" i="42"/>
  <c r="X104" i="42"/>
  <c r="X103" i="42"/>
  <c r="X102" i="42"/>
  <c r="X101" i="42"/>
  <c r="X100" i="42"/>
  <c r="X99" i="42"/>
  <c r="X98" i="42"/>
  <c r="X97" i="42"/>
  <c r="X96" i="42"/>
  <c r="X95" i="42"/>
  <c r="X94" i="42"/>
  <c r="X93" i="42"/>
  <c r="X92" i="42"/>
  <c r="X91" i="42"/>
  <c r="X90" i="42"/>
  <c r="X89" i="42"/>
  <c r="X88" i="42"/>
  <c r="X87" i="42"/>
  <c r="X86" i="42"/>
  <c r="X85" i="42"/>
  <c r="X84" i="42"/>
  <c r="X83" i="42"/>
  <c r="X82" i="42"/>
  <c r="X81" i="42"/>
  <c r="X80" i="42"/>
  <c r="X79" i="42"/>
  <c r="X78" i="42"/>
  <c r="X77" i="42"/>
  <c r="X76" i="42"/>
  <c r="X75" i="42"/>
  <c r="X74" i="42"/>
  <c r="X73" i="42"/>
  <c r="X72" i="42"/>
  <c r="X71" i="42"/>
  <c r="X70" i="42"/>
  <c r="X69" i="42"/>
  <c r="X68" i="42"/>
  <c r="X67" i="42"/>
  <c r="X66" i="42"/>
  <c r="X65" i="42"/>
  <c r="X64" i="42"/>
  <c r="X63" i="42"/>
  <c r="X62" i="42"/>
  <c r="X61" i="42"/>
  <c r="X60" i="42"/>
  <c r="X59" i="42"/>
  <c r="X58" i="42"/>
  <c r="X57" i="42"/>
  <c r="X56" i="42"/>
  <c r="X55" i="42"/>
  <c r="X54" i="42"/>
  <c r="X53" i="42"/>
  <c r="X52" i="42"/>
  <c r="X51" i="42"/>
  <c r="X50" i="42"/>
  <c r="X49" i="42"/>
  <c r="X48" i="42"/>
  <c r="X47" i="42"/>
  <c r="X46" i="42"/>
  <c r="X45" i="42"/>
  <c r="X44" i="42"/>
  <c r="X43" i="42"/>
  <c r="X42" i="42"/>
  <c r="X41" i="42"/>
  <c r="X40" i="42"/>
  <c r="X39" i="42"/>
  <c r="X38" i="42"/>
  <c r="X37" i="42"/>
  <c r="X36" i="42"/>
  <c r="X35" i="42"/>
  <c r="X34" i="42"/>
  <c r="X33" i="42"/>
  <c r="X32" i="42"/>
  <c r="X31" i="42"/>
  <c r="X30" i="42"/>
  <c r="X29" i="42"/>
  <c r="X28" i="42"/>
  <c r="X27" i="42"/>
  <c r="X26" i="42"/>
  <c r="X25" i="42"/>
  <c r="X24" i="42"/>
  <c r="X23" i="42"/>
  <c r="X22" i="42"/>
  <c r="X21" i="42"/>
  <c r="X20" i="42"/>
  <c r="X19" i="42"/>
  <c r="X18" i="42"/>
  <c r="X17" i="42"/>
  <c r="X16" i="42"/>
  <c r="X15" i="42"/>
  <c r="X14" i="42"/>
  <c r="X13" i="42"/>
  <c r="X12" i="42"/>
  <c r="X11" i="42"/>
  <c r="X10" i="42"/>
  <c r="X9" i="42"/>
  <c r="X8" i="42"/>
  <c r="X7" i="42"/>
  <c r="X6" i="42"/>
  <c r="X5" i="42"/>
  <c r="X4" i="42"/>
  <c r="L12" i="42"/>
  <c r="P12" i="42"/>
  <c r="Q10" i="48"/>
  <c r="Q9" i="48"/>
  <c r="Q4" i="48"/>
  <c r="Q5" i="48"/>
  <c r="Q3" i="48"/>
  <c r="Q13" i="48"/>
  <c r="W13" i="48" s="1"/>
  <c r="O5" i="48"/>
  <c r="O4" i="48"/>
  <c r="O3" i="48"/>
  <c r="P9" i="42"/>
  <c r="L9" i="42"/>
  <c r="P10" i="42"/>
  <c r="L10" i="42"/>
  <c r="T5" i="43"/>
  <c r="T3" i="43"/>
  <c r="T4" i="43"/>
  <c r="T10" i="43"/>
  <c r="T9" i="43"/>
  <c r="P13" i="42"/>
  <c r="L13" i="42"/>
  <c r="P9" i="48"/>
  <c r="P10" i="48"/>
  <c r="P3" i="48"/>
  <c r="P5" i="48"/>
  <c r="P4" i="48"/>
  <c r="S5" i="39"/>
  <c r="S4" i="39"/>
  <c r="S3" i="39"/>
  <c r="L14" i="42"/>
  <c r="P14" i="42"/>
  <c r="T9" i="39"/>
  <c r="T10" i="39"/>
  <c r="T5" i="39"/>
  <c r="T3" i="39"/>
  <c r="T4" i="39"/>
  <c r="L8" i="42"/>
  <c r="P8" i="42"/>
  <c r="U13" i="39"/>
  <c r="AA13" i="39" s="1"/>
  <c r="U3" i="39"/>
  <c r="U5" i="39"/>
  <c r="U4" i="39"/>
  <c r="U10" i="39"/>
  <c r="U9" i="39"/>
  <c r="L11" i="42"/>
  <c r="P11" i="42"/>
  <c r="P15" i="42"/>
  <c r="L15" i="42"/>
  <c r="X3" i="42"/>
  <c r="S3" i="43"/>
  <c r="S4" i="43"/>
  <c r="S5" i="43"/>
  <c r="U13" i="43"/>
  <c r="AA13" i="43" s="1"/>
  <c r="U9" i="43"/>
  <c r="U10" i="43"/>
  <c r="U3" i="43"/>
  <c r="U4" i="43"/>
  <c r="U5" i="43"/>
  <c r="L5" i="42"/>
  <c r="P4" i="42"/>
  <c r="AA3" i="43" l="1" a="1"/>
  <c r="AA9" i="43" a="1"/>
  <c r="AA9" i="39" a="1"/>
  <c r="AA3" i="39" a="1"/>
  <c r="W3" i="48" a="1"/>
  <c r="W9" i="48" a="1"/>
  <c r="X10" i="48" l="1"/>
  <c r="W9" i="48"/>
  <c r="X9" i="48"/>
  <c r="W10" i="48"/>
  <c r="W5" i="48"/>
  <c r="W3" i="48"/>
  <c r="X4" i="48"/>
  <c r="Y5" i="48"/>
  <c r="Y3" i="48"/>
  <c r="W4" i="48"/>
  <c r="X5" i="48"/>
  <c r="Y4" i="48"/>
  <c r="X3" i="48"/>
  <c r="AB4" i="39"/>
  <c r="AA5" i="39"/>
  <c r="AC4" i="39"/>
  <c r="AC3" i="39"/>
  <c r="AA4" i="39"/>
  <c r="AB3" i="39"/>
  <c r="AA3" i="39"/>
  <c r="AB5" i="39"/>
  <c r="AC5" i="39"/>
  <c r="AB10" i="39"/>
  <c r="AB9" i="39"/>
  <c r="AA10" i="39"/>
  <c r="AA9" i="39"/>
  <c r="AB9" i="43"/>
  <c r="AA10" i="43"/>
  <c r="AB10" i="43"/>
  <c r="AA9" i="43"/>
  <c r="AA3" i="43"/>
  <c r="AB5" i="43"/>
  <c r="AB4" i="43"/>
  <c r="AA4" i="43"/>
  <c r="AB3" i="43"/>
  <c r="AA5" i="43"/>
  <c r="AC5" i="43"/>
  <c r="AC3" i="43"/>
  <c r="AC4" i="43"/>
  <c r="Q13" i="45" a="1"/>
  <c r="Q20" i="45"/>
  <c r="Q16" i="45"/>
  <c r="Q13" i="45"/>
  <c r="Q19" i="45"/>
  <c r="Q14" i="45"/>
  <c r="Q17" i="45"/>
  <c r="Q21" i="45"/>
  <c r="Q18" i="45"/>
  <c r="Q15" i="45"/>
  <c r="Q11" i="52" a="1"/>
  <c r="Q13" i="52"/>
  <c r="Q18" i="52"/>
  <c r="Q11" i="52"/>
  <c r="Q17" i="52"/>
  <c r="Q19" i="52"/>
  <c r="Q16" i="52"/>
  <c r="Q14" i="52"/>
  <c r="Q15" i="52"/>
  <c r="Q12" i="52"/>
  <c r="N1" i="42"/>
  <c r="N12" i="42"/>
  <c r="U10" i="42"/>
  <c r="U67" i="42"/>
  <c r="U225" i="42"/>
  <c r="U260" i="42"/>
  <c r="N9" i="42"/>
  <c r="U157" i="42"/>
  <c r="U153" i="42"/>
  <c r="U46" i="42"/>
  <c r="U222" i="42"/>
  <c r="U256" i="42"/>
  <c r="N15" i="42"/>
  <c r="U39" i="42"/>
  <c r="U232" i="42"/>
  <c r="U25" i="42"/>
  <c r="U107" i="42"/>
  <c r="U159" i="42"/>
  <c r="U36" i="42"/>
  <c r="U168" i="42"/>
  <c r="U8" i="42"/>
  <c r="U184" i="42"/>
  <c r="U60" i="42"/>
  <c r="U43" i="42"/>
  <c r="U130" i="42"/>
  <c r="U201" i="42"/>
  <c r="J7" i="43"/>
  <c r="U63" i="42"/>
  <c r="U207" i="42"/>
  <c r="U92" i="42"/>
  <c r="U56" i="42"/>
  <c r="U93" i="42"/>
  <c r="U119" i="42"/>
  <c r="U191" i="42"/>
  <c r="U14" i="42"/>
  <c r="U253" i="42"/>
  <c r="U199" i="42"/>
  <c r="U203" i="42"/>
  <c r="U180" i="42"/>
  <c r="U155" i="42"/>
  <c r="U28" i="42"/>
  <c r="N8" i="42"/>
  <c r="U172" i="42"/>
  <c r="U96" i="42"/>
  <c r="N10" i="42"/>
  <c r="U179" i="42"/>
  <c r="U148" i="42"/>
  <c r="U206" i="42"/>
  <c r="U111" i="42"/>
  <c r="U252" i="42"/>
  <c r="N4" i="42"/>
  <c r="U132" i="42"/>
  <c r="U35" i="42"/>
  <c r="U245" i="42"/>
  <c r="U9" i="42"/>
  <c r="U166" i="42"/>
  <c r="U233" i="42"/>
  <c r="U147" i="42"/>
  <c r="U78" i="42"/>
  <c r="U216" i="42"/>
  <c r="U15" i="42"/>
  <c r="N13" i="42"/>
  <c r="U215" i="42"/>
  <c r="U125" i="42"/>
  <c r="U103" i="42"/>
  <c r="U53" i="42"/>
  <c r="U251" i="42"/>
  <c r="U145" i="42"/>
  <c r="U89" i="42"/>
  <c r="U16" i="42"/>
  <c r="U11" i="42"/>
  <c r="U181" i="42"/>
  <c r="U196" i="42"/>
  <c r="U144" i="42"/>
  <c r="N11" i="42"/>
  <c r="U68" i="42"/>
  <c r="U66" i="42"/>
  <c r="U212" i="42"/>
  <c r="J4" i="43"/>
  <c r="U165" i="42"/>
  <c r="U51" i="42"/>
  <c r="U50" i="42"/>
  <c r="U100" i="42"/>
  <c r="U42" i="42"/>
  <c r="U38" i="42"/>
  <c r="U158" i="42"/>
  <c r="U174" i="42"/>
  <c r="U223" i="42"/>
  <c r="U104" i="42"/>
  <c r="U41" i="42"/>
  <c r="U162" i="42"/>
  <c r="U170" i="42"/>
  <c r="U84" i="42"/>
  <c r="U217" i="42"/>
  <c r="U86" i="42"/>
  <c r="U257" i="42"/>
  <c r="U91" i="42"/>
  <c r="U70" i="42"/>
  <c r="U254" i="42"/>
  <c r="U72" i="42"/>
  <c r="U183" i="42"/>
  <c r="U246" i="42"/>
  <c r="U211" i="42"/>
  <c r="U77" i="42"/>
  <c r="U55" i="42"/>
  <c r="U176" i="42"/>
  <c r="U151" i="42"/>
  <c r="U129" i="42"/>
  <c r="U228" i="42"/>
  <c r="U29" i="42"/>
  <c r="U87" i="42"/>
  <c r="U82" i="42"/>
  <c r="U237" i="42"/>
  <c r="U171" i="42"/>
  <c r="U26" i="42"/>
  <c r="U139" i="42"/>
  <c r="U198" i="42"/>
  <c r="U236" i="42"/>
  <c r="U49" i="42"/>
  <c r="U18" i="42"/>
  <c r="U81" i="42"/>
  <c r="U61" i="42"/>
  <c r="U110" i="42"/>
  <c r="U47" i="42"/>
  <c r="U195" i="42"/>
  <c r="U259" i="42"/>
  <c r="U133" i="42"/>
  <c r="U189" i="42"/>
  <c r="U94" i="42"/>
  <c r="U114" i="42"/>
  <c r="U121" i="42"/>
  <c r="U200" i="42"/>
  <c r="U95" i="42"/>
  <c r="J5" i="43"/>
  <c r="U102" i="42"/>
  <c r="U192" i="42"/>
  <c r="U3" i="42"/>
  <c r="U175" i="42"/>
  <c r="U231" i="42"/>
  <c r="U13" i="42"/>
  <c r="U167" i="42"/>
  <c r="U44" i="42"/>
  <c r="U131" i="42"/>
  <c r="U7" i="42"/>
  <c r="U204" i="42"/>
  <c r="U32" i="42"/>
  <c r="U112" i="42"/>
  <c r="U126" i="42"/>
  <c r="U250" i="42"/>
  <c r="U240" i="42"/>
  <c r="J6" i="43"/>
  <c r="U255" i="42"/>
  <c r="U218" i="42"/>
  <c r="U173" i="42"/>
  <c r="U161" i="42"/>
  <c r="U6" i="42"/>
  <c r="U37" i="42"/>
  <c r="U4" i="42"/>
  <c r="U120" i="42"/>
  <c r="U239" i="42"/>
  <c r="U140" i="42"/>
  <c r="U58" i="42"/>
  <c r="U83" i="42"/>
  <c r="U64" i="42"/>
  <c r="U45" i="42"/>
  <c r="U149" i="42"/>
  <c r="U127" i="42"/>
  <c r="U128" i="42"/>
  <c r="U186" i="42"/>
  <c r="U109" i="42"/>
  <c r="U118" i="42"/>
  <c r="U65" i="42"/>
  <c r="U241" i="42"/>
  <c r="U219" i="42"/>
  <c r="U90" i="42"/>
  <c r="U134" i="42"/>
  <c r="U80" i="42"/>
  <c r="U59" i="42"/>
  <c r="U220" i="42"/>
  <c r="U226" i="42"/>
  <c r="U73" i="42"/>
  <c r="U202" i="42"/>
  <c r="U247" i="42"/>
  <c r="U213" i="42"/>
  <c r="U227" i="42"/>
  <c r="N14" i="42"/>
  <c r="U160" i="42"/>
  <c r="U75" i="42"/>
  <c r="U115" i="42"/>
  <c r="U71" i="42"/>
  <c r="U137" i="42"/>
  <c r="U221" i="42"/>
  <c r="U5" i="42"/>
  <c r="U30" i="42"/>
  <c r="U124" i="42"/>
  <c r="U190" i="42"/>
  <c r="U163" i="42"/>
  <c r="U248" i="42"/>
  <c r="U146" i="42"/>
  <c r="U156" i="42"/>
  <c r="U17" i="42"/>
  <c r="U85" i="42"/>
  <c r="U48" i="42"/>
  <c r="U74" i="42"/>
  <c r="U188" i="42"/>
  <c r="U185" i="42"/>
  <c r="U193" i="42"/>
  <c r="U177" i="42"/>
  <c r="U79" i="42"/>
  <c r="U229" i="42"/>
  <c r="U182" i="42"/>
  <c r="U19" i="42"/>
  <c r="U62" i="42"/>
  <c r="U208" i="42"/>
  <c r="N7" i="42"/>
  <c r="U243" i="42"/>
  <c r="U21" i="42"/>
  <c r="U142" i="42"/>
  <c r="N5" i="42"/>
  <c r="U40" i="42"/>
  <c r="U99" i="42"/>
  <c r="U136" i="42"/>
  <c r="U154" i="42"/>
  <c r="U194" i="42"/>
  <c r="U98" i="42"/>
  <c r="U169" i="42"/>
  <c r="U210" i="42"/>
  <c r="U97" i="42"/>
  <c r="U52" i="42"/>
  <c r="U197" i="42"/>
  <c r="U244" i="42"/>
  <c r="U106" i="42"/>
  <c r="U31" i="42"/>
  <c r="U209" i="42"/>
  <c r="U69" i="42"/>
  <c r="U214" i="42"/>
  <c r="U20" i="42"/>
  <c r="U164" i="42"/>
  <c r="U33" i="42"/>
  <c r="U76" i="42"/>
  <c r="U24" i="42"/>
  <c r="U141" i="42"/>
  <c r="U22" i="42"/>
  <c r="U224" i="42"/>
  <c r="U249" i="42"/>
  <c r="U135" i="42"/>
  <c r="U34" i="42"/>
  <c r="U12" i="42"/>
  <c r="U57" i="42"/>
  <c r="U235" i="42"/>
  <c r="U138" i="42"/>
  <c r="U238" i="42"/>
  <c r="U122" i="42"/>
  <c r="U234" i="42"/>
  <c r="U105" i="42"/>
  <c r="U54" i="42"/>
  <c r="U113" i="42"/>
  <c r="U242" i="42"/>
  <c r="N6" i="42"/>
  <c r="U261" i="42"/>
  <c r="U150" i="42"/>
  <c r="U116" i="42"/>
  <c r="U143" i="42"/>
  <c r="U27" i="42"/>
  <c r="U187" i="42"/>
  <c r="U152" i="42"/>
  <c r="U88" i="42"/>
  <c r="N3" i="42"/>
  <c r="U178" i="42"/>
  <c r="U101" i="42"/>
  <c r="U230" i="42"/>
  <c r="U117" i="42"/>
  <c r="U23" i="42"/>
  <c r="U258" i="42"/>
  <c r="U108" i="42"/>
  <c r="U205" i="42"/>
  <c r="U123" i="42"/>
  <c r="Y224" i="42"/>
  <c r="Y249" i="42"/>
  <c r="Y135" i="42"/>
  <c r="Y34" i="42"/>
  <c r="Y12" i="42"/>
  <c r="Y57" i="42"/>
  <c r="Y235" i="42"/>
  <c r="Y138" i="42"/>
  <c r="Y238" i="42"/>
  <c r="Y122" i="42"/>
  <c r="Y234" i="42"/>
  <c r="Y105" i="42"/>
  <c r="Y54" i="42"/>
  <c r="Y113" i="42"/>
  <c r="Y242" i="42"/>
  <c r="Y261" i="42"/>
  <c r="Y150" i="42"/>
  <c r="Y116" i="42"/>
  <c r="Y143" i="42"/>
  <c r="Y27" i="42"/>
  <c r="Y187" i="42"/>
  <c r="Y152" i="42"/>
  <c r="Y88" i="42"/>
  <c r="Y178" i="42"/>
  <c r="Y101" i="42"/>
  <c r="Y230" i="42"/>
  <c r="Y117" i="42"/>
  <c r="Y23" i="42"/>
  <c r="Y258" i="42"/>
  <c r="Y108" i="42"/>
  <c r="Y205" i="42"/>
  <c r="Y123" i="42"/>
  <c r="Y247" i="42"/>
  <c r="Y202" i="42"/>
  <c r="Y41" i="42"/>
  <c r="Y163" i="42"/>
  <c r="Y226" i="42"/>
  <c r="Y223" i="42"/>
  <c r="Y174" i="42"/>
  <c r="Y59" i="42"/>
  <c r="Y80" i="42"/>
  <c r="Y134" i="42"/>
  <c r="Y42" i="42"/>
  <c r="Y100" i="42"/>
  <c r="Y50" i="42"/>
  <c r="Y51" i="42"/>
  <c r="Y118" i="42"/>
  <c r="Y109" i="42"/>
  <c r="Y5" i="42"/>
  <c r="Y127" i="42"/>
  <c r="Y149" i="42"/>
  <c r="Y45" i="42"/>
  <c r="Y64" i="42"/>
  <c r="Y58" i="42"/>
  <c r="Y140" i="42"/>
  <c r="Y181" i="42"/>
  <c r="Y11" i="42"/>
  <c r="Y16" i="42"/>
  <c r="Y89" i="42"/>
  <c r="Y37" i="42"/>
  <c r="Y6" i="42"/>
  <c r="Y53" i="42"/>
  <c r="Y103" i="42"/>
  <c r="Y218" i="42"/>
  <c r="Y255" i="42"/>
  <c r="Y240" i="42"/>
  <c r="Y250" i="42"/>
  <c r="Y126" i="42"/>
  <c r="Y112" i="42"/>
  <c r="Y233" i="42"/>
  <c r="Y166" i="42"/>
  <c r="Y9" i="42"/>
  <c r="Y245" i="42"/>
  <c r="Y35" i="42"/>
  <c r="Y132" i="42"/>
  <c r="Y13" i="42"/>
  <c r="Y252" i="42"/>
  <c r="Y111" i="42"/>
  <c r="Y3" i="42"/>
  <c r="Y148" i="42"/>
  <c r="Y55" i="42"/>
  <c r="Y79" i="42"/>
  <c r="Y77" i="42"/>
  <c r="Y221" i="42"/>
  <c r="Y211" i="42"/>
  <c r="Y177" i="42"/>
  <c r="Y137" i="42"/>
  <c r="Y246" i="42"/>
  <c r="Y193" i="42"/>
  <c r="Y71" i="42"/>
  <c r="Y183" i="42"/>
  <c r="Y185" i="42"/>
  <c r="Y115" i="42"/>
  <c r="Y188" i="42"/>
  <c r="Y72" i="42"/>
  <c r="Y75" i="42"/>
  <c r="Y74" i="42"/>
  <c r="Y254" i="42"/>
  <c r="Y160" i="42"/>
  <c r="Y48" i="42"/>
  <c r="Y70" i="42"/>
  <c r="Y91" i="42"/>
  <c r="Y85" i="42"/>
  <c r="Y257" i="42"/>
  <c r="Y17" i="42"/>
  <c r="Y227" i="42"/>
  <c r="Y86" i="42"/>
  <c r="Y156" i="42"/>
  <c r="Y217" i="42"/>
  <c r="Y213" i="42"/>
  <c r="Y84" i="42"/>
  <c r="Y146" i="42"/>
  <c r="Y170" i="42"/>
  <c r="Y162" i="42"/>
  <c r="Y248" i="42"/>
  <c r="Y73" i="42"/>
  <c r="Y104" i="42"/>
  <c r="Y190" i="42"/>
  <c r="Y220" i="42"/>
  <c r="Y124" i="42"/>
  <c r="Y158" i="42"/>
  <c r="Y38" i="42"/>
  <c r="Y30" i="42"/>
  <c r="Y90" i="42"/>
  <c r="Y219" i="42"/>
  <c r="Y241" i="42"/>
  <c r="Y65" i="42"/>
  <c r="Y165" i="42"/>
  <c r="Y186" i="42"/>
  <c r="Y128" i="42"/>
  <c r="Y212" i="42"/>
  <c r="Y66" i="42"/>
  <c r="Y68" i="42"/>
  <c r="Y83" i="42"/>
  <c r="Y144" i="42"/>
  <c r="Y196" i="42"/>
  <c r="Y239" i="42"/>
  <c r="Y120" i="42"/>
  <c r="Y4" i="42"/>
  <c r="Y145" i="42"/>
  <c r="Y251" i="42"/>
  <c r="Y161" i="42"/>
  <c r="Y173" i="42"/>
  <c r="Y125" i="42"/>
  <c r="Y215" i="42"/>
  <c r="Y15" i="42"/>
  <c r="Y216" i="42"/>
  <c r="Y78" i="42"/>
  <c r="Y147" i="42"/>
  <c r="Y32" i="42"/>
  <c r="Y204" i="42"/>
  <c r="Y7" i="42"/>
  <c r="Y131" i="42"/>
  <c r="Y44" i="42"/>
  <c r="Y167" i="42"/>
  <c r="Y231" i="42"/>
  <c r="Y175" i="42"/>
  <c r="Y206" i="42"/>
  <c r="Y192" i="42"/>
  <c r="Y19" i="42"/>
  <c r="Y43" i="42"/>
  <c r="Y203" i="42"/>
  <c r="Y40" i="42"/>
  <c r="Y168" i="42"/>
  <c r="Y191" i="42"/>
  <c r="Y97" i="42"/>
  <c r="Y92" i="42"/>
  <c r="Y214" i="42"/>
  <c r="Y63" i="42"/>
  <c r="Y198" i="42"/>
  <c r="Y26" i="42"/>
  <c r="Y49" i="42"/>
  <c r="Y139" i="42"/>
  <c r="Y210" i="42"/>
  <c r="Y61" i="42"/>
  <c r="Y225" i="42"/>
  <c r="Y28" i="42"/>
  <c r="Y136" i="42"/>
  <c r="Y197" i="42"/>
  <c r="Y76" i="42"/>
  <c r="Y201" i="42"/>
  <c r="Y200" i="42"/>
  <c r="Y29" i="42"/>
  <c r="Y189" i="42"/>
  <c r="Y154" i="42"/>
  <c r="Y159" i="42"/>
  <c r="Y47" i="42"/>
  <c r="Y244" i="42"/>
  <c r="Y222" i="42"/>
  <c r="Y18" i="42"/>
  <c r="Y260" i="42"/>
  <c r="Y67" i="42"/>
  <c r="Y99" i="42"/>
  <c r="Y195" i="42"/>
  <c r="Y256" i="42"/>
  <c r="Y102" i="42"/>
  <c r="Y184" i="42"/>
  <c r="Y93" i="42"/>
  <c r="Y10" i="42"/>
  <c r="Y60" i="42"/>
  <c r="Y199" i="42"/>
  <c r="Y119" i="42"/>
  <c r="Y207" i="42"/>
  <c r="Y141" i="42"/>
  <c r="Y229" i="42"/>
  <c r="Y237" i="42"/>
  <c r="Y180" i="42"/>
  <c r="Y142" i="42"/>
  <c r="Y8" i="42"/>
  <c r="Y14" i="42"/>
  <c r="Y169" i="42"/>
  <c r="Y232" i="42"/>
  <c r="Y56" i="42"/>
  <c r="Y209" i="42"/>
  <c r="Y157" i="42"/>
  <c r="Y33" i="42"/>
  <c r="Y24" i="42"/>
  <c r="Y22" i="42"/>
  <c r="Y94" i="42"/>
  <c r="Y151" i="42"/>
  <c r="Y52" i="42"/>
  <c r="Y20" i="42"/>
  <c r="Y96" i="42"/>
  <c r="Y253" i="42"/>
  <c r="Y107" i="42"/>
  <c r="Y106" i="42"/>
  <c r="Y46" i="42"/>
  <c r="Y236" i="42"/>
  <c r="Y259" i="42"/>
  <c r="Y39" i="42"/>
  <c r="Y208" i="42"/>
  <c r="Y36" i="42"/>
  <c r="Y176" i="42"/>
  <c r="Y164" i="42"/>
  <c r="Y95" i="42"/>
  <c r="Y62" i="42"/>
  <c r="Y87" i="42"/>
  <c r="Y81" i="42"/>
  <c r="Y171" i="42"/>
  <c r="Y155" i="42"/>
  <c r="Y243" i="42"/>
  <c r="Y194" i="42"/>
  <c r="Y182" i="42"/>
  <c r="Y82" i="42"/>
  <c r="Y114" i="42"/>
  <c r="Y129" i="42"/>
  <c r="Y69" i="42"/>
  <c r="Y130" i="42"/>
  <c r="Y121" i="42"/>
  <c r="Y21" i="42"/>
  <c r="Y228" i="42"/>
  <c r="Y133" i="42"/>
  <c r="Y98" i="42"/>
  <c r="Y25" i="42"/>
  <c r="Y110" i="42"/>
  <c r="Y31" i="42"/>
  <c r="Y153" i="42"/>
  <c r="Y179" i="42"/>
  <c r="Y172" i="42"/>
  <c r="U13" i="48" a="1"/>
  <c r="U13" i="48"/>
  <c r="S13" i="48"/>
  <c r="Y9" i="43" a="1"/>
  <c r="Y10" i="43"/>
  <c r="AD16" i="48"/>
  <c r="AD24" i="48"/>
  <c r="AD61" i="48"/>
  <c r="AD28" i="48"/>
  <c r="AD29" i="48"/>
  <c r="AD9" i="48"/>
  <c r="AD39" i="48"/>
  <c r="AD36" i="48"/>
  <c r="AD35" i="48"/>
  <c r="AD34" i="48"/>
  <c r="AD30" i="48"/>
  <c r="AD33" i="48"/>
  <c r="AD64" i="48"/>
  <c r="AD41" i="48"/>
  <c r="AD58" i="48"/>
  <c r="AD56" i="48"/>
  <c r="AD54" i="48"/>
  <c r="AD25" i="48"/>
  <c r="Y9" i="43"/>
  <c r="AD63" i="48"/>
  <c r="AD38" i="48"/>
  <c r="AD19" i="48"/>
  <c r="AD5" i="48"/>
  <c r="AD8" i="48"/>
  <c r="AD11" i="48"/>
  <c r="AD55" i="48"/>
  <c r="AD4" i="48"/>
  <c r="AD51" i="48"/>
  <c r="AD7" i="48"/>
  <c r="AD15" i="48"/>
  <c r="AD44" i="48"/>
  <c r="AD26" i="48"/>
  <c r="AD6" i="48"/>
  <c r="AD23" i="48"/>
  <c r="AD57" i="48"/>
  <c r="AD42" i="48"/>
  <c r="AD18" i="48"/>
  <c r="AD45" i="48"/>
  <c r="AD40" i="48"/>
  <c r="AD52" i="48"/>
  <c r="AD31" i="48"/>
  <c r="AD49" i="48"/>
  <c r="AD62" i="48"/>
  <c r="AD47" i="48"/>
  <c r="AD48" i="48"/>
  <c r="AD50" i="48"/>
  <c r="AD22" i="48"/>
  <c r="AD53" i="48"/>
  <c r="AD59" i="48"/>
  <c r="AD17" i="48"/>
  <c r="AD46" i="48"/>
  <c r="AD21" i="48"/>
  <c r="AD3" i="48"/>
  <c r="AD10" i="48"/>
  <c r="AD43" i="48"/>
  <c r="AD37" i="48"/>
  <c r="AD13" i="48"/>
  <c r="AD20" i="48"/>
  <c r="AD12" i="48"/>
  <c r="AD27" i="48"/>
  <c r="AD14" i="48"/>
  <c r="AD32" i="48"/>
  <c r="AD60" i="48"/>
  <c r="U9" i="48" a="1"/>
  <c r="U10" i="48"/>
  <c r="U9" i="48"/>
  <c r="U3" i="48" a="1"/>
  <c r="S9" i="48" l="1" a="1"/>
  <c r="S10" i="48" s="1"/>
  <c r="U4" i="48"/>
  <c r="U3" i="48"/>
  <c r="U5" i="48"/>
  <c r="S3" i="48" s="1" a="1"/>
  <c r="Y3" i="43" a="1"/>
  <c r="S9" i="48" l="1"/>
  <c r="AE7" i="48" s="1"/>
  <c r="AE11" i="48"/>
  <c r="AE55" i="48"/>
  <c r="AE26" i="48"/>
  <c r="AE34" i="48"/>
  <c r="AE33" i="48"/>
  <c r="AE39" i="48"/>
  <c r="AE4" i="48"/>
  <c r="AE57" i="48"/>
  <c r="AE58" i="48"/>
  <c r="AE51" i="48"/>
  <c r="AE53" i="48"/>
  <c r="AE16" i="48"/>
  <c r="AE14" i="48"/>
  <c r="Y3" i="43"/>
  <c r="AE60" i="48"/>
  <c r="AE15" i="48"/>
  <c r="Y4" i="43"/>
  <c r="AE30" i="48"/>
  <c r="AE62" i="48"/>
  <c r="AE37" i="48"/>
  <c r="AE32" i="48"/>
  <c r="AE50" i="48"/>
  <c r="AE19" i="48"/>
  <c r="AE27" i="48"/>
  <c r="AE23" i="48"/>
  <c r="AE31" i="48"/>
  <c r="AE13" i="48"/>
  <c r="AE21" i="48"/>
  <c r="AE64" i="48"/>
  <c r="AE24" i="48"/>
  <c r="AE44" i="48"/>
  <c r="S3" i="48"/>
  <c r="AE25" i="48"/>
  <c r="AE49" i="48"/>
  <c r="S4" i="48"/>
  <c r="AE6" i="48"/>
  <c r="AE41" i="48"/>
  <c r="AE59" i="48"/>
  <c r="AE40" i="48"/>
  <c r="AE63" i="48"/>
  <c r="AE47" i="48"/>
  <c r="AE35" i="48"/>
  <c r="AE36" i="48"/>
  <c r="AE46" i="48"/>
  <c r="AE9" i="48"/>
  <c r="AE17" i="48"/>
  <c r="AE45" i="48"/>
  <c r="AE38" i="48"/>
  <c r="AE52" i="48"/>
  <c r="AE42" i="48"/>
  <c r="AE54" i="48"/>
  <c r="AE56" i="48"/>
  <c r="AE12" i="48"/>
  <c r="AE28" i="48"/>
  <c r="Y5" i="43"/>
  <c r="AE48" i="48"/>
  <c r="AE29" i="48"/>
  <c r="AE18" i="48"/>
  <c r="AE22" i="48"/>
  <c r="AE10" i="48"/>
  <c r="AE43" i="48"/>
  <c r="AE20" i="48"/>
  <c r="AE3" i="48"/>
  <c r="AE8" i="48"/>
  <c r="AE61" i="48"/>
  <c r="AE5" i="48"/>
  <c r="S5" i="48"/>
  <c r="Y13" i="43" a="1"/>
  <c r="Y13" i="43"/>
  <c r="W13" i="43" s="1"/>
  <c r="AF44" i="48"/>
  <c r="AF46" i="48"/>
  <c r="AF20" i="48"/>
  <c r="AF60" i="48"/>
  <c r="AF12" i="48"/>
  <c r="AF15" i="48"/>
  <c r="AF28" i="48"/>
  <c r="AF10" i="48"/>
  <c r="AF11" i="48"/>
  <c r="AF48" i="48"/>
  <c r="AF17" i="48"/>
  <c r="AF37" i="48"/>
  <c r="AF62" i="48"/>
  <c r="AF22" i="48"/>
  <c r="AF50" i="48"/>
  <c r="AF43" i="48"/>
  <c r="AF58" i="48"/>
  <c r="AF5" i="48"/>
  <c r="AF32" i="48"/>
  <c r="AF9" i="48"/>
  <c r="AF31" i="48"/>
  <c r="AF53" i="48"/>
  <c r="AF57" i="48"/>
  <c r="AF24" i="48"/>
  <c r="AF19" i="48"/>
  <c r="AF3" i="48"/>
  <c r="AF61" i="48"/>
  <c r="AF26" i="48"/>
  <c r="AF25" i="48"/>
  <c r="AF63" i="48"/>
  <c r="AF16" i="48"/>
  <c r="AF49" i="48"/>
  <c r="AF54" i="48"/>
  <c r="AF59" i="48"/>
  <c r="AF40" i="48"/>
  <c r="AF36" i="48"/>
  <c r="AF64" i="48"/>
  <c r="AF18" i="48"/>
  <c r="AF55" i="48"/>
  <c r="AF52" i="48"/>
  <c r="AF56" i="48"/>
  <c r="AF23" i="48"/>
  <c r="AF21" i="48"/>
  <c r="AF42" i="48"/>
  <c r="AF45" i="48"/>
  <c r="AF38" i="48"/>
  <c r="AF41" i="48"/>
  <c r="AF47" i="48"/>
  <c r="AF13" i="48"/>
  <c r="AF4" i="48"/>
  <c r="AF27" i="48"/>
  <c r="AF35" i="48"/>
  <c r="AF7" i="48"/>
  <c r="AF30" i="48"/>
  <c r="AF29" i="48"/>
  <c r="AF34" i="48"/>
  <c r="AF8" i="48"/>
  <c r="AF51" i="48"/>
  <c r="AF39" i="48"/>
  <c r="AF14" i="48"/>
  <c r="AF33" i="48"/>
  <c r="AF6" i="48"/>
  <c r="Y13" i="39" a="1"/>
  <c r="Y13" i="39"/>
  <c r="W13" i="39"/>
  <c r="AH64" i="43"/>
  <c r="AH7" i="43"/>
  <c r="AH20" i="43"/>
  <c r="AH63" i="43"/>
  <c r="AH21" i="43"/>
  <c r="AH26" i="43"/>
  <c r="AH16" i="43"/>
  <c r="AH3" i="43"/>
  <c r="AH27" i="43"/>
  <c r="AH25" i="43"/>
  <c r="AH45" i="43"/>
  <c r="AH49" i="43"/>
  <c r="AH52" i="43"/>
  <c r="AH53" i="43"/>
  <c r="AH31" i="43"/>
  <c r="AH44" i="43"/>
  <c r="AH56" i="43"/>
  <c r="AH59" i="43"/>
  <c r="AH57" i="43"/>
  <c r="AH36" i="43"/>
  <c r="AH9" i="43"/>
  <c r="AH23" i="43"/>
  <c r="AH42" i="43"/>
  <c r="AH48" i="43"/>
  <c r="AH28" i="43"/>
  <c r="AH10" i="43"/>
  <c r="AH8" i="43"/>
  <c r="AH5" i="43"/>
  <c r="AH32" i="43"/>
  <c r="AH22" i="43"/>
  <c r="AH41" i="43"/>
  <c r="AH18" i="43"/>
  <c r="AH15" i="43"/>
  <c r="AH6" i="43"/>
  <c r="AH17" i="43"/>
  <c r="AH14" i="43"/>
  <c r="AH51" i="43"/>
  <c r="AH12" i="43"/>
  <c r="AH39" i="43"/>
  <c r="AH58" i="43"/>
  <c r="AH19" i="43"/>
  <c r="AH55" i="43"/>
  <c r="AH30" i="43"/>
  <c r="AH50" i="43"/>
  <c r="AH35" i="43"/>
  <c r="AH47" i="43"/>
  <c r="AH54" i="43"/>
  <c r="AH60" i="43"/>
  <c r="AH37" i="43"/>
  <c r="AH4" i="43"/>
  <c r="AH33" i="43"/>
  <c r="AH29" i="43"/>
  <c r="AH13" i="43"/>
  <c r="AH11" i="43"/>
  <c r="AH24" i="43"/>
  <c r="AH61" i="43"/>
  <c r="AH38" i="43"/>
  <c r="AH62" i="43"/>
  <c r="AH40" i="43"/>
  <c r="AH34" i="43"/>
  <c r="AH65" i="43"/>
  <c r="AH43" i="43"/>
  <c r="AH46" i="43"/>
  <c r="Y3" i="39" a="1"/>
  <c r="Y3" i="39"/>
  <c r="W3" i="39" a="1"/>
  <c r="AH32" i="39"/>
  <c r="AH36" i="39"/>
  <c r="AH20" i="39"/>
  <c r="AH86" i="39"/>
  <c r="AH15" i="39"/>
  <c r="AH21" i="39"/>
  <c r="AH128" i="39"/>
  <c r="AH12" i="39"/>
  <c r="AH19" i="39"/>
  <c r="AH89" i="39"/>
  <c r="AH96" i="39"/>
  <c r="AH25" i="39"/>
  <c r="AH61" i="39"/>
  <c r="AH7" i="39"/>
  <c r="AH131" i="39"/>
  <c r="AH62" i="39"/>
  <c r="AH9" i="39"/>
  <c r="AH27" i="39"/>
  <c r="AH44" i="39"/>
  <c r="AH105" i="39"/>
  <c r="AH56" i="39"/>
  <c r="AH46" i="39"/>
  <c r="AH51" i="39"/>
  <c r="AH110" i="39"/>
  <c r="AH132" i="39"/>
  <c r="AH55" i="39"/>
  <c r="AH123" i="39"/>
  <c r="AH57" i="39"/>
  <c r="AH35" i="39"/>
  <c r="AH112" i="39"/>
  <c r="AH66" i="39"/>
  <c r="AH104" i="39"/>
  <c r="AH130" i="39"/>
  <c r="AH109" i="39"/>
  <c r="AH26" i="39"/>
  <c r="AH92" i="39"/>
  <c r="Y4" i="39"/>
  <c r="AH11" i="39"/>
  <c r="AH119" i="39"/>
  <c r="AH72" i="39"/>
  <c r="AH91" i="39"/>
  <c r="AH102" i="39"/>
  <c r="AH75" i="39"/>
  <c r="AH83" i="39"/>
  <c r="AH39" i="39"/>
  <c r="AH88" i="39"/>
  <c r="AH49" i="39"/>
  <c r="AH121" i="39"/>
  <c r="AH47" i="39"/>
  <c r="AH70" i="39"/>
  <c r="AH129" i="39"/>
  <c r="AH71" i="39"/>
  <c r="AH126" i="39"/>
  <c r="AH8" i="39"/>
  <c r="AH17" i="39"/>
  <c r="AH93" i="39"/>
  <c r="AH40" i="39"/>
  <c r="AH34" i="39"/>
  <c r="AH29" i="39"/>
  <c r="AH53" i="39"/>
  <c r="AH99" i="39"/>
  <c r="AH63" i="39"/>
  <c r="AH103" i="39"/>
  <c r="AH82" i="39"/>
  <c r="AH6" i="39"/>
  <c r="AH94" i="39"/>
  <c r="AH22" i="39"/>
  <c r="AH116" i="39"/>
  <c r="Y5" i="39"/>
  <c r="AH76" i="39"/>
  <c r="AH84" i="39"/>
  <c r="AH101" i="39"/>
  <c r="AH108" i="39"/>
  <c r="AH43" i="39"/>
  <c r="AH106" i="39"/>
  <c r="AH41" i="39"/>
  <c r="AH127" i="39"/>
  <c r="AH81" i="39"/>
  <c r="AH85" i="39"/>
  <c r="AH30" i="39"/>
  <c r="AH60" i="39"/>
  <c r="AH28" i="39"/>
  <c r="AH111" i="39"/>
  <c r="AH69" i="39"/>
  <c r="AH78" i="39"/>
  <c r="AH120" i="39"/>
  <c r="AH77" i="39"/>
  <c r="AH113" i="39"/>
  <c r="AH125" i="39"/>
  <c r="AH14" i="39"/>
  <c r="AH73" i="39"/>
  <c r="AH13" i="39"/>
  <c r="AH107" i="39"/>
  <c r="AH65" i="39"/>
  <c r="AH31" i="39"/>
  <c r="AH37" i="39"/>
  <c r="AH33" i="39"/>
  <c r="AH74" i="39"/>
  <c r="AH118" i="39"/>
  <c r="AH58" i="39"/>
  <c r="AH59" i="39"/>
  <c r="AH124" i="39"/>
  <c r="AH64" i="39"/>
  <c r="AH18" i="39"/>
  <c r="AH98" i="39"/>
  <c r="AH10" i="39"/>
  <c r="AH67" i="39"/>
  <c r="AH16" i="39"/>
  <c r="AH115" i="39"/>
  <c r="AH45" i="39"/>
  <c r="AH117" i="39"/>
  <c r="AH79" i="39"/>
  <c r="AH4" i="39"/>
  <c r="AH23" i="39"/>
  <c r="AH24" i="39"/>
  <c r="AH3" i="39"/>
  <c r="AH42" i="39"/>
  <c r="AH95" i="39"/>
  <c r="AH5" i="39"/>
  <c r="AH54" i="39"/>
  <c r="AH87" i="39"/>
  <c r="AH114" i="39"/>
  <c r="AH97" i="39"/>
  <c r="AH90" i="39"/>
  <c r="AH48" i="39"/>
  <c r="AH50" i="39"/>
  <c r="AH80" i="39"/>
  <c r="AH68" i="39"/>
  <c r="AH38" i="39"/>
  <c r="AH52" i="39"/>
  <c r="AH100" i="39"/>
  <c r="AH122" i="39"/>
  <c r="Y9" i="39" a="1"/>
  <c r="Y10" i="39"/>
  <c r="Y9" i="39"/>
  <c r="W9" i="39" a="1"/>
  <c r="W10" i="39" s="1"/>
  <c r="W5" i="39"/>
  <c r="W4" i="39"/>
  <c r="W3" i="39"/>
  <c r="AJ60" i="39" s="1"/>
  <c r="AJ23" i="39"/>
  <c r="O3" i="42"/>
  <c r="O7" i="42"/>
  <c r="O6" i="42"/>
  <c r="O4" i="42"/>
  <c r="O10" i="42"/>
  <c r="O14" i="42"/>
  <c r="J17" i="48"/>
  <c r="AJ121" i="39" l="1"/>
  <c r="AJ45" i="39"/>
  <c r="W9" i="39"/>
  <c r="AI55" i="39" s="1"/>
  <c r="AJ126" i="39"/>
  <c r="AJ127" i="39"/>
  <c r="AJ116" i="39"/>
  <c r="AI116" i="39"/>
  <c r="AI120" i="39"/>
  <c r="AJ83" i="39"/>
  <c r="AJ100" i="39"/>
  <c r="AJ102" i="39"/>
  <c r="AJ82" i="39"/>
  <c r="AJ48" i="39"/>
  <c r="AI77" i="39"/>
  <c r="AJ38" i="39"/>
  <c r="AI31" i="39"/>
  <c r="AJ19" i="39"/>
  <c r="AJ103" i="39"/>
  <c r="AI129" i="39"/>
  <c r="AJ66" i="39"/>
  <c r="AJ7" i="39"/>
  <c r="AJ17" i="39"/>
  <c r="AJ18" i="39"/>
  <c r="AJ12" i="39"/>
  <c r="AJ109" i="39"/>
  <c r="AJ46" i="39"/>
  <c r="AJ130" i="39"/>
  <c r="AJ118" i="39"/>
  <c r="AJ115" i="39"/>
  <c r="AJ99" i="39"/>
  <c r="AJ47" i="39"/>
  <c r="AJ128" i="39"/>
  <c r="AJ81" i="39"/>
  <c r="AI132" i="39"/>
  <c r="AJ35" i="39"/>
  <c r="AI43" i="39"/>
  <c r="AJ33" i="39"/>
  <c r="AJ39" i="39"/>
  <c r="AJ59" i="39"/>
  <c r="AJ91" i="39"/>
  <c r="AI83" i="39"/>
  <c r="AI114" i="39"/>
  <c r="AI3" i="39"/>
  <c r="AI81" i="39"/>
  <c r="AJ86" i="39"/>
  <c r="AJ42" i="39"/>
  <c r="AJ8" i="39"/>
  <c r="AJ93" i="39"/>
  <c r="AJ117" i="39"/>
  <c r="AJ31" i="39"/>
  <c r="AJ25" i="39"/>
  <c r="AI84" i="39"/>
  <c r="AI51" i="39"/>
  <c r="AJ36" i="39"/>
  <c r="AJ78" i="39"/>
  <c r="AJ71" i="39"/>
  <c r="AJ24" i="39"/>
  <c r="AJ6" i="39"/>
  <c r="AJ63" i="39"/>
  <c r="AJ132" i="39"/>
  <c r="AI86" i="39"/>
  <c r="AI12" i="39"/>
  <c r="AI66" i="39"/>
  <c r="AI79" i="39"/>
  <c r="AI62" i="39"/>
  <c r="AI23" i="39"/>
  <c r="AI68" i="39"/>
  <c r="AI93" i="39"/>
  <c r="AI90" i="39"/>
  <c r="AI45" i="39"/>
  <c r="AI71" i="39"/>
  <c r="AI10" i="39"/>
  <c r="AI41" i="39"/>
  <c r="AI33" i="39"/>
  <c r="AI100" i="39"/>
  <c r="AI65" i="39"/>
  <c r="AI18" i="39"/>
  <c r="AI20" i="39"/>
  <c r="AJ22" i="39"/>
  <c r="AJ68" i="39"/>
  <c r="AI102" i="39"/>
  <c r="AI39" i="39"/>
  <c r="AI16" i="39"/>
  <c r="AI72" i="39"/>
  <c r="AI98" i="39"/>
  <c r="AI115" i="39"/>
  <c r="AJ16" i="39"/>
  <c r="AJ69" i="39"/>
  <c r="AJ57" i="39"/>
  <c r="AI88" i="39"/>
  <c r="AJ110" i="39"/>
  <c r="AJ9" i="39"/>
  <c r="AI109" i="39"/>
  <c r="AI75" i="39"/>
  <c r="AI61" i="39"/>
  <c r="AI9" i="39"/>
  <c r="AJ124" i="39"/>
  <c r="AJ75" i="39"/>
  <c r="AJ11" i="39"/>
  <c r="AJ65" i="39"/>
  <c r="AJ27" i="39"/>
  <c r="AJ129" i="39"/>
  <c r="AJ79" i="39"/>
  <c r="AJ108" i="39"/>
  <c r="AJ4" i="39"/>
  <c r="AI24" i="39"/>
  <c r="AI64" i="39"/>
  <c r="AI63" i="39"/>
  <c r="AJ74" i="39"/>
  <c r="AJ72" i="39"/>
  <c r="AJ51" i="39"/>
  <c r="AI5" i="39"/>
  <c r="AI7" i="39"/>
  <c r="AI69" i="39"/>
  <c r="AJ85" i="39"/>
  <c r="AJ32" i="39"/>
  <c r="AJ77" i="39"/>
  <c r="AJ52" i="39"/>
  <c r="AJ80" i="39"/>
  <c r="AJ76" i="39"/>
  <c r="AJ122" i="39"/>
  <c r="AJ28" i="39"/>
  <c r="AJ73" i="39"/>
  <c r="AJ70" i="39"/>
  <c r="AJ14" i="39"/>
  <c r="AJ112" i="39"/>
  <c r="AJ104" i="39"/>
  <c r="AJ54" i="39"/>
  <c r="AJ105" i="39"/>
  <c r="AJ40" i="39"/>
  <c r="AJ61" i="39"/>
  <c r="AJ13" i="39"/>
  <c r="AJ49" i="39"/>
  <c r="AJ26" i="39"/>
  <c r="AJ92" i="39"/>
  <c r="AJ10" i="39"/>
  <c r="AJ125" i="39"/>
  <c r="AJ30" i="39"/>
  <c r="AJ120" i="39"/>
  <c r="AJ107" i="39"/>
  <c r="AJ89" i="39"/>
  <c r="AJ21" i="39"/>
  <c r="AJ41" i="39"/>
  <c r="AJ67" i="39"/>
  <c r="AJ88" i="39"/>
  <c r="AJ62" i="39"/>
  <c r="AJ50" i="39"/>
  <c r="AJ56" i="39"/>
  <c r="AJ64" i="39"/>
  <c r="AJ5" i="39"/>
  <c r="AJ113" i="39"/>
  <c r="AJ53" i="39"/>
  <c r="AJ15" i="39"/>
  <c r="AJ29" i="39"/>
  <c r="AJ90" i="39"/>
  <c r="AJ94" i="39"/>
  <c r="AJ34" i="39"/>
  <c r="AJ101" i="39"/>
  <c r="AJ114" i="39"/>
  <c r="AJ58" i="39"/>
  <c r="AJ123" i="39"/>
  <c r="AJ96" i="39"/>
  <c r="AJ106" i="39"/>
  <c r="AJ119" i="39"/>
  <c r="AJ43" i="39"/>
  <c r="AJ131" i="39"/>
  <c r="AJ20" i="39"/>
  <c r="AI110" i="39"/>
  <c r="AI91" i="39"/>
  <c r="AI6" i="39"/>
  <c r="AI46" i="39"/>
  <c r="AI106" i="39"/>
  <c r="AI37" i="39"/>
  <c r="AI60" i="39"/>
  <c r="AI97" i="39"/>
  <c r="AI11" i="39"/>
  <c r="AI111" i="39"/>
  <c r="AJ44" i="39"/>
  <c r="AJ55" i="39"/>
  <c r="AJ37" i="39"/>
  <c r="AJ95" i="39"/>
  <c r="AJ98" i="39"/>
  <c r="AJ3" i="39"/>
  <c r="AJ111" i="39"/>
  <c r="AJ84" i="39"/>
  <c r="AJ97" i="39"/>
  <c r="AJ87" i="39"/>
  <c r="N16" i="43"/>
  <c r="J20" i="48"/>
  <c r="O22" i="39"/>
  <c r="C35" i="39"/>
  <c r="H24" i="33" s="1"/>
  <c r="L24" i="33" s="1"/>
  <c r="M24" i="33"/>
  <c r="AI89" i="39" l="1"/>
  <c r="AI92" i="39"/>
  <c r="AI103" i="39"/>
  <c r="AI113" i="39"/>
  <c r="AI38" i="39"/>
  <c r="AI48" i="39"/>
  <c r="AI121" i="39"/>
  <c r="AI85" i="39"/>
  <c r="AI34" i="39"/>
  <c r="AI53" i="39"/>
  <c r="AI26" i="39"/>
  <c r="AI22" i="39"/>
  <c r="AI78" i="39"/>
  <c r="AI25" i="39"/>
  <c r="AI40" i="39"/>
  <c r="AI56" i="39"/>
  <c r="AI28" i="39"/>
  <c r="AI49" i="39"/>
  <c r="AI122" i="39"/>
  <c r="AI127" i="39"/>
  <c r="AI27" i="39"/>
  <c r="AI14" i="39"/>
  <c r="AI73" i="39"/>
  <c r="AI70" i="39"/>
  <c r="AI50" i="39"/>
  <c r="AI8" i="39"/>
  <c r="AI74" i="39"/>
  <c r="AI42" i="39"/>
  <c r="AI29" i="39"/>
  <c r="AI17" i="39"/>
  <c r="AI32" i="39"/>
  <c r="AI107" i="39"/>
  <c r="AI4" i="39"/>
  <c r="AI87" i="39"/>
  <c r="AI30" i="39"/>
  <c r="AI105" i="39"/>
  <c r="AI13" i="39"/>
  <c r="AI59" i="39"/>
  <c r="AI57" i="39"/>
  <c r="AI108" i="39"/>
  <c r="AI67" i="39"/>
  <c r="AI58" i="39"/>
  <c r="AI123" i="39"/>
  <c r="AI76" i="39"/>
  <c r="AI82" i="39"/>
  <c r="AI112" i="39"/>
  <c r="AI126" i="39"/>
  <c r="AI95" i="39"/>
  <c r="AI125" i="39"/>
  <c r="AI44" i="39"/>
  <c r="AI119" i="39"/>
  <c r="AI36" i="39"/>
  <c r="AI35" i="39"/>
  <c r="AI104" i="39"/>
  <c r="AI54" i="39"/>
  <c r="AI52" i="39"/>
  <c r="AI101" i="39"/>
  <c r="AI21" i="39"/>
  <c r="AI19" i="39"/>
  <c r="AI131" i="39"/>
  <c r="AI99" i="39"/>
  <c r="AI130" i="39"/>
  <c r="AI128" i="39"/>
  <c r="AI117" i="39"/>
  <c r="AI47" i="39"/>
  <c r="AI96" i="39"/>
  <c r="O19" i="39"/>
  <c r="C32" i="39" s="1"/>
  <c r="H21" i="33" s="1"/>
  <c r="L21" i="33" s="1"/>
  <c r="AI94" i="39"/>
  <c r="AI124" i="39"/>
  <c r="AI15" i="39"/>
  <c r="AI118" i="39"/>
  <c r="AI80" i="39"/>
  <c r="N16" i="39"/>
  <c r="L15" i="48"/>
  <c r="C25" i="48" s="1"/>
  <c r="H3" i="33" s="1"/>
  <c r="L3" i="33" s="1"/>
  <c r="M21" i="33"/>
  <c r="M3" i="33"/>
  <c r="J21" i="48"/>
  <c r="L18" i="48"/>
  <c r="C28" i="48" s="1"/>
  <c r="H6" i="33" s="1"/>
  <c r="L6" i="33" s="1"/>
  <c r="M6" i="33"/>
  <c r="K17" i="48"/>
  <c r="K20" i="48"/>
  <c r="N20" i="39"/>
  <c r="P16" i="39"/>
  <c r="K21" i="48"/>
  <c r="N24" i="39"/>
  <c r="O15" i="42"/>
  <c r="L17" i="48"/>
  <c r="C27" i="48" s="1"/>
  <c r="H5" i="33" s="1"/>
  <c r="L5" i="33" s="1"/>
  <c r="M5" i="33"/>
  <c r="N18" i="39"/>
  <c r="L20" i="48"/>
  <c r="C30" i="48" s="1"/>
  <c r="H8" i="33" s="1"/>
  <c r="L8" i="33" s="1"/>
  <c r="M8" i="33"/>
  <c r="O16" i="39"/>
  <c r="C29" i="39" s="1"/>
  <c r="H18" i="33" s="1"/>
  <c r="L18" i="33" s="1"/>
  <c r="M18" i="33"/>
  <c r="N18" i="43"/>
  <c r="P24" i="39"/>
  <c r="J19" i="48"/>
  <c r="N15" i="39"/>
  <c r="O20" i="39"/>
  <c r="C33" i="39"/>
  <c r="H22" i="33" s="1"/>
  <c r="L22" i="33" s="1"/>
  <c r="M22" i="33"/>
  <c r="O24" i="39"/>
  <c r="C37" i="39" s="1"/>
  <c r="H26" i="33" s="1"/>
  <c r="L26" i="33" s="1"/>
  <c r="M26" i="33"/>
  <c r="P15" i="39"/>
  <c r="P23" i="39"/>
  <c r="P21" i="39"/>
  <c r="J16" i="48"/>
  <c r="O15" i="39"/>
  <c r="C28" i="39" s="1"/>
  <c r="H17" i="33" s="1"/>
  <c r="L17" i="33" s="1"/>
  <c r="M17" i="33"/>
  <c r="O23" i="39"/>
  <c r="C36" i="39"/>
  <c r="H25" i="33" s="1"/>
  <c r="L25" i="33" s="1"/>
  <c r="M25" i="33"/>
  <c r="N19" i="43"/>
  <c r="N19" i="39"/>
  <c r="N22" i="39"/>
  <c r="P17" i="39"/>
  <c r="J18" i="48"/>
  <c r="O13" i="42"/>
  <c r="O11" i="42"/>
  <c r="L16" i="48"/>
  <c r="C26" i="48" s="1"/>
  <c r="H4" i="33" s="1"/>
  <c r="L4" i="33" s="1"/>
  <c r="M4" i="33"/>
  <c r="O5" i="42"/>
  <c r="K18" i="48"/>
  <c r="O12" i="42"/>
  <c r="N15" i="43"/>
  <c r="P20" i="39"/>
  <c r="L21" i="48"/>
  <c r="C31" i="48" s="1"/>
  <c r="H9" i="33" s="1"/>
  <c r="L9" i="33" s="1"/>
  <c r="M9" i="33"/>
  <c r="P18" i="39"/>
  <c r="N23" i="39"/>
  <c r="N21" i="39"/>
  <c r="K19" i="48"/>
  <c r="O18" i="39"/>
  <c r="C31" i="39" s="1"/>
  <c r="H20" i="33" s="1"/>
  <c r="L20" i="33" s="1"/>
  <c r="M20" i="33"/>
  <c r="N21" i="43"/>
  <c r="N17" i="43"/>
  <c r="N17" i="39"/>
  <c r="O9" i="42"/>
  <c r="N20" i="43"/>
  <c r="K16" i="48"/>
  <c r="J15" i="48"/>
  <c r="P19" i="39"/>
  <c r="K15" i="48"/>
  <c r="L19" i="48"/>
  <c r="C29" i="48" s="1"/>
  <c r="H7" i="33" s="1"/>
  <c r="L7" i="33" s="1"/>
  <c r="M7" i="33"/>
  <c r="O21" i="39"/>
  <c r="C34" i="39" s="1"/>
  <c r="H23" i="33" s="1"/>
  <c r="L23" i="33" s="1"/>
  <c r="M23" i="33"/>
  <c r="O8" i="42"/>
  <c r="P22" i="39"/>
  <c r="O17" i="39"/>
  <c r="C30" i="39"/>
  <c r="H19" i="33" s="1"/>
  <c r="L19" i="33" s="1"/>
  <c r="M19" i="33"/>
  <c r="W9" i="43" a="1"/>
  <c r="W9" i="43" s="1"/>
  <c r="W3" i="43" a="1"/>
  <c r="W5" i="43" s="1"/>
  <c r="W3" i="43" l="1"/>
  <c r="W4" i="43"/>
  <c r="P20" i="43" s="1"/>
  <c r="C30" i="43" s="1"/>
  <c r="H15" i="33" s="1"/>
  <c r="L15" i="33" s="1"/>
  <c r="W10" i="43"/>
  <c r="P17" i="43"/>
  <c r="C27" i="43" s="1"/>
  <c r="H12" i="33" s="1"/>
  <c r="L12" i="33" s="1"/>
  <c r="M15" i="33"/>
  <c r="M12" i="33"/>
  <c r="O21" i="43" l="1"/>
  <c r="AI49" i="43"/>
  <c r="AI20" i="43"/>
  <c r="AI65" i="43"/>
  <c r="AI21" i="43"/>
  <c r="AI28" i="43"/>
  <c r="AI54" i="43"/>
  <c r="AI43" i="43"/>
  <c r="AI37" i="43"/>
  <c r="AI6" i="43"/>
  <c r="AI13" i="43"/>
  <c r="AI57" i="43"/>
  <c r="AI18" i="43"/>
  <c r="AI53" i="43"/>
  <c r="AI33" i="43"/>
  <c r="AI52" i="43"/>
  <c r="AI46" i="43"/>
  <c r="AI11" i="43"/>
  <c r="AI19" i="43"/>
  <c r="AI45" i="43"/>
  <c r="O20" i="43"/>
  <c r="AI51" i="43"/>
  <c r="AI42" i="43"/>
  <c r="AI3" i="43"/>
  <c r="AI8" i="43"/>
  <c r="O18" i="43"/>
  <c r="AI5" i="43"/>
  <c r="AI16" i="43"/>
  <c r="AI58" i="43"/>
  <c r="AI9" i="43"/>
  <c r="AI63" i="43"/>
  <c r="AI26" i="43"/>
  <c r="AI23" i="43"/>
  <c r="AI64" i="43"/>
  <c r="AI25" i="43"/>
  <c r="AI27" i="43"/>
  <c r="AI47" i="43"/>
  <c r="AI48" i="43"/>
  <c r="O15" i="43"/>
  <c r="AI35" i="43"/>
  <c r="AI38" i="43"/>
  <c r="AI62" i="43"/>
  <c r="AI14" i="43"/>
  <c r="AI22" i="43"/>
  <c r="AI10" i="43"/>
  <c r="AI29" i="43"/>
  <c r="AI31" i="43"/>
  <c r="AI36" i="43"/>
  <c r="AI4" i="43"/>
  <c r="AI56" i="43"/>
  <c r="AI40" i="43"/>
  <c r="AI59" i="43"/>
  <c r="AI15" i="43"/>
  <c r="AI7" i="43"/>
  <c r="AI41" i="43"/>
  <c r="AI24" i="43"/>
  <c r="O17" i="43"/>
  <c r="AI60" i="43"/>
  <c r="AI12" i="43"/>
  <c r="AI32" i="43"/>
  <c r="AI55" i="43"/>
  <c r="AI17" i="43"/>
  <c r="O19" i="43"/>
  <c r="AI34" i="43"/>
  <c r="AI61" i="43"/>
  <c r="AI44" i="43"/>
  <c r="AI50" i="43"/>
  <c r="AI39" i="43"/>
  <c r="O16" i="43"/>
  <c r="AI30" i="43"/>
  <c r="P19" i="43"/>
  <c r="C29" i="43" s="1"/>
  <c r="H14" i="33" s="1"/>
  <c r="L14" i="33" s="1"/>
  <c r="M14" i="33"/>
  <c r="P21" i="43"/>
  <c r="C31" i="43" s="1"/>
  <c r="H16" i="33" s="1"/>
  <c r="L16" i="33" s="1"/>
  <c r="M16" i="33"/>
  <c r="P15" i="43"/>
  <c r="C25" i="43" s="1"/>
  <c r="H10" i="33" s="1"/>
  <c r="L10" i="33" s="1"/>
  <c r="M10" i="33"/>
  <c r="P16" i="43"/>
  <c r="C26" i="43" s="1"/>
  <c r="H11" i="33" s="1"/>
  <c r="L11" i="33" s="1"/>
  <c r="M11" i="33"/>
  <c r="P18" i="43"/>
  <c r="C28" i="43" s="1"/>
  <c r="H13" i="33" s="1"/>
  <c r="L13" i="33" s="1"/>
  <c r="M13" i="33"/>
  <c r="N10" i="33"/>
  <c r="AJ10" i="43"/>
  <c r="AJ59" i="43"/>
  <c r="AJ24" i="43"/>
  <c r="AJ8" i="43"/>
  <c r="AJ34" i="43"/>
  <c r="AJ23" i="43"/>
  <c r="AJ32" i="43"/>
  <c r="AJ7" i="43"/>
  <c r="AJ39" i="43"/>
  <c r="AJ64" i="43"/>
  <c r="AJ36" i="43"/>
  <c r="AJ58" i="43"/>
  <c r="AJ33" i="43"/>
  <c r="AJ6" i="43"/>
  <c r="AJ51" i="43"/>
  <c r="AJ46" i="43"/>
  <c r="AJ27" i="43"/>
  <c r="AJ13" i="43"/>
  <c r="AJ18" i="43"/>
  <c r="AJ19" i="43"/>
  <c r="AJ35" i="43"/>
  <c r="AJ4" i="43"/>
  <c r="AJ45" i="43"/>
  <c r="AJ20" i="43"/>
  <c r="AJ37" i="43"/>
  <c r="AJ11" i="43"/>
  <c r="AJ50" i="43"/>
  <c r="AJ62" i="43"/>
  <c r="AJ31" i="43"/>
  <c r="AJ52" i="43"/>
  <c r="AJ28" i="43"/>
  <c r="AJ43" i="43"/>
  <c r="AJ22" i="43"/>
  <c r="AJ61" i="43"/>
  <c r="AJ47" i="43"/>
  <c r="AJ57" i="43"/>
  <c r="AJ60" i="43"/>
  <c r="AJ38" i="43"/>
  <c r="AJ17" i="43"/>
  <c r="AJ53" i="43"/>
  <c r="AJ5" i="43"/>
  <c r="AJ25" i="43"/>
  <c r="AJ21" i="43"/>
  <c r="AJ40" i="43"/>
  <c r="AJ49" i="43"/>
  <c r="AJ48" i="43"/>
  <c r="AJ63" i="43"/>
  <c r="AJ30" i="43"/>
  <c r="AJ12" i="43"/>
  <c r="AJ65" i="43"/>
  <c r="AJ44" i="43"/>
  <c r="AJ14" i="43"/>
  <c r="AJ3" i="43"/>
  <c r="AJ26" i="43"/>
  <c r="AJ41" i="43"/>
  <c r="AJ56" i="43"/>
  <c r="AJ15" i="43"/>
  <c r="AJ55" i="43"/>
  <c r="AJ42" i="43"/>
  <c r="AJ16" i="43"/>
  <c r="AJ29" i="43"/>
  <c r="AJ9" i="43"/>
  <c r="AJ54" i="43"/>
  <c r="N17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<sst xmlns="http://schemas.openxmlformats.org/spreadsheetml/2006/main" count="701" uniqueCount="177">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</sst>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8.0444880374032292E-4</c:v>
                </c:pt>
                <c:pt idx="1">
                  <c:v>8.0444880374032292E-4</c:v>
                </c:pt>
                <c:pt idx="2">
                  <c:v>8.0444880374032292E-4</c:v>
                </c:pt>
                <c:pt idx="3">
                  <c:v>8.0444880374032292E-4</c:v>
                </c:pt>
                <c:pt idx="4">
                  <c:v>8.0444880374032292E-4</c:v>
                </c:pt>
                <c:pt idx="5">
                  <c:v>8.0444880374032292E-4</c:v>
                </c:pt>
                <c:pt idx="6">
                  <c:v>8.0444880374032292E-4</c:v>
                </c:pt>
                <c:pt idx="7">
                  <c:v>8.0444880374032292E-4</c:v>
                </c:pt>
                <c:pt idx="8">
                  <c:v>8.0444880374032292E-4</c:v>
                </c:pt>
                <c:pt idx="9">
                  <c:v>8.0444880374032292E-4</c:v>
                </c:pt>
                <c:pt idx="10">
                  <c:v>8.0444880374032292E-4</c:v>
                </c:pt>
                <c:pt idx="11">
                  <c:v>8.0444880374032292E-4</c:v>
                </c:pt>
                <c:pt idx="12">
                  <c:v>8.0444880374032292E-4</c:v>
                </c:pt>
                <c:pt idx="13">
                  <c:v>8.0444880374032292E-4</c:v>
                </c:pt>
                <c:pt idx="14">
                  <c:v>8.0444880374032292E-4</c:v>
                </c:pt>
                <c:pt idx="15">
                  <c:v>8.0444880374032292E-4</c:v>
                </c:pt>
                <c:pt idx="16">
                  <c:v>8.0444880374032292E-4</c:v>
                </c:pt>
                <c:pt idx="17">
                  <c:v>8.0444880374032292E-4</c:v>
                </c:pt>
                <c:pt idx="18">
                  <c:v>8.0444880374032292E-4</c:v>
                </c:pt>
                <c:pt idx="19">
                  <c:v>8.0444880374032292E-4</c:v>
                </c:pt>
                <c:pt idx="20">
                  <c:v>8.0444880374032292E-4</c:v>
                </c:pt>
                <c:pt idx="21">
                  <c:v>8.0444880374032292E-4</c:v>
                </c:pt>
                <c:pt idx="22">
                  <c:v>8.0444880374032292E-4</c:v>
                </c:pt>
                <c:pt idx="23">
                  <c:v>8.0444880374032292E-4</c:v>
                </c:pt>
                <c:pt idx="24">
                  <c:v>8.0444880374032292E-4</c:v>
                </c:pt>
                <c:pt idx="25">
                  <c:v>8.0444880374032292E-4</c:v>
                </c:pt>
                <c:pt idx="26">
                  <c:v>8.0444880374032292E-4</c:v>
                </c:pt>
                <c:pt idx="27">
                  <c:v>8.0444880374032292E-4</c:v>
                </c:pt>
                <c:pt idx="28">
                  <c:v>8.0444880374032292E-4</c:v>
                </c:pt>
                <c:pt idx="29">
                  <c:v>8.0444880374032292E-4</c:v>
                </c:pt>
                <c:pt idx="30">
                  <c:v>8.0444880374032292E-4</c:v>
                </c:pt>
                <c:pt idx="31">
                  <c:v>8.0444880374032292E-4</c:v>
                </c:pt>
                <c:pt idx="32">
                  <c:v>8.0444880374032292E-4</c:v>
                </c:pt>
                <c:pt idx="33">
                  <c:v>8.0444880374032292E-4</c:v>
                </c:pt>
                <c:pt idx="34">
                  <c:v>8.0444880374032292E-4</c:v>
                </c:pt>
                <c:pt idx="35">
                  <c:v>8.0444880374032292E-4</c:v>
                </c:pt>
                <c:pt idx="36">
                  <c:v>8.0444880374032292E-4</c:v>
                </c:pt>
                <c:pt idx="37">
                  <c:v>8.0444880374032292E-4</c:v>
                </c:pt>
                <c:pt idx="38">
                  <c:v>8.0444880374032292E-4</c:v>
                </c:pt>
                <c:pt idx="39">
                  <c:v>8.0444880374032292E-4</c:v>
                </c:pt>
                <c:pt idx="40">
                  <c:v>8.0444880374032292E-4</c:v>
                </c:pt>
                <c:pt idx="41">
                  <c:v>8.0444880374032292E-4</c:v>
                </c:pt>
                <c:pt idx="42">
                  <c:v>8.0444880374032292E-4</c:v>
                </c:pt>
                <c:pt idx="43">
                  <c:v>8.0444880374032292E-4</c:v>
                </c:pt>
                <c:pt idx="44">
                  <c:v>8.0444880374032292E-4</c:v>
                </c:pt>
                <c:pt idx="45">
                  <c:v>8.0444880374032292E-4</c:v>
                </c:pt>
                <c:pt idx="46">
                  <c:v>8.0444880374032292E-4</c:v>
                </c:pt>
                <c:pt idx="47">
                  <c:v>8.0444880374032292E-4</c:v>
                </c:pt>
                <c:pt idx="48">
                  <c:v>8.0444880374032292E-4</c:v>
                </c:pt>
                <c:pt idx="49">
                  <c:v>8.0444880374032292E-4</c:v>
                </c:pt>
                <c:pt idx="50">
                  <c:v>8.0444880374032292E-4</c:v>
                </c:pt>
                <c:pt idx="51">
                  <c:v>8.0444880374032292E-4</c:v>
                </c:pt>
                <c:pt idx="52">
                  <c:v>8.0444880374032292E-4</c:v>
                </c:pt>
                <c:pt idx="53">
                  <c:v>8.0444880374032292E-4</c:v>
                </c:pt>
                <c:pt idx="54">
                  <c:v>8.0444880374032292E-4</c:v>
                </c:pt>
                <c:pt idx="55">
                  <c:v>8.0444880374032292E-4</c:v>
                </c:pt>
                <c:pt idx="56">
                  <c:v>8.0444880374032292E-4</c:v>
                </c:pt>
                <c:pt idx="57">
                  <c:v>8.0444880374032292E-4</c:v>
                </c:pt>
                <c:pt idx="58">
                  <c:v>8.0444880374032292E-4</c:v>
                </c:pt>
                <c:pt idx="59">
                  <c:v>8.0444880374032292E-4</c:v>
                </c:pt>
                <c:pt idx="60">
                  <c:v>8.0444880374032292E-4</c:v>
                </c:pt>
                <c:pt idx="61">
                  <c:v>8.0444880374032292E-4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7.9769156018834266E-4</c:v>
                </c:pt>
                <c:pt idx="1">
                  <c:v>7.9783233609567554E-4</c:v>
                </c:pt>
                <c:pt idx="2">
                  <c:v>7.983954397250073E-4</c:v>
                </c:pt>
                <c:pt idx="3">
                  <c:v>7.9853621563234019E-4</c:v>
                </c:pt>
                <c:pt idx="4">
                  <c:v>7.9867699153967318E-4</c:v>
                </c:pt>
                <c:pt idx="5">
                  <c:v>7.9881776744700607E-4</c:v>
                </c:pt>
                <c:pt idx="6">
                  <c:v>7.9924009516900484E-4</c:v>
                </c:pt>
                <c:pt idx="7">
                  <c:v>7.9938087107633772E-4</c:v>
                </c:pt>
                <c:pt idx="8">
                  <c:v>7.9952164698367072E-4</c:v>
                </c:pt>
                <c:pt idx="9">
                  <c:v>7.996624228910036E-4</c:v>
                </c:pt>
                <c:pt idx="10">
                  <c:v>7.998031987983366E-4</c:v>
                </c:pt>
                <c:pt idx="11">
                  <c:v>8.0022552652033536E-4</c:v>
                </c:pt>
                <c:pt idx="12">
                  <c:v>8.0036630242766825E-4</c:v>
                </c:pt>
                <c:pt idx="13">
                  <c:v>8.0050707833500114E-4</c:v>
                </c:pt>
                <c:pt idx="14">
                  <c:v>8.0064785424233413E-4</c:v>
                </c:pt>
                <c:pt idx="15">
                  <c:v>8.0078863014966702E-4</c:v>
                </c:pt>
                <c:pt idx="16">
                  <c:v>8.0121095787166578E-4</c:v>
                </c:pt>
                <c:pt idx="17">
                  <c:v>8.0135173377899878E-4</c:v>
                </c:pt>
                <c:pt idx="18">
                  <c:v>8.0149250968633166E-4</c:v>
                </c:pt>
                <c:pt idx="19">
                  <c:v>8.0163328559366455E-4</c:v>
                </c:pt>
                <c:pt idx="20">
                  <c:v>8.0177406150099754E-4</c:v>
                </c:pt>
                <c:pt idx="21">
                  <c:v>8.0219638922299631E-4</c:v>
                </c:pt>
                <c:pt idx="22">
                  <c:v>8.023371651303292E-4</c:v>
                </c:pt>
                <c:pt idx="23">
                  <c:v>8.0247794103766219E-4</c:v>
                </c:pt>
                <c:pt idx="24">
                  <c:v>8.0261871694499508E-4</c:v>
                </c:pt>
                <c:pt idx="25">
                  <c:v>8.0275949285232796E-4</c:v>
                </c:pt>
                <c:pt idx="26">
                  <c:v>8.0318182057432673E-4</c:v>
                </c:pt>
                <c:pt idx="27">
                  <c:v>8.0332259648165972E-4</c:v>
                </c:pt>
                <c:pt idx="28">
                  <c:v>8.0346337238899261E-4</c:v>
                </c:pt>
                <c:pt idx="29">
                  <c:v>8.036041482963256E-4</c:v>
                </c:pt>
                <c:pt idx="30">
                  <c:v>8.0374492420365849E-4</c:v>
                </c:pt>
                <c:pt idx="31">
                  <c:v>8.0416725192565726E-4</c:v>
                </c:pt>
                <c:pt idx="32">
                  <c:v>8.0430802783299014E-4</c:v>
                </c:pt>
                <c:pt idx="33">
                  <c:v>8.0444880374032314E-4</c:v>
                </c:pt>
                <c:pt idx="34">
                  <c:v>8.0458957964765602E-4</c:v>
                </c:pt>
                <c:pt idx="35">
                  <c:v>8.0473035555498891E-4</c:v>
                </c:pt>
                <c:pt idx="36">
                  <c:v>8.0515268327698778E-4</c:v>
                </c:pt>
                <c:pt idx="37">
                  <c:v>8.0529345918432067E-4</c:v>
                </c:pt>
                <c:pt idx="38">
                  <c:v>8.0543423509165356E-4</c:v>
                </c:pt>
                <c:pt idx="39">
                  <c:v>8.0557501099898655E-4</c:v>
                </c:pt>
                <c:pt idx="40">
                  <c:v>8.0571578690631944E-4</c:v>
                </c:pt>
                <c:pt idx="41">
                  <c:v>8.061381146283182E-4</c:v>
                </c:pt>
                <c:pt idx="42">
                  <c:v>8.062788905356512E-4</c:v>
                </c:pt>
                <c:pt idx="43">
                  <c:v>8.0641966644298408E-4</c:v>
                </c:pt>
                <c:pt idx="44">
                  <c:v>8.0656044235031697E-4</c:v>
                </c:pt>
                <c:pt idx="45">
                  <c:v>8.0670121825764996E-4</c:v>
                </c:pt>
                <c:pt idx="46">
                  <c:v>8.0712354597964873E-4</c:v>
                </c:pt>
                <c:pt idx="47">
                  <c:v>8.0726432188698162E-4</c:v>
                </c:pt>
                <c:pt idx="48">
                  <c:v>8.0740509779431461E-4</c:v>
                </c:pt>
                <c:pt idx="49">
                  <c:v>8.075458737016475E-4</c:v>
                </c:pt>
                <c:pt idx="50">
                  <c:v>8.0768664960898038E-4</c:v>
                </c:pt>
                <c:pt idx="51">
                  <c:v>8.0810897733097915E-4</c:v>
                </c:pt>
                <c:pt idx="52">
                  <c:v>8.0824975323831214E-4</c:v>
                </c:pt>
                <c:pt idx="53">
                  <c:v>8.0839052914564503E-4</c:v>
                </c:pt>
                <c:pt idx="54">
                  <c:v>8.0853130505297792E-4</c:v>
                </c:pt>
                <c:pt idx="55">
                  <c:v>8.0867208096031091E-4</c:v>
                </c:pt>
                <c:pt idx="56">
                  <c:v>8.0909440868230968E-4</c:v>
                </c:pt>
                <c:pt idx="57">
                  <c:v>8.0923518458964256E-4</c:v>
                </c:pt>
                <c:pt idx="58">
                  <c:v>8.0937596049697556E-4</c:v>
                </c:pt>
                <c:pt idx="59">
                  <c:v>8.0951673640430844E-4</c:v>
                </c:pt>
                <c:pt idx="60">
                  <c:v>8.1022061594097309E-4</c:v>
                </c:pt>
                <c:pt idx="61">
                  <c:v>8.1036139184830598E-4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7.3957797820113841E-4</c:v>
                </c:pt>
                <c:pt idx="1">
                  <c:v>7.4153490471260601E-4</c:v>
                </c:pt>
                <c:pt idx="2">
                  <c:v>7.4916837005215182E-4</c:v>
                </c:pt>
                <c:pt idx="3">
                  <c:v>7.5102817621045719E-4</c:v>
                </c:pt>
                <c:pt idx="4">
                  <c:v>7.5286855829813002E-4</c:v>
                </c:pt>
                <c:pt idx="5">
                  <c:v>7.5468951631517053E-4</c:v>
                </c:pt>
                <c:pt idx="6">
                  <c:v>7.6003584594249698E-4</c:v>
                </c:pt>
                <c:pt idx="7">
                  <c:v>7.6177910767700747E-4</c:v>
                </c:pt>
                <c:pt idx="8">
                  <c:v>7.6350294534088565E-4</c:v>
                </c:pt>
                <c:pt idx="9">
                  <c:v>7.6520735893413139E-4</c:v>
                </c:pt>
                <c:pt idx="10">
                  <c:v>7.668923484567445E-4</c:v>
                </c:pt>
                <c:pt idx="11">
                  <c:v>7.7183077260078949E-4</c:v>
                </c:pt>
                <c:pt idx="12">
                  <c:v>7.7343806584087278E-4</c:v>
                </c:pt>
                <c:pt idx="13">
                  <c:v>7.7502593501032376E-4</c:v>
                </c:pt>
                <c:pt idx="14">
                  <c:v>7.7659438010914221E-4</c:v>
                </c:pt>
                <c:pt idx="15">
                  <c:v>7.7814340113732824E-4</c:v>
                </c:pt>
                <c:pt idx="16">
                  <c:v>7.8267391979809154E-4</c:v>
                </c:pt>
                <c:pt idx="17">
                  <c:v>7.8414524454374775E-4</c:v>
                </c:pt>
                <c:pt idx="18">
                  <c:v>7.8559714521877154E-4</c:v>
                </c:pt>
                <c:pt idx="19">
                  <c:v>7.8702962182316269E-4</c:v>
                </c:pt>
                <c:pt idx="20">
                  <c:v>7.8844267435692152E-4</c:v>
                </c:pt>
                <c:pt idx="21">
                  <c:v>7.9256528753440325E-4</c:v>
                </c:pt>
                <c:pt idx="22">
                  <c:v>7.9390064378563228E-4</c:v>
                </c:pt>
                <c:pt idx="23">
                  <c:v>7.9521657596622888E-4</c:v>
                </c:pt>
                <c:pt idx="24">
                  <c:v>7.9651308407619283E-4</c:v>
                </c:pt>
                <c:pt idx="25">
                  <c:v>7.9779016811552458E-4</c:v>
                </c:pt>
                <c:pt idx="26">
                  <c:v>8.0150487580972463E-4</c:v>
                </c:pt>
                <c:pt idx="27">
                  <c:v>8.0270426356652646E-4</c:v>
                </c:pt>
                <c:pt idx="28">
                  <c:v>8.0388422725269587E-4</c:v>
                </c:pt>
                <c:pt idx="29">
                  <c:v>8.0504476686823275E-4</c:v>
                </c:pt>
                <c:pt idx="30">
                  <c:v>8.061858824131372E-4</c:v>
                </c:pt>
                <c:pt idx="31">
                  <c:v>8.0949268462405567E-4</c:v>
                </c:pt>
                <c:pt idx="32">
                  <c:v>8.1055610388643031E-4</c:v>
                </c:pt>
                <c:pt idx="33">
                  <c:v>8.1160009907817242E-4</c:v>
                </c:pt>
                <c:pt idx="34">
                  <c:v>8.1262467019928221E-4</c:v>
                </c:pt>
                <c:pt idx="35">
                  <c:v>8.1362981724975947E-4</c:v>
                </c:pt>
                <c:pt idx="36">
                  <c:v>8.1652871397739637E-4</c:v>
                </c:pt>
                <c:pt idx="37">
                  <c:v>8.1745616474534382E-4</c:v>
                </c:pt>
                <c:pt idx="38">
                  <c:v>8.1836419144265874E-4</c:v>
                </c:pt>
                <c:pt idx="39">
                  <c:v>8.1925279406934123E-4</c:v>
                </c:pt>
                <c:pt idx="40">
                  <c:v>8.201219726253913E-4</c:v>
                </c:pt>
                <c:pt idx="41">
                  <c:v>8.2261296386974673E-4</c:v>
                </c:pt>
                <c:pt idx="42">
                  <c:v>8.2340444614326699E-4</c:v>
                </c:pt>
                <c:pt idx="43">
                  <c:v>8.2417650434615461E-4</c:v>
                </c:pt>
                <c:pt idx="44">
                  <c:v>8.2492913847841002E-4</c:v>
                </c:pt>
                <c:pt idx="45">
                  <c:v>8.2566234854003289E-4</c:v>
                </c:pt>
                <c:pt idx="46">
                  <c:v>8.2774543430110664E-4</c:v>
                </c:pt>
                <c:pt idx="47">
                  <c:v>8.284009480801996E-4</c:v>
                </c:pt>
                <c:pt idx="48">
                  <c:v>8.2903703778866025E-4</c:v>
                </c:pt>
                <c:pt idx="49">
                  <c:v>8.2965370342648836E-4</c:v>
                </c:pt>
                <c:pt idx="50">
                  <c:v>8.3025094499368393E-4</c:v>
                </c:pt>
                <c:pt idx="51">
                  <c:v>8.3192612527147611E-4</c:v>
                </c:pt>
                <c:pt idx="52">
                  <c:v>8.3244567055614199E-4</c:v>
                </c:pt>
                <c:pt idx="53">
                  <c:v>8.3294579177017544E-4</c:v>
                </c:pt>
                <c:pt idx="54">
                  <c:v>8.3342648891357625E-4</c:v>
                </c:pt>
                <c:pt idx="55">
                  <c:v>8.3388776198634474E-4</c:v>
                </c:pt>
                <c:pt idx="56">
                  <c:v>8.3515503678085546E-4</c:v>
                </c:pt>
                <c:pt idx="57">
                  <c:v>8.3553861357109403E-4</c:v>
                </c:pt>
                <c:pt idx="58">
                  <c:v>8.3590276629070019E-4</c:v>
                </c:pt>
                <c:pt idx="59">
                  <c:v>8.3624749493967402E-4</c:v>
                </c:pt>
                <c:pt idx="60">
                  <c:v>8.3767977712505574E-4</c:v>
                </c:pt>
                <c:pt idx="61">
                  <c:v>8.379079613502347E-4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474176"/>
        <c:axId val="537475712"/>
      </c:lineChart>
      <c:dateAx>
        <c:axId val="5374741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7475712"/>
        <c:crosses val="autoZero"/>
        <c:auto val="1"/>
        <c:lblOffset val="100"/>
        <c:baseTimeUnit val="days"/>
      </c:dateAx>
      <c:valAx>
        <c:axId val="537475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7474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2.197591524917795E-3</c:v>
                </c:pt>
                <c:pt idx="1">
                  <c:v>2.197591524917795E-3</c:v>
                </c:pt>
                <c:pt idx="2">
                  <c:v>2.197591524917795E-3</c:v>
                </c:pt>
                <c:pt idx="3">
                  <c:v>2.197591524917795E-3</c:v>
                </c:pt>
                <c:pt idx="4">
                  <c:v>2.197591524917795E-3</c:v>
                </c:pt>
                <c:pt idx="5">
                  <c:v>2.197591524917795E-3</c:v>
                </c:pt>
                <c:pt idx="6">
                  <c:v>2.197591524917795E-3</c:v>
                </c:pt>
                <c:pt idx="7">
                  <c:v>2.197591524917795E-3</c:v>
                </c:pt>
                <c:pt idx="8">
                  <c:v>2.197591524917795E-3</c:v>
                </c:pt>
                <c:pt idx="9">
                  <c:v>2.197591524917795E-3</c:v>
                </c:pt>
                <c:pt idx="10">
                  <c:v>2.197591524917795E-3</c:v>
                </c:pt>
                <c:pt idx="11">
                  <c:v>2.197591524917795E-3</c:v>
                </c:pt>
                <c:pt idx="12">
                  <c:v>2.197591524917795E-3</c:v>
                </c:pt>
                <c:pt idx="13">
                  <c:v>2.197591524917795E-3</c:v>
                </c:pt>
                <c:pt idx="14">
                  <c:v>2.197591524917795E-3</c:v>
                </c:pt>
                <c:pt idx="15">
                  <c:v>2.197591524917795E-3</c:v>
                </c:pt>
                <c:pt idx="16">
                  <c:v>2.197591524917795E-3</c:v>
                </c:pt>
                <c:pt idx="17">
                  <c:v>2.197591524917795E-3</c:v>
                </c:pt>
                <c:pt idx="18">
                  <c:v>2.197591524917795E-3</c:v>
                </c:pt>
                <c:pt idx="19">
                  <c:v>2.197591524917795E-3</c:v>
                </c:pt>
                <c:pt idx="20">
                  <c:v>2.197591524917795E-3</c:v>
                </c:pt>
                <c:pt idx="21">
                  <c:v>2.197591524917795E-3</c:v>
                </c:pt>
                <c:pt idx="22">
                  <c:v>2.197591524917795E-3</c:v>
                </c:pt>
                <c:pt idx="23">
                  <c:v>2.197591524917795E-3</c:v>
                </c:pt>
                <c:pt idx="24">
                  <c:v>2.197591524917795E-3</c:v>
                </c:pt>
                <c:pt idx="25">
                  <c:v>2.197591524917795E-3</c:v>
                </c:pt>
                <c:pt idx="26">
                  <c:v>2.197591524917795E-3</c:v>
                </c:pt>
                <c:pt idx="27">
                  <c:v>2.197591524917795E-3</c:v>
                </c:pt>
                <c:pt idx="28">
                  <c:v>2.197591524917795E-3</c:v>
                </c:pt>
                <c:pt idx="29">
                  <c:v>2.197591524917795E-3</c:v>
                </c:pt>
                <c:pt idx="30">
                  <c:v>2.197591524917795E-3</c:v>
                </c:pt>
                <c:pt idx="31">
                  <c:v>2.197591524917795E-3</c:v>
                </c:pt>
                <c:pt idx="32">
                  <c:v>2.197591524917795E-3</c:v>
                </c:pt>
                <c:pt idx="33">
                  <c:v>2.197591524917795E-3</c:v>
                </c:pt>
                <c:pt idx="34">
                  <c:v>2.197591524917795E-3</c:v>
                </c:pt>
                <c:pt idx="35">
                  <c:v>2.197591524917795E-3</c:v>
                </c:pt>
                <c:pt idx="36">
                  <c:v>2.197591524917795E-3</c:v>
                </c:pt>
                <c:pt idx="37">
                  <c:v>2.197591524917795E-3</c:v>
                </c:pt>
                <c:pt idx="38">
                  <c:v>2.197591524917795E-3</c:v>
                </c:pt>
                <c:pt idx="39">
                  <c:v>2.197591524917795E-3</c:v>
                </c:pt>
                <c:pt idx="40">
                  <c:v>2.197591524917795E-3</c:v>
                </c:pt>
                <c:pt idx="41">
                  <c:v>2.197591524917795E-3</c:v>
                </c:pt>
                <c:pt idx="42">
                  <c:v>2.197591524917795E-3</c:v>
                </c:pt>
                <c:pt idx="43">
                  <c:v>2.197591524917795E-3</c:v>
                </c:pt>
                <c:pt idx="44">
                  <c:v>2.197591524917795E-3</c:v>
                </c:pt>
                <c:pt idx="45">
                  <c:v>2.197591524917795E-3</c:v>
                </c:pt>
                <c:pt idx="46">
                  <c:v>2.197591524917795E-3</c:v>
                </c:pt>
                <c:pt idx="47">
                  <c:v>2.197591524917795E-3</c:v>
                </c:pt>
                <c:pt idx="48">
                  <c:v>2.197591524917795E-3</c:v>
                </c:pt>
                <c:pt idx="49">
                  <c:v>2.197591524917795E-3</c:v>
                </c:pt>
                <c:pt idx="50">
                  <c:v>2.197591524917795E-3</c:v>
                </c:pt>
                <c:pt idx="51">
                  <c:v>2.197591524917795E-3</c:v>
                </c:pt>
                <c:pt idx="52">
                  <c:v>2.197591524917795E-3</c:v>
                </c:pt>
                <c:pt idx="53">
                  <c:v>2.197591524917795E-3</c:v>
                </c:pt>
                <c:pt idx="54">
                  <c:v>2.197591524917795E-3</c:v>
                </c:pt>
                <c:pt idx="55">
                  <c:v>2.197591524917795E-3</c:v>
                </c:pt>
                <c:pt idx="56">
                  <c:v>2.197591524917795E-3</c:v>
                </c:pt>
                <c:pt idx="57">
                  <c:v>2.197591524917795E-3</c:v>
                </c:pt>
                <c:pt idx="58">
                  <c:v>2.197591524917795E-3</c:v>
                </c:pt>
                <c:pt idx="59">
                  <c:v>2.197591524917795E-3</c:v>
                </c:pt>
                <c:pt idx="60">
                  <c:v>2.197591524917795E-3</c:v>
                </c:pt>
                <c:pt idx="61">
                  <c:v>2.197591524917795E-3</c:v>
                </c:pt>
                <c:pt idx="62">
                  <c:v>2.197591524917795E-3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2.2385079998172991E-3</c:v>
                </c:pt>
                <c:pt idx="1">
                  <c:v>2.2376466003457304E-3</c:v>
                </c:pt>
                <c:pt idx="2">
                  <c:v>2.2342010024594566E-3</c:v>
                </c:pt>
                <c:pt idx="3">
                  <c:v>2.2333396029878883E-3</c:v>
                </c:pt>
                <c:pt idx="4">
                  <c:v>2.2324782035163197E-3</c:v>
                </c:pt>
                <c:pt idx="5">
                  <c:v>2.231616804044751E-3</c:v>
                </c:pt>
                <c:pt idx="6">
                  <c:v>2.2290326056300458E-3</c:v>
                </c:pt>
                <c:pt idx="7">
                  <c:v>2.2281712061584772E-3</c:v>
                </c:pt>
                <c:pt idx="8">
                  <c:v>2.2273098066869089E-3</c:v>
                </c:pt>
                <c:pt idx="9">
                  <c:v>2.2264484072153402E-3</c:v>
                </c:pt>
                <c:pt idx="10">
                  <c:v>2.2255870077437716E-3</c:v>
                </c:pt>
                <c:pt idx="11">
                  <c:v>2.2230028093290664E-3</c:v>
                </c:pt>
                <c:pt idx="12">
                  <c:v>2.2221414098574977E-3</c:v>
                </c:pt>
                <c:pt idx="13">
                  <c:v>2.2212800103859295E-3</c:v>
                </c:pt>
                <c:pt idx="14">
                  <c:v>2.2204186109143608E-3</c:v>
                </c:pt>
                <c:pt idx="15">
                  <c:v>2.2195572114427921E-3</c:v>
                </c:pt>
                <c:pt idx="16">
                  <c:v>2.216973013028087E-3</c:v>
                </c:pt>
                <c:pt idx="17">
                  <c:v>2.2161116135565183E-3</c:v>
                </c:pt>
                <c:pt idx="18">
                  <c:v>2.2152502140849501E-3</c:v>
                </c:pt>
                <c:pt idx="19">
                  <c:v>2.2143888146133814E-3</c:v>
                </c:pt>
                <c:pt idx="20">
                  <c:v>2.2135274151418127E-3</c:v>
                </c:pt>
                <c:pt idx="21">
                  <c:v>2.2109432167271076E-3</c:v>
                </c:pt>
                <c:pt idx="22">
                  <c:v>2.2100818172555389E-3</c:v>
                </c:pt>
                <c:pt idx="23">
                  <c:v>2.2092204177839706E-3</c:v>
                </c:pt>
                <c:pt idx="24">
                  <c:v>2.208359018312402E-3</c:v>
                </c:pt>
                <c:pt idx="25">
                  <c:v>2.2074976188408333E-3</c:v>
                </c:pt>
                <c:pt idx="26">
                  <c:v>2.2049134204261281E-3</c:v>
                </c:pt>
                <c:pt idx="27">
                  <c:v>2.2040520209545594E-3</c:v>
                </c:pt>
                <c:pt idx="28">
                  <c:v>2.2031906214829912E-3</c:v>
                </c:pt>
                <c:pt idx="29">
                  <c:v>2.2023292220114225E-3</c:v>
                </c:pt>
                <c:pt idx="30">
                  <c:v>2.2014678225398543E-3</c:v>
                </c:pt>
                <c:pt idx="31">
                  <c:v>2.1988836241251487E-3</c:v>
                </c:pt>
                <c:pt idx="32">
                  <c:v>2.19802222465358E-3</c:v>
                </c:pt>
                <c:pt idx="33">
                  <c:v>2.1971608251820118E-3</c:v>
                </c:pt>
                <c:pt idx="34">
                  <c:v>2.1962994257104431E-3</c:v>
                </c:pt>
                <c:pt idx="35">
                  <c:v>2.1954380262388749E-3</c:v>
                </c:pt>
                <c:pt idx="36">
                  <c:v>2.1928538278241693E-3</c:v>
                </c:pt>
                <c:pt idx="37">
                  <c:v>2.1919924283526006E-3</c:v>
                </c:pt>
                <c:pt idx="38">
                  <c:v>2.1911310288810324E-3</c:v>
                </c:pt>
                <c:pt idx="39">
                  <c:v>2.1902696294094637E-3</c:v>
                </c:pt>
                <c:pt idx="40">
                  <c:v>2.1894082299378954E-3</c:v>
                </c:pt>
                <c:pt idx="41">
                  <c:v>2.1868240315231898E-3</c:v>
                </c:pt>
                <c:pt idx="42">
                  <c:v>2.1859626320516212E-3</c:v>
                </c:pt>
                <c:pt idx="43">
                  <c:v>2.1851012325800529E-3</c:v>
                </c:pt>
                <c:pt idx="44">
                  <c:v>2.1842398331084843E-3</c:v>
                </c:pt>
                <c:pt idx="45">
                  <c:v>2.183378433636916E-3</c:v>
                </c:pt>
                <c:pt idx="46">
                  <c:v>2.1807942352222104E-3</c:v>
                </c:pt>
                <c:pt idx="47">
                  <c:v>2.1799328357506417E-3</c:v>
                </c:pt>
                <c:pt idx="48">
                  <c:v>2.1790714362790735E-3</c:v>
                </c:pt>
                <c:pt idx="49">
                  <c:v>2.1782100368075048E-3</c:v>
                </c:pt>
                <c:pt idx="50">
                  <c:v>2.1773486373359366E-3</c:v>
                </c:pt>
                <c:pt idx="51">
                  <c:v>2.174764438921231E-3</c:v>
                </c:pt>
                <c:pt idx="52">
                  <c:v>2.1739030394496623E-3</c:v>
                </c:pt>
                <c:pt idx="53">
                  <c:v>2.1730416399780941E-3</c:v>
                </c:pt>
                <c:pt idx="54">
                  <c:v>2.1721802405065254E-3</c:v>
                </c:pt>
                <c:pt idx="55">
                  <c:v>2.1713188410349572E-3</c:v>
                </c:pt>
                <c:pt idx="56">
                  <c:v>2.1687346426202516E-3</c:v>
                </c:pt>
                <c:pt idx="57">
                  <c:v>2.1678732431486829E-3</c:v>
                </c:pt>
                <c:pt idx="58">
                  <c:v>2.1670118436771147E-3</c:v>
                </c:pt>
                <c:pt idx="59">
                  <c:v>2.166150444205546E-3</c:v>
                </c:pt>
                <c:pt idx="60">
                  <c:v>2.1618434468477035E-3</c:v>
                </c:pt>
                <c:pt idx="61">
                  <c:v>2.1609820473761352E-3</c:v>
                </c:pt>
                <c:pt idx="62">
                  <c:v>2.1601206479045666E-3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2.2394040444377091E-3</c:v>
                </c:pt>
                <c:pt idx="1">
                  <c:v>2.2385043880464479E-3</c:v>
                </c:pt>
                <c:pt idx="2">
                  <c:v>2.2349119847773677E-3</c:v>
                </c:pt>
                <c:pt idx="3">
                  <c:v>2.2340154395340886E-3</c:v>
                </c:pt>
                <c:pt idx="4">
                  <c:v>2.2331195165204059E-3</c:v>
                </c:pt>
                <c:pt idx="5">
                  <c:v>2.2322242157363195E-3</c:v>
                </c:pt>
                <c:pt idx="6">
                  <c:v>2.229542046761639E-3</c:v>
                </c:pt>
                <c:pt idx="7">
                  <c:v>2.2286492348959383E-3</c:v>
                </c:pt>
                <c:pt idx="8">
                  <c:v>2.227757045259834E-3</c:v>
                </c:pt>
                <c:pt idx="9">
                  <c:v>2.2268654778533257E-3</c:v>
                </c:pt>
                <c:pt idx="10">
                  <c:v>2.2259745326764142E-3</c:v>
                </c:pt>
                <c:pt idx="11">
                  <c:v>2.2233054305232573E-3</c:v>
                </c:pt>
                <c:pt idx="12">
                  <c:v>2.2224169742647315E-3</c:v>
                </c:pt>
                <c:pt idx="13">
                  <c:v>2.221529140235802E-3</c:v>
                </c:pt>
                <c:pt idx="14">
                  <c:v>2.2206419284364685E-3</c:v>
                </c:pt>
                <c:pt idx="15">
                  <c:v>2.2197553388667315E-3</c:v>
                </c:pt>
                <c:pt idx="16">
                  <c:v>2.2170993035350991E-3</c:v>
                </c:pt>
                <c:pt idx="17">
                  <c:v>2.2162152028837477E-3</c:v>
                </c:pt>
                <c:pt idx="18">
                  <c:v>2.2153317244619926E-3</c:v>
                </c:pt>
                <c:pt idx="19">
                  <c:v>2.2144488682698344E-3</c:v>
                </c:pt>
                <c:pt idx="20">
                  <c:v>2.2135666343072718E-3</c:v>
                </c:pt>
                <c:pt idx="21">
                  <c:v>2.2109236657971636E-3</c:v>
                </c:pt>
                <c:pt idx="22">
                  <c:v>2.210043920752987E-3</c:v>
                </c:pt>
                <c:pt idx="23">
                  <c:v>2.2091647979384068E-3</c:v>
                </c:pt>
                <c:pt idx="24">
                  <c:v>2.2082862973534225E-3</c:v>
                </c:pt>
                <c:pt idx="25">
                  <c:v>2.2074084189980352E-3</c:v>
                </c:pt>
                <c:pt idx="26">
                  <c:v>2.204778517309451E-3</c:v>
                </c:pt>
                <c:pt idx="27">
                  <c:v>2.2039031278724489E-3</c:v>
                </c:pt>
                <c:pt idx="28">
                  <c:v>2.2030283606650431E-3</c:v>
                </c:pt>
                <c:pt idx="29">
                  <c:v>2.2021542156872337E-3</c:v>
                </c:pt>
                <c:pt idx="30">
                  <c:v>2.2012806929390212E-3</c:v>
                </c:pt>
                <c:pt idx="31">
                  <c:v>2.1986638580719611E-3</c:v>
                </c:pt>
                <c:pt idx="32">
                  <c:v>2.1977928242421342E-3</c:v>
                </c:pt>
                <c:pt idx="33">
                  <c:v>2.1969224126419029E-3</c:v>
                </c:pt>
                <c:pt idx="34">
                  <c:v>2.1960526232712684E-3</c:v>
                </c:pt>
                <c:pt idx="35">
                  <c:v>2.1951834561302302E-3</c:v>
                </c:pt>
                <c:pt idx="36">
                  <c:v>2.1925796880846943E-3</c:v>
                </c:pt>
                <c:pt idx="37">
                  <c:v>2.1917130098620414E-3</c:v>
                </c:pt>
                <c:pt idx="38">
                  <c:v>2.1908469538689853E-3</c:v>
                </c:pt>
                <c:pt idx="39">
                  <c:v>2.1899815201055256E-3</c:v>
                </c:pt>
                <c:pt idx="40">
                  <c:v>2.1891167085716623E-3</c:v>
                </c:pt>
                <c:pt idx="41">
                  <c:v>2.1865260073476501E-3</c:v>
                </c:pt>
                <c:pt idx="42">
                  <c:v>2.1856636847321725E-3</c:v>
                </c:pt>
                <c:pt idx="43">
                  <c:v>2.1848019843462912E-3</c:v>
                </c:pt>
                <c:pt idx="44">
                  <c:v>2.1839409061900059E-3</c:v>
                </c:pt>
                <c:pt idx="45">
                  <c:v>2.1830804502633175E-3</c:v>
                </c:pt>
                <c:pt idx="46">
                  <c:v>2.1805028158608294E-3</c:v>
                </c:pt>
                <c:pt idx="47">
                  <c:v>2.1796448488525261E-3</c:v>
                </c:pt>
                <c:pt idx="48">
                  <c:v>2.1787875040738193E-3</c:v>
                </c:pt>
                <c:pt idx="49">
                  <c:v>2.1779307815247093E-3</c:v>
                </c:pt>
                <c:pt idx="50">
                  <c:v>2.1770746812051953E-3</c:v>
                </c:pt>
                <c:pt idx="51">
                  <c:v>2.1745101136242313E-3</c:v>
                </c:pt>
                <c:pt idx="52">
                  <c:v>2.1736565022231029E-3</c:v>
                </c:pt>
                <c:pt idx="53">
                  <c:v>2.1728035130515709E-3</c:v>
                </c:pt>
                <c:pt idx="54">
                  <c:v>2.1719511461096353E-3</c:v>
                </c:pt>
                <c:pt idx="55">
                  <c:v>2.1710994013972962E-3</c:v>
                </c:pt>
                <c:pt idx="56">
                  <c:v>2.1685479006378562E-3</c:v>
                </c:pt>
                <c:pt idx="57">
                  <c:v>2.1676986448439027E-3</c:v>
                </c:pt>
                <c:pt idx="58">
                  <c:v>2.1668500112795451E-3</c:v>
                </c:pt>
                <c:pt idx="59">
                  <c:v>2.1660019999447844E-3</c:v>
                </c:pt>
                <c:pt idx="60">
                  <c:v>2.1617712767149251E-3</c:v>
                </c:pt>
                <c:pt idx="61">
                  <c:v>2.1609269987577424E-3</c:v>
                </c:pt>
                <c:pt idx="62">
                  <c:v>2.1600833430301565E-3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449792"/>
        <c:axId val="540451584"/>
      </c:lineChart>
      <c:dateAx>
        <c:axId val="5404497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0451584"/>
        <c:crosses val="autoZero"/>
        <c:auto val="1"/>
        <c:lblOffset val="100"/>
        <c:baseTimeUnit val="days"/>
      </c:dateAx>
      <c:valAx>
        <c:axId val="5404515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0449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  <c:pt idx="63">
                  <c:v>42373</c:v>
                </c:pt>
                <c:pt idx="64">
                  <c:v>42374</c:v>
                </c:pt>
                <c:pt idx="65">
                  <c:v>42375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42396</c:v>
                </c:pt>
                <c:pt idx="80">
                  <c:v>42397</c:v>
                </c:pt>
                <c:pt idx="81">
                  <c:v>42398</c:v>
                </c:pt>
                <c:pt idx="82">
                  <c:v>42401</c:v>
                </c:pt>
                <c:pt idx="83">
                  <c:v>42402</c:v>
                </c:pt>
                <c:pt idx="84">
                  <c:v>42403</c:v>
                </c:pt>
                <c:pt idx="85">
                  <c:v>42404</c:v>
                </c:pt>
                <c:pt idx="86">
                  <c:v>42405</c:v>
                </c:pt>
                <c:pt idx="87">
                  <c:v>42408</c:v>
                </c:pt>
                <c:pt idx="88">
                  <c:v>42409</c:v>
                </c:pt>
                <c:pt idx="89">
                  <c:v>42410</c:v>
                </c:pt>
                <c:pt idx="90">
                  <c:v>42411</c:v>
                </c:pt>
                <c:pt idx="91">
                  <c:v>42412</c:v>
                </c:pt>
                <c:pt idx="92">
                  <c:v>42415</c:v>
                </c:pt>
                <c:pt idx="93">
                  <c:v>42416</c:v>
                </c:pt>
                <c:pt idx="94">
                  <c:v>42417</c:v>
                </c:pt>
                <c:pt idx="95">
                  <c:v>42418</c:v>
                </c:pt>
                <c:pt idx="96">
                  <c:v>42419</c:v>
                </c:pt>
                <c:pt idx="97">
                  <c:v>42422</c:v>
                </c:pt>
                <c:pt idx="98">
                  <c:v>42423</c:v>
                </c:pt>
                <c:pt idx="99">
                  <c:v>42424</c:v>
                </c:pt>
                <c:pt idx="100">
                  <c:v>42425</c:v>
                </c:pt>
                <c:pt idx="101">
                  <c:v>42426</c:v>
                </c:pt>
                <c:pt idx="102">
                  <c:v>42429</c:v>
                </c:pt>
                <c:pt idx="103">
                  <c:v>42430</c:v>
                </c:pt>
                <c:pt idx="104">
                  <c:v>42431</c:v>
                </c:pt>
                <c:pt idx="105">
                  <c:v>42432</c:v>
                </c:pt>
                <c:pt idx="106">
                  <c:v>42433</c:v>
                </c:pt>
                <c:pt idx="107">
                  <c:v>42436</c:v>
                </c:pt>
                <c:pt idx="108">
                  <c:v>42437</c:v>
                </c:pt>
                <c:pt idx="109">
                  <c:v>42438</c:v>
                </c:pt>
                <c:pt idx="110">
                  <c:v>42439</c:v>
                </c:pt>
                <c:pt idx="111">
                  <c:v>42440</c:v>
                </c:pt>
                <c:pt idx="112">
                  <c:v>42443</c:v>
                </c:pt>
                <c:pt idx="113">
                  <c:v>42444</c:v>
                </c:pt>
                <c:pt idx="114">
                  <c:v>42445</c:v>
                </c:pt>
                <c:pt idx="115">
                  <c:v>42446</c:v>
                </c:pt>
                <c:pt idx="116">
                  <c:v>42447</c:v>
                </c:pt>
                <c:pt idx="117">
                  <c:v>42450</c:v>
                </c:pt>
                <c:pt idx="118">
                  <c:v>42451</c:v>
                </c:pt>
                <c:pt idx="119">
                  <c:v>42452</c:v>
                </c:pt>
                <c:pt idx="120">
                  <c:v>42453</c:v>
                </c:pt>
                <c:pt idx="121">
                  <c:v>42458</c:v>
                </c:pt>
                <c:pt idx="122">
                  <c:v>42459</c:v>
                </c:pt>
                <c:pt idx="123">
                  <c:v>42460</c:v>
                </c:pt>
                <c:pt idx="124">
                  <c:v>42461</c:v>
                </c:pt>
                <c:pt idx="125">
                  <c:v>42464</c:v>
                </c:pt>
                <c:pt idx="126">
                  <c:v>42465</c:v>
                </c:pt>
                <c:pt idx="127">
                  <c:v>42466</c:v>
                </c:pt>
                <c:pt idx="128">
                  <c:v>42467</c:v>
                </c:pt>
                <c:pt idx="129">
                  <c:v>42468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3.5125944127267503E-3</c:v>
                </c:pt>
                <c:pt idx="1">
                  <c:v>3.5125944127267503E-3</c:v>
                </c:pt>
                <c:pt idx="2">
                  <c:v>3.5125944127267503E-3</c:v>
                </c:pt>
                <c:pt idx="3">
                  <c:v>3.5125944127267503E-3</c:v>
                </c:pt>
                <c:pt idx="4">
                  <c:v>3.5125944127267503E-3</c:v>
                </c:pt>
                <c:pt idx="5">
                  <c:v>3.5125944127267503E-3</c:v>
                </c:pt>
                <c:pt idx="6">
                  <c:v>3.5125944127267503E-3</c:v>
                </c:pt>
                <c:pt idx="7">
                  <c:v>3.5125944127267503E-3</c:v>
                </c:pt>
                <c:pt idx="8">
                  <c:v>3.5125944127267503E-3</c:v>
                </c:pt>
                <c:pt idx="9">
                  <c:v>3.5125944127267503E-3</c:v>
                </c:pt>
                <c:pt idx="10">
                  <c:v>3.5125944127267503E-3</c:v>
                </c:pt>
                <c:pt idx="11">
                  <c:v>3.5125944127267503E-3</c:v>
                </c:pt>
                <c:pt idx="12">
                  <c:v>3.5125944127267503E-3</c:v>
                </c:pt>
                <c:pt idx="13">
                  <c:v>3.5125944127267503E-3</c:v>
                </c:pt>
                <c:pt idx="14">
                  <c:v>3.5125944127267503E-3</c:v>
                </c:pt>
                <c:pt idx="15">
                  <c:v>3.5125944127267503E-3</c:v>
                </c:pt>
                <c:pt idx="16">
                  <c:v>3.5125944127267503E-3</c:v>
                </c:pt>
                <c:pt idx="17">
                  <c:v>3.5125944127267503E-3</c:v>
                </c:pt>
                <c:pt idx="18">
                  <c:v>3.5125944127267503E-3</c:v>
                </c:pt>
                <c:pt idx="19">
                  <c:v>3.5125944127267503E-3</c:v>
                </c:pt>
                <c:pt idx="20">
                  <c:v>3.5125944127267503E-3</c:v>
                </c:pt>
                <c:pt idx="21">
                  <c:v>3.5125944127267503E-3</c:v>
                </c:pt>
                <c:pt idx="22">
                  <c:v>3.5125944127267503E-3</c:v>
                </c:pt>
                <c:pt idx="23">
                  <c:v>3.5125944127267503E-3</c:v>
                </c:pt>
                <c:pt idx="24">
                  <c:v>3.5125944127267503E-3</c:v>
                </c:pt>
                <c:pt idx="25">
                  <c:v>3.5125944127267503E-3</c:v>
                </c:pt>
                <c:pt idx="26">
                  <c:v>3.5125944127267503E-3</c:v>
                </c:pt>
                <c:pt idx="27">
                  <c:v>3.5125944127267503E-3</c:v>
                </c:pt>
                <c:pt idx="28">
                  <c:v>3.5125944127267503E-3</c:v>
                </c:pt>
                <c:pt idx="29">
                  <c:v>3.5125944127267503E-3</c:v>
                </c:pt>
                <c:pt idx="30">
                  <c:v>3.5125944127267503E-3</c:v>
                </c:pt>
                <c:pt idx="31">
                  <c:v>3.5125944127267503E-3</c:v>
                </c:pt>
                <c:pt idx="32">
                  <c:v>3.5125944127267503E-3</c:v>
                </c:pt>
                <c:pt idx="33">
                  <c:v>3.5125944127267503E-3</c:v>
                </c:pt>
                <c:pt idx="34">
                  <c:v>3.5125944127267503E-3</c:v>
                </c:pt>
                <c:pt idx="35">
                  <c:v>3.5125944127267503E-3</c:v>
                </c:pt>
                <c:pt idx="36">
                  <c:v>3.5125944127267503E-3</c:v>
                </c:pt>
                <c:pt idx="37">
                  <c:v>3.5125944127267503E-3</c:v>
                </c:pt>
                <c:pt idx="38">
                  <c:v>3.5125944127267503E-3</c:v>
                </c:pt>
                <c:pt idx="39">
                  <c:v>3.5125944127267503E-3</c:v>
                </c:pt>
                <c:pt idx="40">
                  <c:v>3.5125944127267503E-3</c:v>
                </c:pt>
                <c:pt idx="41">
                  <c:v>3.5125944127267503E-3</c:v>
                </c:pt>
                <c:pt idx="42">
                  <c:v>3.5125944127267503E-3</c:v>
                </c:pt>
                <c:pt idx="43">
                  <c:v>3.5125944127267503E-3</c:v>
                </c:pt>
                <c:pt idx="44">
                  <c:v>3.5125944127267503E-3</c:v>
                </c:pt>
                <c:pt idx="45">
                  <c:v>3.5125944127267503E-3</c:v>
                </c:pt>
                <c:pt idx="46">
                  <c:v>3.5125944127267503E-3</c:v>
                </c:pt>
                <c:pt idx="47">
                  <c:v>3.5125944127267503E-3</c:v>
                </c:pt>
                <c:pt idx="48">
                  <c:v>3.5125944127267503E-3</c:v>
                </c:pt>
                <c:pt idx="49">
                  <c:v>3.5125944127267503E-3</c:v>
                </c:pt>
                <c:pt idx="50">
                  <c:v>3.5125944127267503E-3</c:v>
                </c:pt>
                <c:pt idx="51">
                  <c:v>3.5125944127267503E-3</c:v>
                </c:pt>
                <c:pt idx="52">
                  <c:v>3.5125944127267503E-3</c:v>
                </c:pt>
                <c:pt idx="53">
                  <c:v>3.5125944127267503E-3</c:v>
                </c:pt>
                <c:pt idx="54">
                  <c:v>3.5125944127267503E-3</c:v>
                </c:pt>
                <c:pt idx="55">
                  <c:v>3.5125944127267503E-3</c:v>
                </c:pt>
                <c:pt idx="56">
                  <c:v>3.5125944127267503E-3</c:v>
                </c:pt>
                <c:pt idx="57">
                  <c:v>3.5125944127267503E-3</c:v>
                </c:pt>
                <c:pt idx="58">
                  <c:v>3.5125944127267503E-3</c:v>
                </c:pt>
                <c:pt idx="59">
                  <c:v>3.5125944127267503E-3</c:v>
                </c:pt>
                <c:pt idx="60">
                  <c:v>3.5125944127267503E-3</c:v>
                </c:pt>
                <c:pt idx="61">
                  <c:v>3.5125944127267503E-3</c:v>
                </c:pt>
                <c:pt idx="62">
                  <c:v>3.5125944127267503E-3</c:v>
                </c:pt>
                <c:pt idx="63">
                  <c:v>3.5125944127267503E-3</c:v>
                </c:pt>
                <c:pt idx="64">
                  <c:v>3.5125944127267503E-3</c:v>
                </c:pt>
                <c:pt idx="65">
                  <c:v>3.5125944127267503E-3</c:v>
                </c:pt>
                <c:pt idx="66">
                  <c:v>3.5125944127267503E-3</c:v>
                </c:pt>
                <c:pt idx="67">
                  <c:v>3.5125944127267503E-3</c:v>
                </c:pt>
                <c:pt idx="68">
                  <c:v>3.5125944127267503E-3</c:v>
                </c:pt>
                <c:pt idx="69">
                  <c:v>3.5125944127267503E-3</c:v>
                </c:pt>
                <c:pt idx="70">
                  <c:v>3.5125944127267503E-3</c:v>
                </c:pt>
                <c:pt idx="71">
                  <c:v>3.5125944127267503E-3</c:v>
                </c:pt>
                <c:pt idx="72">
                  <c:v>3.5125944127267503E-3</c:v>
                </c:pt>
                <c:pt idx="73">
                  <c:v>3.5125944127267503E-3</c:v>
                </c:pt>
                <c:pt idx="74">
                  <c:v>3.5125944127267503E-3</c:v>
                </c:pt>
                <c:pt idx="75">
                  <c:v>3.5125944127267503E-3</c:v>
                </c:pt>
                <c:pt idx="76">
                  <c:v>3.5125944127267503E-3</c:v>
                </c:pt>
                <c:pt idx="77">
                  <c:v>3.5125944127267503E-3</c:v>
                </c:pt>
                <c:pt idx="78">
                  <c:v>3.5125944127267503E-3</c:v>
                </c:pt>
                <c:pt idx="79">
                  <c:v>3.5125944127267503E-3</c:v>
                </c:pt>
                <c:pt idx="80">
                  <c:v>3.5125944127267503E-3</c:v>
                </c:pt>
                <c:pt idx="81">
                  <c:v>3.5125944127267503E-3</c:v>
                </c:pt>
                <c:pt idx="82">
                  <c:v>3.5125944127267503E-3</c:v>
                </c:pt>
                <c:pt idx="83">
                  <c:v>3.5125944127267503E-3</c:v>
                </c:pt>
                <c:pt idx="84">
                  <c:v>3.5125944127267503E-3</c:v>
                </c:pt>
                <c:pt idx="85">
                  <c:v>3.5125944127267503E-3</c:v>
                </c:pt>
                <c:pt idx="86">
                  <c:v>3.5125944127267503E-3</c:v>
                </c:pt>
                <c:pt idx="87">
                  <c:v>3.5125944127267503E-3</c:v>
                </c:pt>
                <c:pt idx="88">
                  <c:v>3.5125944127267503E-3</c:v>
                </c:pt>
                <c:pt idx="89">
                  <c:v>3.5125944127267503E-3</c:v>
                </c:pt>
                <c:pt idx="90">
                  <c:v>3.5125944127267503E-3</c:v>
                </c:pt>
                <c:pt idx="91">
                  <c:v>3.5125944127267503E-3</c:v>
                </c:pt>
                <c:pt idx="92">
                  <c:v>3.5125944127267503E-3</c:v>
                </c:pt>
                <c:pt idx="93">
                  <c:v>3.5125944127267503E-3</c:v>
                </c:pt>
                <c:pt idx="94">
                  <c:v>3.5125944127267503E-3</c:v>
                </c:pt>
                <c:pt idx="95">
                  <c:v>3.5125944127267503E-3</c:v>
                </c:pt>
                <c:pt idx="96">
                  <c:v>3.5125944127267503E-3</c:v>
                </c:pt>
                <c:pt idx="97">
                  <c:v>3.5125944127267503E-3</c:v>
                </c:pt>
                <c:pt idx="98">
                  <c:v>3.5125944127267503E-3</c:v>
                </c:pt>
                <c:pt idx="99">
                  <c:v>3.5125944127267503E-3</c:v>
                </c:pt>
                <c:pt idx="100">
                  <c:v>3.5125944127267503E-3</c:v>
                </c:pt>
                <c:pt idx="101">
                  <c:v>3.5125944127267503E-3</c:v>
                </c:pt>
                <c:pt idx="102">
                  <c:v>3.5125944127267503E-3</c:v>
                </c:pt>
                <c:pt idx="103">
                  <c:v>3.5125944127267503E-3</c:v>
                </c:pt>
                <c:pt idx="104">
                  <c:v>3.5125944127267503E-3</c:v>
                </c:pt>
                <c:pt idx="105">
                  <c:v>3.5125944127267503E-3</c:v>
                </c:pt>
                <c:pt idx="106">
                  <c:v>3.5125944127267503E-3</c:v>
                </c:pt>
                <c:pt idx="107">
                  <c:v>3.5125944127267503E-3</c:v>
                </c:pt>
                <c:pt idx="108">
                  <c:v>3.5125944127267503E-3</c:v>
                </c:pt>
                <c:pt idx="109">
                  <c:v>3.5125944127267503E-3</c:v>
                </c:pt>
                <c:pt idx="110">
                  <c:v>3.5125944127267503E-3</c:v>
                </c:pt>
                <c:pt idx="111">
                  <c:v>3.5125944127267503E-3</c:v>
                </c:pt>
                <c:pt idx="112">
                  <c:v>3.5125944127267503E-3</c:v>
                </c:pt>
                <c:pt idx="113">
                  <c:v>3.5125944127267503E-3</c:v>
                </c:pt>
                <c:pt idx="114">
                  <c:v>3.5125944127267503E-3</c:v>
                </c:pt>
                <c:pt idx="115">
                  <c:v>3.5125944127267503E-3</c:v>
                </c:pt>
                <c:pt idx="116">
                  <c:v>3.5125944127267503E-3</c:v>
                </c:pt>
                <c:pt idx="117">
                  <c:v>3.5125944127267503E-3</c:v>
                </c:pt>
                <c:pt idx="118">
                  <c:v>3.5125944127267503E-3</c:v>
                </c:pt>
                <c:pt idx="119">
                  <c:v>3.5125944127267503E-3</c:v>
                </c:pt>
                <c:pt idx="120">
                  <c:v>3.5125944127267503E-3</c:v>
                </c:pt>
                <c:pt idx="121">
                  <c:v>3.5125944127267503E-3</c:v>
                </c:pt>
                <c:pt idx="122">
                  <c:v>3.5125944127267503E-3</c:v>
                </c:pt>
                <c:pt idx="123">
                  <c:v>3.5125944127267503E-3</c:v>
                </c:pt>
                <c:pt idx="124">
                  <c:v>3.5125944127267503E-3</c:v>
                </c:pt>
                <c:pt idx="125">
                  <c:v>3.5125944127267503E-3</c:v>
                </c:pt>
                <c:pt idx="126">
                  <c:v>3.5125944127267503E-3</c:v>
                </c:pt>
                <c:pt idx="127">
                  <c:v>3.5125944127267503E-3</c:v>
                </c:pt>
                <c:pt idx="128">
                  <c:v>3.5125944127267503E-3</c:v>
                </c:pt>
                <c:pt idx="129">
                  <c:v>3.5125944127267503E-3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  <c:pt idx="63">
                  <c:v>42373</c:v>
                </c:pt>
                <c:pt idx="64">
                  <c:v>42374</c:v>
                </c:pt>
                <c:pt idx="65">
                  <c:v>42375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42396</c:v>
                </c:pt>
                <c:pt idx="80">
                  <c:v>42397</c:v>
                </c:pt>
                <c:pt idx="81">
                  <c:v>42398</c:v>
                </c:pt>
                <c:pt idx="82">
                  <c:v>42401</c:v>
                </c:pt>
                <c:pt idx="83">
                  <c:v>42402</c:v>
                </c:pt>
                <c:pt idx="84">
                  <c:v>42403</c:v>
                </c:pt>
                <c:pt idx="85">
                  <c:v>42404</c:v>
                </c:pt>
                <c:pt idx="86">
                  <c:v>42405</c:v>
                </c:pt>
                <c:pt idx="87">
                  <c:v>42408</c:v>
                </c:pt>
                <c:pt idx="88">
                  <c:v>42409</c:v>
                </c:pt>
                <c:pt idx="89">
                  <c:v>42410</c:v>
                </c:pt>
                <c:pt idx="90">
                  <c:v>42411</c:v>
                </c:pt>
                <c:pt idx="91">
                  <c:v>42412</c:v>
                </c:pt>
                <c:pt idx="92">
                  <c:v>42415</c:v>
                </c:pt>
                <c:pt idx="93">
                  <c:v>42416</c:v>
                </c:pt>
                <c:pt idx="94">
                  <c:v>42417</c:v>
                </c:pt>
                <c:pt idx="95">
                  <c:v>42418</c:v>
                </c:pt>
                <c:pt idx="96">
                  <c:v>42419</c:v>
                </c:pt>
                <c:pt idx="97">
                  <c:v>42422</c:v>
                </c:pt>
                <c:pt idx="98">
                  <c:v>42423</c:v>
                </c:pt>
                <c:pt idx="99">
                  <c:v>42424</c:v>
                </c:pt>
                <c:pt idx="100">
                  <c:v>42425</c:v>
                </c:pt>
                <c:pt idx="101">
                  <c:v>42426</c:v>
                </c:pt>
                <c:pt idx="102">
                  <c:v>42429</c:v>
                </c:pt>
                <c:pt idx="103">
                  <c:v>42430</c:v>
                </c:pt>
                <c:pt idx="104">
                  <c:v>42431</c:v>
                </c:pt>
                <c:pt idx="105">
                  <c:v>42432</c:v>
                </c:pt>
                <c:pt idx="106">
                  <c:v>42433</c:v>
                </c:pt>
                <c:pt idx="107">
                  <c:v>42436</c:v>
                </c:pt>
                <c:pt idx="108">
                  <c:v>42437</c:v>
                </c:pt>
                <c:pt idx="109">
                  <c:v>42438</c:v>
                </c:pt>
                <c:pt idx="110">
                  <c:v>42439</c:v>
                </c:pt>
                <c:pt idx="111">
                  <c:v>42440</c:v>
                </c:pt>
                <c:pt idx="112">
                  <c:v>42443</c:v>
                </c:pt>
                <c:pt idx="113">
                  <c:v>42444</c:v>
                </c:pt>
                <c:pt idx="114">
                  <c:v>42445</c:v>
                </c:pt>
                <c:pt idx="115">
                  <c:v>42446</c:v>
                </c:pt>
                <c:pt idx="116">
                  <c:v>42447</c:v>
                </c:pt>
                <c:pt idx="117">
                  <c:v>42450</c:v>
                </c:pt>
                <c:pt idx="118">
                  <c:v>42451</c:v>
                </c:pt>
                <c:pt idx="119">
                  <c:v>42452</c:v>
                </c:pt>
                <c:pt idx="120">
                  <c:v>42453</c:v>
                </c:pt>
                <c:pt idx="121">
                  <c:v>42458</c:v>
                </c:pt>
                <c:pt idx="122">
                  <c:v>42459</c:v>
                </c:pt>
                <c:pt idx="123">
                  <c:v>42460</c:v>
                </c:pt>
                <c:pt idx="124">
                  <c:v>42461</c:v>
                </c:pt>
                <c:pt idx="125">
                  <c:v>42464</c:v>
                </c:pt>
                <c:pt idx="126">
                  <c:v>42465</c:v>
                </c:pt>
                <c:pt idx="127">
                  <c:v>42466</c:v>
                </c:pt>
                <c:pt idx="128">
                  <c:v>42467</c:v>
                </c:pt>
                <c:pt idx="129">
                  <c:v>42468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3.5511181849424049E-3</c:v>
                </c:pt>
                <c:pt idx="1">
                  <c:v>3.5507061659882269E-3</c:v>
                </c:pt>
                <c:pt idx="2">
                  <c:v>3.5490580901715143E-3</c:v>
                </c:pt>
                <c:pt idx="3">
                  <c:v>3.5486460712173362E-3</c:v>
                </c:pt>
                <c:pt idx="4">
                  <c:v>3.5482340522631581E-3</c:v>
                </c:pt>
                <c:pt idx="5">
                  <c:v>3.5478220333089801E-3</c:v>
                </c:pt>
                <c:pt idx="6">
                  <c:v>3.5465859764464455E-3</c:v>
                </c:pt>
                <c:pt idx="7">
                  <c:v>3.5461739574922675E-3</c:v>
                </c:pt>
                <c:pt idx="8">
                  <c:v>3.5457619385380894E-3</c:v>
                </c:pt>
                <c:pt idx="9">
                  <c:v>3.5453499195839113E-3</c:v>
                </c:pt>
                <c:pt idx="10">
                  <c:v>3.5449379006297329E-3</c:v>
                </c:pt>
                <c:pt idx="11">
                  <c:v>3.5437018437671987E-3</c:v>
                </c:pt>
                <c:pt idx="12">
                  <c:v>3.5432898248130206E-3</c:v>
                </c:pt>
                <c:pt idx="13">
                  <c:v>3.5428778058588426E-3</c:v>
                </c:pt>
                <c:pt idx="14">
                  <c:v>3.5424657869046641E-3</c:v>
                </c:pt>
                <c:pt idx="15">
                  <c:v>3.5420537679504861E-3</c:v>
                </c:pt>
                <c:pt idx="16">
                  <c:v>3.5408177110879519E-3</c:v>
                </c:pt>
                <c:pt idx="17">
                  <c:v>3.5404056921337738E-3</c:v>
                </c:pt>
                <c:pt idx="18">
                  <c:v>3.5399936731795954E-3</c:v>
                </c:pt>
                <c:pt idx="19">
                  <c:v>3.5395816542254173E-3</c:v>
                </c:pt>
                <c:pt idx="20">
                  <c:v>3.5391696352712393E-3</c:v>
                </c:pt>
                <c:pt idx="21">
                  <c:v>3.5379335784087047E-3</c:v>
                </c:pt>
                <c:pt idx="22">
                  <c:v>3.5375215594545266E-3</c:v>
                </c:pt>
                <c:pt idx="23">
                  <c:v>3.5371095405003486E-3</c:v>
                </c:pt>
                <c:pt idx="24">
                  <c:v>3.5366975215461705E-3</c:v>
                </c:pt>
                <c:pt idx="25">
                  <c:v>3.5362855025919925E-3</c:v>
                </c:pt>
                <c:pt idx="26">
                  <c:v>3.5350494457294579E-3</c:v>
                </c:pt>
                <c:pt idx="27">
                  <c:v>3.5346374267752798E-3</c:v>
                </c:pt>
                <c:pt idx="28">
                  <c:v>3.5342254078211018E-3</c:v>
                </c:pt>
                <c:pt idx="29">
                  <c:v>3.5338133888669237E-3</c:v>
                </c:pt>
                <c:pt idx="30">
                  <c:v>3.5334013699127457E-3</c:v>
                </c:pt>
                <c:pt idx="31">
                  <c:v>3.5321653130502111E-3</c:v>
                </c:pt>
                <c:pt idx="32">
                  <c:v>3.531753294096033E-3</c:v>
                </c:pt>
                <c:pt idx="33">
                  <c:v>3.531341275141855E-3</c:v>
                </c:pt>
                <c:pt idx="34">
                  <c:v>3.5309292561876769E-3</c:v>
                </c:pt>
                <c:pt idx="35">
                  <c:v>3.5305172372334984E-3</c:v>
                </c:pt>
                <c:pt idx="36">
                  <c:v>3.5292811803709643E-3</c:v>
                </c:pt>
                <c:pt idx="37">
                  <c:v>3.5288691614167862E-3</c:v>
                </c:pt>
                <c:pt idx="38">
                  <c:v>3.5284571424626082E-3</c:v>
                </c:pt>
                <c:pt idx="39">
                  <c:v>3.5280451235084297E-3</c:v>
                </c:pt>
                <c:pt idx="40">
                  <c:v>3.5276331045542516E-3</c:v>
                </c:pt>
                <c:pt idx="41">
                  <c:v>3.5263970476917175E-3</c:v>
                </c:pt>
                <c:pt idx="42">
                  <c:v>3.525985028737539E-3</c:v>
                </c:pt>
                <c:pt idx="43">
                  <c:v>3.5255730097833609E-3</c:v>
                </c:pt>
                <c:pt idx="44">
                  <c:v>3.5251609908291829E-3</c:v>
                </c:pt>
                <c:pt idx="45">
                  <c:v>3.5247489718750048E-3</c:v>
                </c:pt>
                <c:pt idx="46">
                  <c:v>3.5235129150124702E-3</c:v>
                </c:pt>
                <c:pt idx="47">
                  <c:v>3.5231008960582922E-3</c:v>
                </c:pt>
                <c:pt idx="48">
                  <c:v>3.5226888771041141E-3</c:v>
                </c:pt>
                <c:pt idx="49">
                  <c:v>3.5222768581499361E-3</c:v>
                </c:pt>
                <c:pt idx="50">
                  <c:v>3.521864839195758E-3</c:v>
                </c:pt>
                <c:pt idx="51">
                  <c:v>3.5206287823332234E-3</c:v>
                </c:pt>
                <c:pt idx="52">
                  <c:v>3.5202167633790454E-3</c:v>
                </c:pt>
                <c:pt idx="53">
                  <c:v>3.5198047444248673E-3</c:v>
                </c:pt>
                <c:pt idx="54">
                  <c:v>3.5193927254706893E-3</c:v>
                </c:pt>
                <c:pt idx="55">
                  <c:v>3.5189807065165112E-3</c:v>
                </c:pt>
                <c:pt idx="56">
                  <c:v>3.5177446496539766E-3</c:v>
                </c:pt>
                <c:pt idx="57">
                  <c:v>3.5173326306997986E-3</c:v>
                </c:pt>
                <c:pt idx="58">
                  <c:v>3.5169206117456205E-3</c:v>
                </c:pt>
                <c:pt idx="59">
                  <c:v>3.5165085927914425E-3</c:v>
                </c:pt>
                <c:pt idx="60">
                  <c:v>3.5144484980205518E-3</c:v>
                </c:pt>
                <c:pt idx="61">
                  <c:v>3.5140364790663733E-3</c:v>
                </c:pt>
                <c:pt idx="62">
                  <c:v>3.5136244601121952E-3</c:v>
                </c:pt>
                <c:pt idx="63">
                  <c:v>3.511976384295483E-3</c:v>
                </c:pt>
                <c:pt idx="64">
                  <c:v>3.5115643653413045E-3</c:v>
                </c:pt>
                <c:pt idx="65">
                  <c:v>3.5111523463871265E-3</c:v>
                </c:pt>
                <c:pt idx="66">
                  <c:v>3.5107403274329484E-3</c:v>
                </c:pt>
                <c:pt idx="67">
                  <c:v>3.5103283084787704E-3</c:v>
                </c:pt>
                <c:pt idx="68">
                  <c:v>3.5090922516162358E-3</c:v>
                </c:pt>
                <c:pt idx="69">
                  <c:v>3.5086802326620577E-3</c:v>
                </c:pt>
                <c:pt idx="70">
                  <c:v>3.5082682137078797E-3</c:v>
                </c:pt>
                <c:pt idx="71">
                  <c:v>3.5078561947537016E-3</c:v>
                </c:pt>
                <c:pt idx="72">
                  <c:v>3.5074441757995236E-3</c:v>
                </c:pt>
                <c:pt idx="73">
                  <c:v>3.506208118936989E-3</c:v>
                </c:pt>
                <c:pt idx="74">
                  <c:v>3.5057960999828109E-3</c:v>
                </c:pt>
                <c:pt idx="75">
                  <c:v>3.5053840810286329E-3</c:v>
                </c:pt>
                <c:pt idx="76">
                  <c:v>3.5049720620744548E-3</c:v>
                </c:pt>
                <c:pt idx="77">
                  <c:v>3.5045600431202768E-3</c:v>
                </c:pt>
                <c:pt idx="78">
                  <c:v>3.5033239862577422E-3</c:v>
                </c:pt>
                <c:pt idx="79">
                  <c:v>3.5024999483493861E-3</c:v>
                </c:pt>
                <c:pt idx="80">
                  <c:v>3.5020879293952076E-3</c:v>
                </c:pt>
                <c:pt idx="81">
                  <c:v>3.5016759104410295E-3</c:v>
                </c:pt>
                <c:pt idx="82">
                  <c:v>3.5004398535784954E-3</c:v>
                </c:pt>
                <c:pt idx="83">
                  <c:v>3.5000278346243173E-3</c:v>
                </c:pt>
                <c:pt idx="84">
                  <c:v>3.4996158156701388E-3</c:v>
                </c:pt>
                <c:pt idx="85">
                  <c:v>3.4992037967159608E-3</c:v>
                </c:pt>
                <c:pt idx="86">
                  <c:v>3.4987917777617827E-3</c:v>
                </c:pt>
                <c:pt idx="87">
                  <c:v>3.4975557208992486E-3</c:v>
                </c:pt>
                <c:pt idx="88">
                  <c:v>3.4971437019450701E-3</c:v>
                </c:pt>
                <c:pt idx="89">
                  <c:v>3.496731682990892E-3</c:v>
                </c:pt>
                <c:pt idx="90">
                  <c:v>3.496319664036714E-3</c:v>
                </c:pt>
                <c:pt idx="91">
                  <c:v>3.4959076450825359E-3</c:v>
                </c:pt>
                <c:pt idx="92">
                  <c:v>3.4946715882200013E-3</c:v>
                </c:pt>
                <c:pt idx="93">
                  <c:v>3.4942595692658233E-3</c:v>
                </c:pt>
                <c:pt idx="94">
                  <c:v>3.4938475503116452E-3</c:v>
                </c:pt>
                <c:pt idx="95">
                  <c:v>3.4934355313574672E-3</c:v>
                </c:pt>
                <c:pt idx="96">
                  <c:v>3.4930235124032891E-3</c:v>
                </c:pt>
                <c:pt idx="97">
                  <c:v>3.4917874555407545E-3</c:v>
                </c:pt>
                <c:pt idx="98">
                  <c:v>3.4913754365865765E-3</c:v>
                </c:pt>
                <c:pt idx="99">
                  <c:v>3.4909634176323984E-3</c:v>
                </c:pt>
                <c:pt idx="100">
                  <c:v>3.4905513986782204E-3</c:v>
                </c:pt>
                <c:pt idx="101">
                  <c:v>3.4901393797240419E-3</c:v>
                </c:pt>
                <c:pt idx="102">
                  <c:v>3.4889033228615077E-3</c:v>
                </c:pt>
                <c:pt idx="103">
                  <c:v>3.4884913039073297E-3</c:v>
                </c:pt>
                <c:pt idx="104">
                  <c:v>3.4880792849531516E-3</c:v>
                </c:pt>
                <c:pt idx="105">
                  <c:v>3.4876672659989731E-3</c:v>
                </c:pt>
                <c:pt idx="106">
                  <c:v>3.4872552470447951E-3</c:v>
                </c:pt>
                <c:pt idx="107">
                  <c:v>3.4860191901822609E-3</c:v>
                </c:pt>
                <c:pt idx="108">
                  <c:v>3.4856071712280829E-3</c:v>
                </c:pt>
                <c:pt idx="109">
                  <c:v>3.4851951522739044E-3</c:v>
                </c:pt>
                <c:pt idx="110">
                  <c:v>3.4847831333197263E-3</c:v>
                </c:pt>
                <c:pt idx="111">
                  <c:v>3.4843711143655483E-3</c:v>
                </c:pt>
                <c:pt idx="112">
                  <c:v>3.4831350575030141E-3</c:v>
                </c:pt>
                <c:pt idx="113">
                  <c:v>3.4827230385488356E-3</c:v>
                </c:pt>
                <c:pt idx="114">
                  <c:v>3.4823110195946576E-3</c:v>
                </c:pt>
                <c:pt idx="115">
                  <c:v>3.4818990006404795E-3</c:v>
                </c:pt>
                <c:pt idx="116">
                  <c:v>3.4814869816863015E-3</c:v>
                </c:pt>
                <c:pt idx="117">
                  <c:v>3.4802509248237669E-3</c:v>
                </c:pt>
                <c:pt idx="118">
                  <c:v>3.4798389058695888E-3</c:v>
                </c:pt>
                <c:pt idx="119">
                  <c:v>3.4794268869154108E-3</c:v>
                </c:pt>
                <c:pt idx="120">
                  <c:v>3.4790148679612327E-3</c:v>
                </c:pt>
                <c:pt idx="121">
                  <c:v>3.476954773190342E-3</c:v>
                </c:pt>
                <c:pt idx="122">
                  <c:v>3.476542754236164E-3</c:v>
                </c:pt>
                <c:pt idx="123">
                  <c:v>3.4761307352819859E-3</c:v>
                </c:pt>
                <c:pt idx="124">
                  <c:v>3.4757187163278074E-3</c:v>
                </c:pt>
                <c:pt idx="125">
                  <c:v>3.4744826594652733E-3</c:v>
                </c:pt>
                <c:pt idx="126">
                  <c:v>3.4740706405110952E-3</c:v>
                </c:pt>
                <c:pt idx="127">
                  <c:v>3.4736586215569172E-3</c:v>
                </c:pt>
                <c:pt idx="128">
                  <c:v>3.4732466026027387E-3</c:v>
                </c:pt>
                <c:pt idx="129">
                  <c:v>3.4728345836485606E-3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  <c:pt idx="63">
                  <c:v>42373</c:v>
                </c:pt>
                <c:pt idx="64">
                  <c:v>42374</c:v>
                </c:pt>
                <c:pt idx="65">
                  <c:v>42375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42396</c:v>
                </c:pt>
                <c:pt idx="80">
                  <c:v>42397</c:v>
                </c:pt>
                <c:pt idx="81">
                  <c:v>42398</c:v>
                </c:pt>
                <c:pt idx="82">
                  <c:v>42401</c:v>
                </c:pt>
                <c:pt idx="83">
                  <c:v>42402</c:v>
                </c:pt>
                <c:pt idx="84">
                  <c:v>42403</c:v>
                </c:pt>
                <c:pt idx="85">
                  <c:v>42404</c:v>
                </c:pt>
                <c:pt idx="86">
                  <c:v>42405</c:v>
                </c:pt>
                <c:pt idx="87">
                  <c:v>42408</c:v>
                </c:pt>
                <c:pt idx="88">
                  <c:v>42409</c:v>
                </c:pt>
                <c:pt idx="89">
                  <c:v>42410</c:v>
                </c:pt>
                <c:pt idx="90">
                  <c:v>42411</c:v>
                </c:pt>
                <c:pt idx="91">
                  <c:v>42412</c:v>
                </c:pt>
                <c:pt idx="92">
                  <c:v>42415</c:v>
                </c:pt>
                <c:pt idx="93">
                  <c:v>42416</c:v>
                </c:pt>
                <c:pt idx="94">
                  <c:v>42417</c:v>
                </c:pt>
                <c:pt idx="95">
                  <c:v>42418</c:v>
                </c:pt>
                <c:pt idx="96">
                  <c:v>42419</c:v>
                </c:pt>
                <c:pt idx="97">
                  <c:v>42422</c:v>
                </c:pt>
                <c:pt idx="98">
                  <c:v>42423</c:v>
                </c:pt>
                <c:pt idx="99">
                  <c:v>42424</c:v>
                </c:pt>
                <c:pt idx="100">
                  <c:v>42425</c:v>
                </c:pt>
                <c:pt idx="101">
                  <c:v>42426</c:v>
                </c:pt>
                <c:pt idx="102">
                  <c:v>42429</c:v>
                </c:pt>
                <c:pt idx="103">
                  <c:v>42430</c:v>
                </c:pt>
                <c:pt idx="104">
                  <c:v>42431</c:v>
                </c:pt>
                <c:pt idx="105">
                  <c:v>42432</c:v>
                </c:pt>
                <c:pt idx="106">
                  <c:v>42433</c:v>
                </c:pt>
                <c:pt idx="107">
                  <c:v>42436</c:v>
                </c:pt>
                <c:pt idx="108">
                  <c:v>42437</c:v>
                </c:pt>
                <c:pt idx="109">
                  <c:v>42438</c:v>
                </c:pt>
                <c:pt idx="110">
                  <c:v>42439</c:v>
                </c:pt>
                <c:pt idx="111">
                  <c:v>42440</c:v>
                </c:pt>
                <c:pt idx="112">
                  <c:v>42443</c:v>
                </c:pt>
                <c:pt idx="113">
                  <c:v>42444</c:v>
                </c:pt>
                <c:pt idx="114">
                  <c:v>42445</c:v>
                </c:pt>
                <c:pt idx="115">
                  <c:v>42446</c:v>
                </c:pt>
                <c:pt idx="116">
                  <c:v>42447</c:v>
                </c:pt>
                <c:pt idx="117">
                  <c:v>42450</c:v>
                </c:pt>
                <c:pt idx="118">
                  <c:v>42451</c:v>
                </c:pt>
                <c:pt idx="119">
                  <c:v>42452</c:v>
                </c:pt>
                <c:pt idx="120">
                  <c:v>42453</c:v>
                </c:pt>
                <c:pt idx="121">
                  <c:v>42458</c:v>
                </c:pt>
                <c:pt idx="122">
                  <c:v>42459</c:v>
                </c:pt>
                <c:pt idx="123">
                  <c:v>42460</c:v>
                </c:pt>
                <c:pt idx="124">
                  <c:v>42461</c:v>
                </c:pt>
                <c:pt idx="125">
                  <c:v>42464</c:v>
                </c:pt>
                <c:pt idx="126">
                  <c:v>42465</c:v>
                </c:pt>
                <c:pt idx="127">
                  <c:v>42466</c:v>
                </c:pt>
                <c:pt idx="128">
                  <c:v>42467</c:v>
                </c:pt>
                <c:pt idx="129">
                  <c:v>42468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866240"/>
        <c:axId val="541876224"/>
      </c:lineChart>
      <c:dateAx>
        <c:axId val="5418662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1876224"/>
        <c:crosses val="autoZero"/>
        <c:auto val="1"/>
        <c:lblOffset val="100"/>
        <c:baseTimeUnit val="days"/>
      </c:dateAx>
      <c:valAx>
        <c:axId val="5418762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866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42278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6.0874388691214119E-4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42310</c:v>
                </c:pt>
                <c:pt idx="1">
                  <c:v>42339</c:v>
                </c:pt>
                <c:pt idx="2">
                  <c:v>42373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6.5646370285592703E-4</c:v>
                </c:pt>
                <c:pt idx="1">
                  <c:v>6.0936371641019194E-4</c:v>
                </c:pt>
                <c:pt idx="2">
                  <c:v>6.573887005419547E-4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42349</c:v>
                </c:pt>
                <c:pt idx="1">
                  <c:v>42440</c:v>
                </c:pt>
                <c:pt idx="2">
                  <c:v>42531</c:v>
                </c:pt>
                <c:pt idx="3">
                  <c:v>42622</c:v>
                </c:pt>
                <c:pt idx="4">
                  <c:v>42713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5.3327769884698188E-4</c:v>
                </c:pt>
                <c:pt idx="1">
                  <c:v>5.3689560721927791E-4</c:v>
                </c:pt>
                <c:pt idx="2">
                  <c:v>5.187989961330723E-4</c:v>
                </c:pt>
                <c:pt idx="3">
                  <c:v>5.0701173881963527E-4</c:v>
                </c:pt>
                <c:pt idx="4">
                  <c:v>4.7102666658512015E-4</c:v>
                </c:pt>
                <c:pt idx="5">
                  <c:v>4.8604740872145352E-4</c:v>
                </c:pt>
                <c:pt idx="6">
                  <c:v>4.9414186250904533E-4</c:v>
                </c:pt>
                <c:pt idx="7">
                  <c:v>5.0522901446313885E-4</c:v>
                </c:pt>
                <c:pt idx="8">
                  <c:v>5.3435283762062638E-4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  <c:pt idx="63">
                  <c:v>42373</c:v>
                </c:pt>
                <c:pt idx="64">
                  <c:v>42374</c:v>
                </c:pt>
                <c:pt idx="65">
                  <c:v>42375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42396</c:v>
                </c:pt>
                <c:pt idx="80">
                  <c:v>42397</c:v>
                </c:pt>
                <c:pt idx="81">
                  <c:v>42398</c:v>
                </c:pt>
                <c:pt idx="82">
                  <c:v>42401</c:v>
                </c:pt>
                <c:pt idx="83">
                  <c:v>42402</c:v>
                </c:pt>
                <c:pt idx="84">
                  <c:v>42403</c:v>
                </c:pt>
                <c:pt idx="85">
                  <c:v>42404</c:v>
                </c:pt>
                <c:pt idx="86">
                  <c:v>42405</c:v>
                </c:pt>
                <c:pt idx="87">
                  <c:v>42408</c:v>
                </c:pt>
                <c:pt idx="88">
                  <c:v>42409</c:v>
                </c:pt>
                <c:pt idx="89">
                  <c:v>42410</c:v>
                </c:pt>
                <c:pt idx="90">
                  <c:v>42411</c:v>
                </c:pt>
                <c:pt idx="91">
                  <c:v>42412</c:v>
                </c:pt>
                <c:pt idx="92">
                  <c:v>42415</c:v>
                </c:pt>
                <c:pt idx="93">
                  <c:v>42416</c:v>
                </c:pt>
                <c:pt idx="94">
                  <c:v>42417</c:v>
                </c:pt>
                <c:pt idx="95">
                  <c:v>42418</c:v>
                </c:pt>
                <c:pt idx="96">
                  <c:v>42419</c:v>
                </c:pt>
                <c:pt idx="97">
                  <c:v>42422</c:v>
                </c:pt>
                <c:pt idx="98">
                  <c:v>42423</c:v>
                </c:pt>
                <c:pt idx="99">
                  <c:v>42424</c:v>
                </c:pt>
                <c:pt idx="100">
                  <c:v>42425</c:v>
                </c:pt>
                <c:pt idx="101">
                  <c:v>42426</c:v>
                </c:pt>
                <c:pt idx="102">
                  <c:v>42429</c:v>
                </c:pt>
                <c:pt idx="103">
                  <c:v>42430</c:v>
                </c:pt>
                <c:pt idx="104">
                  <c:v>42431</c:v>
                </c:pt>
                <c:pt idx="105">
                  <c:v>42432</c:v>
                </c:pt>
                <c:pt idx="106">
                  <c:v>42433</c:v>
                </c:pt>
                <c:pt idx="107">
                  <c:v>42436</c:v>
                </c:pt>
                <c:pt idx="108">
                  <c:v>42437</c:v>
                </c:pt>
                <c:pt idx="109">
                  <c:v>42438</c:v>
                </c:pt>
                <c:pt idx="110">
                  <c:v>42439</c:v>
                </c:pt>
                <c:pt idx="111">
                  <c:v>42440</c:v>
                </c:pt>
                <c:pt idx="112">
                  <c:v>42443</c:v>
                </c:pt>
                <c:pt idx="113">
                  <c:v>42444</c:v>
                </c:pt>
                <c:pt idx="114">
                  <c:v>42445</c:v>
                </c:pt>
                <c:pt idx="115">
                  <c:v>42446</c:v>
                </c:pt>
                <c:pt idx="116">
                  <c:v>42447</c:v>
                </c:pt>
                <c:pt idx="117">
                  <c:v>42450</c:v>
                </c:pt>
                <c:pt idx="118">
                  <c:v>42451</c:v>
                </c:pt>
                <c:pt idx="119">
                  <c:v>42452</c:v>
                </c:pt>
                <c:pt idx="120">
                  <c:v>42453</c:v>
                </c:pt>
                <c:pt idx="121">
                  <c:v>42458</c:v>
                </c:pt>
                <c:pt idx="122">
                  <c:v>42459</c:v>
                </c:pt>
                <c:pt idx="123">
                  <c:v>42460</c:v>
                </c:pt>
                <c:pt idx="124">
                  <c:v>42461</c:v>
                </c:pt>
                <c:pt idx="125">
                  <c:v>42464</c:v>
                </c:pt>
                <c:pt idx="126">
                  <c:v>42465</c:v>
                </c:pt>
                <c:pt idx="127">
                  <c:v>42466</c:v>
                </c:pt>
                <c:pt idx="128">
                  <c:v>42467</c:v>
                </c:pt>
                <c:pt idx="129">
                  <c:v>42468</c:v>
                </c:pt>
                <c:pt idx="130">
                  <c:v>42471</c:v>
                </c:pt>
                <c:pt idx="131">
                  <c:v>42472</c:v>
                </c:pt>
                <c:pt idx="132">
                  <c:v>42473</c:v>
                </c:pt>
                <c:pt idx="133">
                  <c:v>42474</c:v>
                </c:pt>
                <c:pt idx="134">
                  <c:v>42475</c:v>
                </c:pt>
                <c:pt idx="135">
                  <c:v>42478</c:v>
                </c:pt>
                <c:pt idx="136">
                  <c:v>42479</c:v>
                </c:pt>
                <c:pt idx="137">
                  <c:v>42480</c:v>
                </c:pt>
                <c:pt idx="138">
                  <c:v>42481</c:v>
                </c:pt>
                <c:pt idx="139">
                  <c:v>42482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42492</c:v>
                </c:pt>
                <c:pt idx="145">
                  <c:v>42493</c:v>
                </c:pt>
                <c:pt idx="146">
                  <c:v>42494</c:v>
                </c:pt>
                <c:pt idx="147">
                  <c:v>42495</c:v>
                </c:pt>
                <c:pt idx="148">
                  <c:v>42496</c:v>
                </c:pt>
                <c:pt idx="149">
                  <c:v>42499</c:v>
                </c:pt>
                <c:pt idx="150">
                  <c:v>42500</c:v>
                </c:pt>
                <c:pt idx="151">
                  <c:v>42501</c:v>
                </c:pt>
                <c:pt idx="152">
                  <c:v>42502</c:v>
                </c:pt>
                <c:pt idx="153">
                  <c:v>42503</c:v>
                </c:pt>
                <c:pt idx="154">
                  <c:v>42506</c:v>
                </c:pt>
                <c:pt idx="155">
                  <c:v>42507</c:v>
                </c:pt>
                <c:pt idx="156">
                  <c:v>42508</c:v>
                </c:pt>
                <c:pt idx="157">
                  <c:v>42509</c:v>
                </c:pt>
                <c:pt idx="158">
                  <c:v>42510</c:v>
                </c:pt>
                <c:pt idx="159">
                  <c:v>42513</c:v>
                </c:pt>
                <c:pt idx="160">
                  <c:v>42514</c:v>
                </c:pt>
                <c:pt idx="161">
                  <c:v>42515</c:v>
                </c:pt>
                <c:pt idx="162">
                  <c:v>42516</c:v>
                </c:pt>
                <c:pt idx="163">
                  <c:v>42517</c:v>
                </c:pt>
                <c:pt idx="164">
                  <c:v>42520</c:v>
                </c:pt>
                <c:pt idx="165">
                  <c:v>42521</c:v>
                </c:pt>
                <c:pt idx="166">
                  <c:v>42522</c:v>
                </c:pt>
                <c:pt idx="167">
                  <c:v>42523</c:v>
                </c:pt>
                <c:pt idx="168">
                  <c:v>42524</c:v>
                </c:pt>
                <c:pt idx="169">
                  <c:v>42527</c:v>
                </c:pt>
                <c:pt idx="170">
                  <c:v>42528</c:v>
                </c:pt>
                <c:pt idx="171">
                  <c:v>42529</c:v>
                </c:pt>
                <c:pt idx="172">
                  <c:v>42530</c:v>
                </c:pt>
                <c:pt idx="173">
                  <c:v>42531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42611</c:v>
                </c:pt>
                <c:pt idx="228">
                  <c:v>42612</c:v>
                </c:pt>
                <c:pt idx="229">
                  <c:v>42613</c:v>
                </c:pt>
                <c:pt idx="230">
                  <c:v>42614</c:v>
                </c:pt>
                <c:pt idx="231">
                  <c:v>42615</c:v>
                </c:pt>
                <c:pt idx="232">
                  <c:v>42618</c:v>
                </c:pt>
                <c:pt idx="233">
                  <c:v>42619</c:v>
                </c:pt>
                <c:pt idx="234">
                  <c:v>42620</c:v>
                </c:pt>
                <c:pt idx="235">
                  <c:v>42621</c:v>
                </c:pt>
                <c:pt idx="236">
                  <c:v>42622</c:v>
                </c:pt>
                <c:pt idx="237">
                  <c:v>42625</c:v>
                </c:pt>
                <c:pt idx="238">
                  <c:v>42626</c:v>
                </c:pt>
                <c:pt idx="239">
                  <c:v>42627</c:v>
                </c:pt>
                <c:pt idx="240">
                  <c:v>42628</c:v>
                </c:pt>
                <c:pt idx="241">
                  <c:v>42629</c:v>
                </c:pt>
                <c:pt idx="242">
                  <c:v>42632</c:v>
                </c:pt>
                <c:pt idx="243">
                  <c:v>42633</c:v>
                </c:pt>
                <c:pt idx="244">
                  <c:v>42634</c:v>
                </c:pt>
                <c:pt idx="245">
                  <c:v>42635</c:v>
                </c:pt>
                <c:pt idx="246">
                  <c:v>42636</c:v>
                </c:pt>
                <c:pt idx="247">
                  <c:v>42639</c:v>
                </c:pt>
                <c:pt idx="248">
                  <c:v>42640</c:v>
                </c:pt>
                <c:pt idx="249">
                  <c:v>42641</c:v>
                </c:pt>
                <c:pt idx="250">
                  <c:v>42642</c:v>
                </c:pt>
                <c:pt idx="251">
                  <c:v>42643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  <c:pt idx="255">
                  <c:v>42650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5.7197587634846717E-4</c:v>
                </c:pt>
                <c:pt idx="1">
                  <c:v>5.6577173943600219E-4</c:v>
                </c:pt>
                <c:pt idx="2">
                  <c:v>5.529560057086592E-4</c:v>
                </c:pt>
                <c:pt idx="3">
                  <c:v>5.5274642854787493E-4</c:v>
                </c:pt>
                <c:pt idx="4">
                  <c:v>5.5253681879520705E-4</c:v>
                </c:pt>
                <c:pt idx="5">
                  <c:v>5.6427307709261941E-4</c:v>
                </c:pt>
                <c:pt idx="6">
                  <c:v>5.5169807070407583E-4</c:v>
                </c:pt>
                <c:pt idx="7">
                  <c:v>5.5148831556015574E-4</c:v>
                </c:pt>
                <c:pt idx="8">
                  <c:v>5.5127853755685774E-4</c:v>
                </c:pt>
                <c:pt idx="9">
                  <c:v>5.5106873889741194E-4</c:v>
                </c:pt>
                <c:pt idx="10">
                  <c:v>5.6277319070425591E-4</c:v>
                </c:pt>
                <c:pt idx="11">
                  <c:v>5.5022938166450247E-4</c:v>
                </c:pt>
                <c:pt idx="12">
                  <c:v>5.5001951267096927E-4</c:v>
                </c:pt>
                <c:pt idx="13">
                  <c:v>5.498096361776808E-4</c:v>
                </c:pt>
                <c:pt idx="14">
                  <c:v>5.4959975436679744E-4</c:v>
                </c:pt>
                <c:pt idx="15">
                  <c:v>5.612727475726709E-4</c:v>
                </c:pt>
                <c:pt idx="16">
                  <c:v>5.5469526548713489E-4</c:v>
                </c:pt>
                <c:pt idx="17">
                  <c:v>5.4855034168629143E-4</c:v>
                </c:pt>
                <c:pt idx="18">
                  <c:v>5.4834047360977827E-4</c:v>
                </c:pt>
                <c:pt idx="19">
                  <c:v>5.4813061540007657E-4</c:v>
                </c:pt>
                <c:pt idx="20">
                  <c:v>5.4199402625260032E-4</c:v>
                </c:pt>
                <c:pt idx="21">
                  <c:v>5.4729132431565993E-4</c:v>
                </c:pt>
                <c:pt idx="22">
                  <c:v>5.4708154710966263E-4</c:v>
                </c:pt>
                <c:pt idx="23">
                  <c:v>5.4687178895814837E-4</c:v>
                </c:pt>
                <c:pt idx="24">
                  <c:v>5.4666204829923305E-4</c:v>
                </c:pt>
                <c:pt idx="25" formatCode="0.00000">
                  <c:v>5.58273092738617E-4</c:v>
                </c:pt>
                <c:pt idx="26" formatCode="0.00000">
                  <c:v>5.4582322943039967E-4</c:v>
                </c:pt>
                <c:pt idx="27" formatCode="0.00000">
                  <c:v>5.4561355288850919E-4</c:v>
                </c:pt>
                <c:pt idx="28" formatCode="0.00000">
                  <c:v>5.4540388451892942E-4</c:v>
                </c:pt>
                <c:pt idx="29" formatCode="0.00000">
                  <c:v>5.4519422277707742E-4</c:v>
                </c:pt>
                <c:pt idx="30">
                  <c:v>5.567742440187361E-4</c:v>
                </c:pt>
                <c:pt idx="31">
                  <c:v>5.4435561129155747E-4</c:v>
                </c:pt>
                <c:pt idx="32">
                  <c:v>5.4414595961342822E-4</c:v>
                </c:pt>
                <c:pt idx="33">
                  <c:v>5.43936305350095E-4</c:v>
                </c:pt>
                <c:pt idx="34">
                  <c:v>5.437266469753855E-4</c:v>
                </c:pt>
                <c:pt idx="35">
                  <c:v>5.5527542334368003E-4</c:v>
                </c:pt>
                <c:pt idx="36">
                  <c:v>5.4288794192273722E-4</c:v>
                </c:pt>
                <c:pt idx="37">
                  <c:v>5.42678240182848E-4</c:v>
                </c:pt>
                <c:pt idx="38">
                  <c:v>5.4246852522600814E-4</c:v>
                </c:pt>
                <c:pt idx="39">
                  <c:v>5.4225879554379035E-4</c:v>
                </c:pt>
                <c:pt idx="40">
                  <c:v>5.5377609608118117E-4</c:v>
                </c:pt>
                <c:pt idx="41">
                  <c:v>5.3556205432837487E-4</c:v>
                </c:pt>
                <c:pt idx="42">
                  <c:v>5.3535448142993545E-4</c:v>
                </c:pt>
                <c:pt idx="43">
                  <c:v>5.3514688651775419E-4</c:v>
                </c:pt>
                <c:pt idx="44">
                  <c:v>5.3493926866594291E-4</c:v>
                </c:pt>
                <c:pt idx="45">
                  <c:v>5.3473162915056117E-4</c:v>
                </c:pt>
                <c:pt idx="46">
                  <c:v>5.3410859884920031E-4</c:v>
                </c:pt>
                <c:pt idx="47">
                  <c:v>5.3390089089287956E-4</c:v>
                </c:pt>
                <c:pt idx="48">
                  <c:v>5.3369317036679577E-4</c:v>
                </c:pt>
                <c:pt idx="49">
                  <c:v>5.3348543908208047E-4</c:v>
                </c:pt>
                <c:pt idx="50">
                  <c:v>5.3327769884698188E-4</c:v>
                </c:pt>
                <c:pt idx="51">
                  <c:v>5.3265444248460747E-4</c:v>
                </c:pt>
                <c:pt idx="52">
                  <c:v>5.3244668448033234E-4</c:v>
                </c:pt>
                <c:pt idx="53">
                  <c:v>5.3223892652854419E-4</c:v>
                </c:pt>
                <c:pt idx="54">
                  <c:v>5.3203117042240902E-4</c:v>
                </c:pt>
                <c:pt idx="55">
                  <c:v>5.3182341795176581E-4</c:v>
                </c:pt>
                <c:pt idx="56">
                  <c:v>5.3120020021768619E-4</c:v>
                </c:pt>
                <c:pt idx="57">
                  <c:v>5.3099248014015733E-4</c:v>
                </c:pt>
                <c:pt idx="58">
                  <c:v>5.307847726104966E-4</c:v>
                </c:pt>
                <c:pt idx="59">
                  <c:v>5.3057707940301689E-4</c:v>
                </c:pt>
                <c:pt idx="60">
                  <c:v>5.2953889013204931E-4</c:v>
                </c:pt>
                <c:pt idx="61">
                  <c:v>5.2933131998071127E-4</c:v>
                </c:pt>
                <c:pt idx="62">
                  <c:v>5.2912377650143395E-4</c:v>
                </c:pt>
                <c:pt idx="63">
                  <c:v>5.2829390434315092E-4</c:v>
                </c:pt>
                <c:pt idx="64">
                  <c:v>5.280865197680528E-4</c:v>
                </c:pt>
                <c:pt idx="65">
                  <c:v>5.2787916807665229E-4</c:v>
                </c:pt>
                <c:pt idx="66">
                  <c:v>5.2767184674121594E-4</c:v>
                </c:pt>
                <c:pt idx="67">
                  <c:v>5.2746455323778117E-4</c:v>
                </c:pt>
                <c:pt idx="68">
                  <c:v>5.268428145441856E-4</c:v>
                </c:pt>
                <c:pt idx="69">
                  <c:v>5.2663560721341986E-4</c:v>
                </c:pt>
                <c:pt idx="70">
                  <c:v>5.2642841515717221E-4</c:v>
                </c:pt>
                <c:pt idx="71">
                  <c:v>5.2622123587676712E-4</c:v>
                </c:pt>
                <c:pt idx="72">
                  <c:v>5.2601406687685594E-4</c:v>
                </c:pt>
                <c:pt idx="73">
                  <c:v>5.253925966722593E-4</c:v>
                </c:pt>
                <c:pt idx="74">
                  <c:v>5.2518544392668226E-4</c:v>
                </c:pt>
                <c:pt idx="75">
                  <c:v>5.2497828904851814E-4</c:v>
                </c:pt>
                <c:pt idx="76">
                  <c:v>5.2477112956748396E-4</c:v>
                </c:pt>
                <c:pt idx="77">
                  <c:v>5.2456396301706737E-4</c:v>
                </c:pt>
                <c:pt idx="78">
                  <c:v>5.2967392041327753E-4</c:v>
                </c:pt>
                <c:pt idx="79">
                  <c:v>5.2352793819643838E-4</c:v>
                </c:pt>
                <c:pt idx="80">
                  <c:v>5.2332067767053706E-4</c:v>
                </c:pt>
                <c:pt idx="81">
                  <c:v>5.2311339292723141E-4</c:v>
                </c:pt>
                <c:pt idx="82">
                  <c:v>5.2249136908023505E-4</c:v>
                </c:pt>
                <c:pt idx="83">
                  <c:v>5.1656991162410838E-4</c:v>
                </c:pt>
                <c:pt idx="84">
                  <c:v>5.1636472508997835E-4</c:v>
                </c:pt>
                <c:pt idx="85">
                  <c:v>5.1615950418738615E-4</c:v>
                </c:pt>
                <c:pt idx="86">
                  <c:v>5.159542503417675E-4</c:v>
                </c:pt>
                <c:pt idx="87">
                  <c:v>5.2103881887028141E-4</c:v>
                </c:pt>
                <c:pt idx="88">
                  <c:v>5.1513293398318719E-4</c:v>
                </c:pt>
                <c:pt idx="89">
                  <c:v>5.1492753674409089E-4</c:v>
                </c:pt>
                <c:pt idx="90">
                  <c:v>5.1472211507665655E-4</c:v>
                </c:pt>
                <c:pt idx="91">
                  <c:v>5.145166703925683E-4</c:v>
                </c:pt>
                <c:pt idx="92">
                  <c:v>5.1958491112987241E-4</c:v>
                </c:pt>
                <c:pt idx="93">
                  <c:v>5.1369468966214822E-4</c:v>
                </c:pt>
                <c:pt idx="94">
                  <c:v>5.134891510066216E-4</c:v>
                </c:pt>
                <c:pt idx="95">
                  <c:v>5.132835977648448E-4</c:v>
                </c:pt>
                <c:pt idx="96">
                  <c:v>5.1307803133541618E-4</c:v>
                </c:pt>
                <c:pt idx="97">
                  <c:v>5.1813013427283948E-4</c:v>
                </c:pt>
                <c:pt idx="98">
                  <c:v>5.1225566163196372E-4</c:v>
                </c:pt>
                <c:pt idx="99">
                  <c:v>5.1205005016539333E-4</c:v>
                </c:pt>
                <c:pt idx="100">
                  <c:v>5.1184443385795533E-4</c:v>
                </c:pt>
                <c:pt idx="101">
                  <c:v>5.1163881409405228E-4</c:v>
                </c:pt>
                <c:pt idx="102">
                  <c:v>5.1667497252626011E-4</c:v>
                </c:pt>
                <c:pt idx="103">
                  <c:v>5.2211731221673847E-4</c:v>
                </c:pt>
                <c:pt idx="104">
                  <c:v>5.2190716822179061E-4</c:v>
                </c:pt>
                <c:pt idx="105">
                  <c:v>5.2169702859396086E-4</c:v>
                </c:pt>
                <c:pt idx="106">
                  <c:v>5.327721488961345E-4</c:v>
                </c:pt>
                <c:pt idx="107">
                  <c:v>5.2085651421504716E-4</c:v>
                </c:pt>
                <c:pt idx="108">
                  <c:v>5.2064639614432886E-4</c:v>
                </c:pt>
                <c:pt idx="109">
                  <c:v>5.2043628208077615E-4</c:v>
                </c:pt>
                <c:pt idx="110">
                  <c:v>5.2022617192430155E-4</c:v>
                </c:pt>
                <c:pt idx="111">
                  <c:v>5.3689560721927791E-4</c:v>
                </c:pt>
                <c:pt idx="112">
                  <c:v>5.1938768790525474E-4</c:v>
                </c:pt>
                <c:pt idx="113">
                  <c:v>5.1917920136268492E-4</c:v>
                </c:pt>
                <c:pt idx="114">
                  <c:v>5.1897127137403036E-4</c:v>
                </c:pt>
                <c:pt idx="115">
                  <c:v>5.1876394006806126E-4</c:v>
                </c:pt>
                <c:pt idx="116">
                  <c:v>5.2977936299138171E-4</c:v>
                </c:pt>
                <c:pt idx="117">
                  <c:v>5.179414442837959E-4</c:v>
                </c:pt>
                <c:pt idx="118">
                  <c:v>5.1773773835682782E-4</c:v>
                </c:pt>
                <c:pt idx="119">
                  <c:v>5.1753488390340039E-4</c:v>
                </c:pt>
                <c:pt idx="120">
                  <c:v>5.1733292305850703E-4</c:v>
                </c:pt>
                <c:pt idx="121">
                  <c:v>5.1633799770655416E-4</c:v>
                </c:pt>
                <c:pt idx="122">
                  <c:v>5.161422833698941E-4</c:v>
                </c:pt>
                <c:pt idx="123">
                  <c:v>5.1036404885898708E-4</c:v>
                </c:pt>
                <c:pt idx="124">
                  <c:v>5.1017283946397601E-4</c:v>
                </c:pt>
                <c:pt idx="125">
                  <c:v>5.096069333118678E-4</c:v>
                </c:pt>
                <c:pt idx="126">
                  <c:v>5.0942101093324631E-4</c:v>
                </c:pt>
                <c:pt idx="127">
                  <c:v>5.0923651477743589E-4</c:v>
                </c:pt>
                <c:pt idx="128">
                  <c:v>5.0905348679606871E-4</c:v>
                </c:pt>
                <c:pt idx="129">
                  <c:v>5.0887196894124521E-4</c:v>
                </c:pt>
                <c:pt idx="130">
                  <c:v>5.0833689565761564E-4</c:v>
                </c:pt>
                <c:pt idx="131">
                  <c:v>5.0816183783065861E-4</c:v>
                </c:pt>
                <c:pt idx="132">
                  <c:v>5.0798849989153454E-4</c:v>
                </c:pt>
                <c:pt idx="133">
                  <c:v>5.0781692379225441E-4</c:v>
                </c:pt>
                <c:pt idx="134">
                  <c:v>5.0764715148551463E-4</c:v>
                </c:pt>
                <c:pt idx="135">
                  <c:v>5.0714907684467345E-4</c:v>
                </c:pt>
                <c:pt idx="136">
                  <c:v>5.0698693923254044E-4</c:v>
                </c:pt>
                <c:pt idx="137">
                  <c:v>5.0682681517492196E-4</c:v>
                </c:pt>
                <c:pt idx="138">
                  <c:v>5.0666874662417226E-4</c:v>
                </c:pt>
                <c:pt idx="139">
                  <c:v>5.0651277553332493E-4</c:v>
                </c:pt>
                <c:pt idx="140">
                  <c:v>5.0591070480943872E-4</c:v>
                </c:pt>
                <c:pt idx="141">
                  <c:v>5.0576585029939235E-4</c:v>
                </c:pt>
                <c:pt idx="142">
                  <c:v>5.0562334496192553E-4</c:v>
                </c:pt>
                <c:pt idx="143">
                  <c:v>5.0548323074859128E-4</c:v>
                </c:pt>
                <c:pt idx="144">
                  <c:v>5.1060366925817513E-4</c:v>
                </c:pt>
                <c:pt idx="145">
                  <c:v>5.1047211796489934E-4</c:v>
                </c:pt>
                <c:pt idx="146">
                  <c:v>5.1034319589791141E-4</c:v>
                </c:pt>
                <c:pt idx="147">
                  <c:v>5.102169454670887E-4</c:v>
                </c:pt>
                <c:pt idx="148">
                  <c:v>5.2113284165126821E-4</c:v>
                </c:pt>
                <c:pt idx="149">
                  <c:v>5.0973950830186755E-4</c:v>
                </c:pt>
                <c:pt idx="150">
                  <c:v>5.0962725219711119E-4</c:v>
                </c:pt>
                <c:pt idx="151">
                  <c:v>5.0951792218552816E-4</c:v>
                </c:pt>
                <c:pt idx="152">
                  <c:v>5.0941156067541916E-4</c:v>
                </c:pt>
                <c:pt idx="153">
                  <c:v>5.2033067392512453E-4</c:v>
                </c:pt>
                <c:pt idx="154">
                  <c:v>5.0901664781897549E-4</c:v>
                </c:pt>
                <c:pt idx="155">
                  <c:v>5.0892576494019476E-4</c:v>
                </c:pt>
                <c:pt idx="156">
                  <c:v>5.0883810501047878E-4</c:v>
                </c:pt>
                <c:pt idx="157">
                  <c:v>5.0875371043671231E-4</c:v>
                </c:pt>
                <c:pt idx="158">
                  <c:v>5.1968134546968078E-4</c:v>
                </c:pt>
                <c:pt idx="159">
                  <c:v>5.0844963383065388E-4</c:v>
                </c:pt>
                <c:pt idx="160">
                  <c:v>5.0838220213081581E-4</c:v>
                </c:pt>
                <c:pt idx="161">
                  <c:v>5.0831829022249502E-4</c:v>
                </c:pt>
                <c:pt idx="162">
                  <c:v>5.0825794051042748E-4</c:v>
                </c:pt>
                <c:pt idx="163">
                  <c:v>5.1919971672278228E-4</c:v>
                </c:pt>
                <c:pt idx="164">
                  <c:v>5.0805301170842119E-4</c:v>
                </c:pt>
                <c:pt idx="165">
                  <c:v>5.0801110903698587E-4</c:v>
                </c:pt>
                <c:pt idx="166">
                  <c:v>5.0797302298292827E-4</c:v>
                </c:pt>
                <c:pt idx="167">
                  <c:v>5.079387959485397E-4</c:v>
                </c:pt>
                <c:pt idx="168">
                  <c:v>5.1890064735646247E-4</c:v>
                </c:pt>
                <c:pt idx="169">
                  <c:v>5.0784132603613644E-4</c:v>
                </c:pt>
                <c:pt idx="170">
                  <c:v>5.0782703011840612E-4</c:v>
                </c:pt>
                <c:pt idx="171">
                  <c:v>5.0781684762434703E-4</c:v>
                </c:pt>
                <c:pt idx="172">
                  <c:v>5.0781082095372593E-4</c:v>
                </c:pt>
                <c:pt idx="173">
                  <c:v>5.187989961330723E-4</c:v>
                </c:pt>
                <c:pt idx="174">
                  <c:v>5.0785472656665956E-4</c:v>
                </c:pt>
                <c:pt idx="175">
                  <c:v>5.0787945895523464E-4</c:v>
                </c:pt>
                <c:pt idx="176">
                  <c:v>5.079092051169361E-4</c:v>
                </c:pt>
                <c:pt idx="177">
                  <c:v>5.1893670146673952E-4</c:v>
                </c:pt>
                <c:pt idx="178">
                  <c:v>5.0807526968969796E-4</c:v>
                </c:pt>
                <c:pt idx="179">
                  <c:v>5.0812779135491002E-4</c:v>
                </c:pt>
                <c:pt idx="180">
                  <c:v>5.081844094428587E-4</c:v>
                </c:pt>
                <c:pt idx="181">
                  <c:v>5.0824497105894022E-4</c:v>
                </c:pt>
                <c:pt idx="182">
                  <c:v>5.1931007928372784E-4</c:v>
                </c:pt>
                <c:pt idx="183">
                  <c:v>5.0852359489295281E-4</c:v>
                </c:pt>
                <c:pt idx="184">
                  <c:v>5.0860158071137733E-4</c:v>
                </c:pt>
                <c:pt idx="185">
                  <c:v>5.0868259267852019E-4</c:v>
                </c:pt>
                <c:pt idx="186">
                  <c:v>5.0876647789693276E-4</c:v>
                </c:pt>
                <c:pt idx="187">
                  <c:v>5.2537099176417539E-4</c:v>
                </c:pt>
                <c:pt idx="188">
                  <c:v>5.0912769330088725E-4</c:v>
                </c:pt>
                <c:pt idx="189">
                  <c:v>5.0922365129320725E-4</c:v>
                </c:pt>
                <c:pt idx="190">
                  <c:v>5.0932156517475452E-4</c:v>
                </c:pt>
                <c:pt idx="191">
                  <c:v>5.0942128208052151E-4</c:v>
                </c:pt>
                <c:pt idx="192">
                  <c:v>5.205495442286664E-4</c:v>
                </c:pt>
                <c:pt idx="193">
                  <c:v>5.0983512263280944E-4</c:v>
                </c:pt>
                <c:pt idx="194">
                  <c:v>5.0994156167487781E-4</c:v>
                </c:pt>
                <c:pt idx="195">
                  <c:v>5.1004888654738458E-4</c:v>
                </c:pt>
                <c:pt idx="196">
                  <c:v>5.1015694438483596E-4</c:v>
                </c:pt>
                <c:pt idx="197">
                  <c:v>5.2130848692564331E-4</c:v>
                </c:pt>
                <c:pt idx="198">
                  <c:v>5.1059344807403962E-4</c:v>
                </c:pt>
                <c:pt idx="199">
                  <c:v>5.1070287775542057E-4</c:v>
                </c:pt>
                <c:pt idx="200">
                  <c:v>5.1081212321082514E-4</c:v>
                </c:pt>
                <c:pt idx="201">
                  <c:v>5.1092103157588786E-4</c:v>
                </c:pt>
                <c:pt idx="202">
                  <c:v>5.2208881328003379E-4</c:v>
                </c:pt>
                <c:pt idx="203">
                  <c:v>5.1135023685348598E-4</c:v>
                </c:pt>
                <c:pt idx="204">
                  <c:v>5.1145516681053084E-4</c:v>
                </c:pt>
                <c:pt idx="205">
                  <c:v>5.1155884249684189E-4</c:v>
                </c:pt>
                <c:pt idx="206">
                  <c:v>5.1166111105093782E-4</c:v>
                </c:pt>
                <c:pt idx="207">
                  <c:v>5.2283695633279816E-4</c:v>
                </c:pt>
                <c:pt idx="208">
                  <c:v>5.1214599669241608E-4</c:v>
                </c:pt>
                <c:pt idx="209">
                  <c:v>5.1223661237356473E-4</c:v>
                </c:pt>
                <c:pt idx="210">
                  <c:v>5.1232475090046083E-4</c:v>
                </c:pt>
                <c:pt idx="211">
                  <c:v>5.2349934992226854E-4</c:v>
                </c:pt>
                <c:pt idx="212">
                  <c:v>5.1264947631473451E-4</c:v>
                </c:pt>
                <c:pt idx="213">
                  <c:v>5.1272293621167835E-4</c:v>
                </c:pt>
                <c:pt idx="214">
                  <c:v>5.1279300181389994E-4</c:v>
                </c:pt>
                <c:pt idx="215">
                  <c:v>5.1285952026752628E-4</c:v>
                </c:pt>
                <c:pt idx="216">
                  <c:v>5.2402242904581707E-4</c:v>
                </c:pt>
                <c:pt idx="217">
                  <c:v>5.1308706552662738E-4</c:v>
                </c:pt>
                <c:pt idx="218">
                  <c:v>5.1313355544066182E-4</c:v>
                </c:pt>
                <c:pt idx="219">
                  <c:v>5.1317558109250912E-4</c:v>
                </c:pt>
                <c:pt idx="220">
                  <c:v>5.1321298963197227E-4</c:v>
                </c:pt>
                <c:pt idx="221">
                  <c:v>5.2435263013890304E-4</c:v>
                </c:pt>
                <c:pt idx="222">
                  <c:v>5.1331339569246344E-4</c:v>
                </c:pt>
                <c:pt idx="223">
                  <c:v>5.1332542594603443E-4</c:v>
                </c:pt>
                <c:pt idx="224">
                  <c:v>5.1333192200270184E-4</c:v>
                </c:pt>
                <c:pt idx="225">
                  <c:v>5.1333273101738033E-4</c:v>
                </c:pt>
                <c:pt idx="226">
                  <c:v>5.2443639128082347E-4</c:v>
                </c:pt>
                <c:pt idx="227">
                  <c:v>5.1327603978472815E-4</c:v>
                </c:pt>
                <c:pt idx="228">
                  <c:v>5.1324612094195304E-4</c:v>
                </c:pt>
                <c:pt idx="229">
                  <c:v>5.0765574617565759E-4</c:v>
                </c:pt>
                <c:pt idx="230">
                  <c:v>5.0761294078814363E-4</c:v>
                </c:pt>
                <c:pt idx="231">
                  <c:v>5.0756330041708232E-4</c:v>
                </c:pt>
                <c:pt idx="232">
                  <c:v>5.073718575547303E-4</c:v>
                </c:pt>
                <c:pt idx="233">
                  <c:v>5.0729336540532028E-4</c:v>
                </c:pt>
                <c:pt idx="234">
                  <c:v>5.0720728235408073E-4</c:v>
                </c:pt>
                <c:pt idx="235">
                  <c:v>5.0711345721917345E-4</c:v>
                </c:pt>
                <c:pt idx="236">
                  <c:v>5.0701173881963527E-4</c:v>
                </c:pt>
                <c:pt idx="237">
                  <c:v>5.0666048272648609E-4</c:v>
                </c:pt>
                <c:pt idx="238">
                  <c:v>5.0652846212939271E-4</c:v>
                </c:pt>
                <c:pt idx="239">
                  <c:v>5.06389114344778E-4</c:v>
                </c:pt>
                <c:pt idx="240">
                  <c:v>5.0624252362925536E-4</c:v>
                </c:pt>
                <c:pt idx="241">
                  <c:v>5.0608877424021623E-4</c:v>
                </c:pt>
                <c:pt idx="242">
                  <c:v>5.0558541659863668E-4</c:v>
                </c:pt>
                <c:pt idx="243">
                  <c:v>5.054038750825936E-4</c:v>
                </c:pt>
                <c:pt idx="244">
                  <c:v>5.0521559617545746E-4</c:v>
                </c:pt>
                <c:pt idx="245">
                  <c:v>5.0502066413431169E-4</c:v>
                </c:pt>
                <c:pt idx="246">
                  <c:v>5.0481916321461781E-4</c:v>
                </c:pt>
                <c:pt idx="247">
                  <c:v>5.1520678312822409E-4</c:v>
                </c:pt>
                <c:pt idx="248">
                  <c:v>5.0946228565741799E-4</c:v>
                </c:pt>
                <c:pt idx="249">
                  <c:v>5.0371607438831959E-4</c:v>
                </c:pt>
                <c:pt idx="250">
                  <c:v>5.0347692956422972E-4</c:v>
                </c:pt>
                <c:pt idx="251">
                  <c:v>5.0323180564859366E-4</c:v>
                </c:pt>
                <c:pt idx="252">
                  <c:v>5.0768707785416891E-4</c:v>
                </c:pt>
                <c:pt idx="253">
                  <c:v>5.0741032077931568E-4</c:v>
                </c:pt>
                <c:pt idx="254">
                  <c:v>5.0712803017553484E-4</c:v>
                </c:pt>
                <c:pt idx="255">
                  <c:v>5.1780804137313411E-4</c:v>
                </c:pt>
                <c:pt idx="256">
                  <c:v>5.0594523461579386E-4</c:v>
                </c:pt>
                <c:pt idx="257">
                  <c:v>5.0563655297498737E-4</c:v>
                </c:pt>
                <c:pt idx="258">
                  <c:v>5.0532284844708602E-4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924800"/>
        <c:axId val="546931072"/>
      </c:scatterChart>
      <c:valAx>
        <c:axId val="5469248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6931072"/>
        <c:crosses val="autoZero"/>
        <c:crossBetween val="midCat"/>
      </c:valAx>
      <c:valAx>
        <c:axId val="54693107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469248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42278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2.3513216480215461E-3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42310</c:v>
                </c:pt>
                <c:pt idx="1">
                  <c:v>42339</c:v>
                </c:pt>
                <c:pt idx="2">
                  <c:v>42373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2.6177030484170576E-3</c:v>
                </c:pt>
                <c:pt idx="1">
                  <c:v>2.4561384550594173E-3</c:v>
                </c:pt>
                <c:pt idx="2">
                  <c:v>2.6494501063567093E-3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42349</c:v>
                </c:pt>
                <c:pt idx="1">
                  <c:v>42440</c:v>
                </c:pt>
                <c:pt idx="2">
                  <c:v>42531</c:v>
                </c:pt>
                <c:pt idx="3">
                  <c:v>42622</c:v>
                </c:pt>
                <c:pt idx="4">
                  <c:v>42713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2.1493033801060317E-3</c:v>
                </c:pt>
                <c:pt idx="1">
                  <c:v>2.0724808968527152E-3</c:v>
                </c:pt>
                <c:pt idx="2">
                  <c:v>2.0235323565227156E-3</c:v>
                </c:pt>
                <c:pt idx="3">
                  <c:v>2.0425057496529439E-3</c:v>
                </c:pt>
                <c:pt idx="4">
                  <c:v>1.9187017518288683E-3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42278</c:v>
                </c:pt>
                <c:pt idx="1">
                  <c:v>42279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42367</c:v>
                </c:pt>
                <c:pt idx="61">
                  <c:v>42368</c:v>
                </c:pt>
                <c:pt idx="62">
                  <c:v>42369</c:v>
                </c:pt>
                <c:pt idx="63">
                  <c:v>42373</c:v>
                </c:pt>
                <c:pt idx="64">
                  <c:v>42374</c:v>
                </c:pt>
                <c:pt idx="65">
                  <c:v>42375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42396</c:v>
                </c:pt>
                <c:pt idx="80">
                  <c:v>42397</c:v>
                </c:pt>
                <c:pt idx="81">
                  <c:v>42398</c:v>
                </c:pt>
                <c:pt idx="82">
                  <c:v>42401</c:v>
                </c:pt>
                <c:pt idx="83">
                  <c:v>42402</c:v>
                </c:pt>
                <c:pt idx="84">
                  <c:v>42403</c:v>
                </c:pt>
                <c:pt idx="85">
                  <c:v>42404</c:v>
                </c:pt>
                <c:pt idx="86">
                  <c:v>42405</c:v>
                </c:pt>
                <c:pt idx="87">
                  <c:v>42408</c:v>
                </c:pt>
                <c:pt idx="88">
                  <c:v>42409</c:v>
                </c:pt>
                <c:pt idx="89">
                  <c:v>42410</c:v>
                </c:pt>
                <c:pt idx="90">
                  <c:v>42411</c:v>
                </c:pt>
                <c:pt idx="91">
                  <c:v>42412</c:v>
                </c:pt>
                <c:pt idx="92">
                  <c:v>42415</c:v>
                </c:pt>
                <c:pt idx="93">
                  <c:v>42416</c:v>
                </c:pt>
                <c:pt idx="94">
                  <c:v>42417</c:v>
                </c:pt>
                <c:pt idx="95">
                  <c:v>42418</c:v>
                </c:pt>
                <c:pt idx="96">
                  <c:v>42419</c:v>
                </c:pt>
                <c:pt idx="97">
                  <c:v>42422</c:v>
                </c:pt>
                <c:pt idx="98">
                  <c:v>42423</c:v>
                </c:pt>
                <c:pt idx="99">
                  <c:v>42424</c:v>
                </c:pt>
                <c:pt idx="100">
                  <c:v>42425</c:v>
                </c:pt>
                <c:pt idx="101">
                  <c:v>42426</c:v>
                </c:pt>
                <c:pt idx="102">
                  <c:v>42429</c:v>
                </c:pt>
                <c:pt idx="103">
                  <c:v>42430</c:v>
                </c:pt>
                <c:pt idx="104">
                  <c:v>42431</c:v>
                </c:pt>
                <c:pt idx="105">
                  <c:v>42432</c:v>
                </c:pt>
                <c:pt idx="106">
                  <c:v>42433</c:v>
                </c:pt>
                <c:pt idx="107">
                  <c:v>42436</c:v>
                </c:pt>
                <c:pt idx="108">
                  <c:v>42437</c:v>
                </c:pt>
                <c:pt idx="109">
                  <c:v>42438</c:v>
                </c:pt>
                <c:pt idx="110">
                  <c:v>42439</c:v>
                </c:pt>
                <c:pt idx="111">
                  <c:v>42440</c:v>
                </c:pt>
                <c:pt idx="112">
                  <c:v>42443</c:v>
                </c:pt>
                <c:pt idx="113">
                  <c:v>42444</c:v>
                </c:pt>
                <c:pt idx="114">
                  <c:v>42445</c:v>
                </c:pt>
                <c:pt idx="115">
                  <c:v>42446</c:v>
                </c:pt>
                <c:pt idx="116">
                  <c:v>42447</c:v>
                </c:pt>
                <c:pt idx="117">
                  <c:v>42450</c:v>
                </c:pt>
                <c:pt idx="118">
                  <c:v>42451</c:v>
                </c:pt>
                <c:pt idx="119">
                  <c:v>42452</c:v>
                </c:pt>
                <c:pt idx="120">
                  <c:v>42453</c:v>
                </c:pt>
                <c:pt idx="121">
                  <c:v>42458</c:v>
                </c:pt>
                <c:pt idx="122">
                  <c:v>42459</c:v>
                </c:pt>
                <c:pt idx="123">
                  <c:v>42460</c:v>
                </c:pt>
                <c:pt idx="124">
                  <c:v>42461</c:v>
                </c:pt>
                <c:pt idx="125">
                  <c:v>42464</c:v>
                </c:pt>
                <c:pt idx="126">
                  <c:v>42465</c:v>
                </c:pt>
                <c:pt idx="127">
                  <c:v>42466</c:v>
                </c:pt>
                <c:pt idx="128">
                  <c:v>42467</c:v>
                </c:pt>
                <c:pt idx="129">
                  <c:v>42468</c:v>
                </c:pt>
                <c:pt idx="130">
                  <c:v>42471</c:v>
                </c:pt>
                <c:pt idx="131">
                  <c:v>42472</c:v>
                </c:pt>
                <c:pt idx="132">
                  <c:v>42473</c:v>
                </c:pt>
                <c:pt idx="133">
                  <c:v>42474</c:v>
                </c:pt>
                <c:pt idx="134">
                  <c:v>42475</c:v>
                </c:pt>
                <c:pt idx="135">
                  <c:v>42478</c:v>
                </c:pt>
                <c:pt idx="136">
                  <c:v>42479</c:v>
                </c:pt>
                <c:pt idx="137">
                  <c:v>42480</c:v>
                </c:pt>
                <c:pt idx="138">
                  <c:v>42481</c:v>
                </c:pt>
                <c:pt idx="139">
                  <c:v>42482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42492</c:v>
                </c:pt>
                <c:pt idx="145">
                  <c:v>42493</c:v>
                </c:pt>
                <c:pt idx="146">
                  <c:v>42494</c:v>
                </c:pt>
                <c:pt idx="147">
                  <c:v>42495</c:v>
                </c:pt>
                <c:pt idx="148">
                  <c:v>42496</c:v>
                </c:pt>
                <c:pt idx="149">
                  <c:v>42499</c:v>
                </c:pt>
                <c:pt idx="150">
                  <c:v>42500</c:v>
                </c:pt>
                <c:pt idx="151">
                  <c:v>42501</c:v>
                </c:pt>
                <c:pt idx="152">
                  <c:v>42502</c:v>
                </c:pt>
                <c:pt idx="153">
                  <c:v>42503</c:v>
                </c:pt>
                <c:pt idx="154">
                  <c:v>42506</c:v>
                </c:pt>
                <c:pt idx="155">
                  <c:v>42507</c:v>
                </c:pt>
                <c:pt idx="156">
                  <c:v>42508</c:v>
                </c:pt>
                <c:pt idx="157">
                  <c:v>42509</c:v>
                </c:pt>
                <c:pt idx="158">
                  <c:v>42510</c:v>
                </c:pt>
                <c:pt idx="159">
                  <c:v>42513</c:v>
                </c:pt>
                <c:pt idx="160">
                  <c:v>42514</c:v>
                </c:pt>
                <c:pt idx="161">
                  <c:v>42515</c:v>
                </c:pt>
                <c:pt idx="162">
                  <c:v>42516</c:v>
                </c:pt>
                <c:pt idx="163">
                  <c:v>42517</c:v>
                </c:pt>
                <c:pt idx="164">
                  <c:v>42520</c:v>
                </c:pt>
                <c:pt idx="165">
                  <c:v>42521</c:v>
                </c:pt>
                <c:pt idx="166">
                  <c:v>42522</c:v>
                </c:pt>
                <c:pt idx="167">
                  <c:v>42523</c:v>
                </c:pt>
                <c:pt idx="168">
                  <c:v>42524</c:v>
                </c:pt>
                <c:pt idx="169">
                  <c:v>42527</c:v>
                </c:pt>
                <c:pt idx="170">
                  <c:v>42528</c:v>
                </c:pt>
                <c:pt idx="171">
                  <c:v>42529</c:v>
                </c:pt>
                <c:pt idx="172">
                  <c:v>42530</c:v>
                </c:pt>
                <c:pt idx="173">
                  <c:v>42531</c:v>
                </c:pt>
                <c:pt idx="174">
                  <c:v>42535</c:v>
                </c:pt>
                <c:pt idx="175">
                  <c:v>42536</c:v>
                </c:pt>
                <c:pt idx="176">
                  <c:v>42537</c:v>
                </c:pt>
                <c:pt idx="177">
                  <c:v>42538</c:v>
                </c:pt>
                <c:pt idx="178">
                  <c:v>42541</c:v>
                </c:pt>
                <c:pt idx="179">
                  <c:v>42542</c:v>
                </c:pt>
                <c:pt idx="180">
                  <c:v>42543</c:v>
                </c:pt>
                <c:pt idx="181">
                  <c:v>42544</c:v>
                </c:pt>
                <c:pt idx="182">
                  <c:v>42545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42611</c:v>
                </c:pt>
                <c:pt idx="228">
                  <c:v>42612</c:v>
                </c:pt>
                <c:pt idx="229">
                  <c:v>42613</c:v>
                </c:pt>
                <c:pt idx="230">
                  <c:v>42614</c:v>
                </c:pt>
                <c:pt idx="231">
                  <c:v>42615</c:v>
                </c:pt>
                <c:pt idx="232">
                  <c:v>42618</c:v>
                </c:pt>
                <c:pt idx="233">
                  <c:v>42619</c:v>
                </c:pt>
                <c:pt idx="234">
                  <c:v>42620</c:v>
                </c:pt>
                <c:pt idx="235">
                  <c:v>42621</c:v>
                </c:pt>
                <c:pt idx="236">
                  <c:v>42622</c:v>
                </c:pt>
                <c:pt idx="237">
                  <c:v>42625</c:v>
                </c:pt>
                <c:pt idx="238">
                  <c:v>42626</c:v>
                </c:pt>
                <c:pt idx="239">
                  <c:v>42627</c:v>
                </c:pt>
                <c:pt idx="240">
                  <c:v>42628</c:v>
                </c:pt>
                <c:pt idx="241">
                  <c:v>42629</c:v>
                </c:pt>
                <c:pt idx="242">
                  <c:v>42632</c:v>
                </c:pt>
                <c:pt idx="243">
                  <c:v>42633</c:v>
                </c:pt>
                <c:pt idx="244">
                  <c:v>42634</c:v>
                </c:pt>
                <c:pt idx="245">
                  <c:v>42635</c:v>
                </c:pt>
                <c:pt idx="246">
                  <c:v>42636</c:v>
                </c:pt>
                <c:pt idx="247">
                  <c:v>42639</c:v>
                </c:pt>
                <c:pt idx="248">
                  <c:v>42640</c:v>
                </c:pt>
                <c:pt idx="249">
                  <c:v>42641</c:v>
                </c:pt>
                <c:pt idx="250">
                  <c:v>42642</c:v>
                </c:pt>
                <c:pt idx="251">
                  <c:v>42643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  <c:pt idx="255">
                  <c:v>42650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2.2092616653385747E-3</c:v>
                </c:pt>
                <c:pt idx="1">
                  <c:v>2.2084180347344334E-3</c:v>
                </c:pt>
                <c:pt idx="2">
                  <c:v>2.2050431548238524E-3</c:v>
                </c:pt>
                <c:pt idx="3">
                  <c:v>2.2041993480632397E-3</c:v>
                </c:pt>
                <c:pt idx="4">
                  <c:v>2.2033555076256543E-3</c:v>
                </c:pt>
                <c:pt idx="5">
                  <c:v>2.2025116340292036E-3</c:v>
                </c:pt>
                <c:pt idx="6">
                  <c:v>2.1999798194677332E-3</c:v>
                </c:pt>
                <c:pt idx="7">
                  <c:v>2.1991358184168942E-3</c:v>
                </c:pt>
                <c:pt idx="8">
                  <c:v>2.1982917867977266E-3</c:v>
                </c:pt>
                <c:pt idx="9">
                  <c:v>2.1974477251283375E-3</c:v>
                </c:pt>
                <c:pt idx="10">
                  <c:v>2.1966036339268339E-3</c:v>
                </c:pt>
                <c:pt idx="11">
                  <c:v>2.1940711883107092E-3</c:v>
                </c:pt>
                <c:pt idx="12">
                  <c:v>2.193226984161821E-3</c:v>
                </c:pt>
                <c:pt idx="13">
                  <c:v>2.1923827530713545E-3</c:v>
                </c:pt>
                <c:pt idx="14">
                  <c:v>2.1915384955574174E-3</c:v>
                </c:pt>
                <c:pt idx="15">
                  <c:v>2.1906942121381169E-3</c:v>
                </c:pt>
                <c:pt idx="16">
                  <c:v>2.1881612116291076E-3</c:v>
                </c:pt>
                <c:pt idx="17">
                  <c:v>2.1873168297694258E-3</c:v>
                </c:pt>
                <c:pt idx="18">
                  <c:v>2.186472424594917E-3</c:v>
                </c:pt>
                <c:pt idx="19">
                  <c:v>2.1856279966236884E-3</c:v>
                </c:pt>
                <c:pt idx="20">
                  <c:v>2.1847835463738468E-3</c:v>
                </c:pt>
                <c:pt idx="21">
                  <c:v>2.1822500671337206E-3</c:v>
                </c:pt>
                <c:pt idx="22">
                  <c:v>2.1814055329505018E-3</c:v>
                </c:pt>
                <c:pt idx="23">
                  <c:v>2.1805609790792064E-3</c:v>
                </c:pt>
                <c:pt idx="24">
                  <c:v>2.1797164060379424E-3</c:v>
                </c:pt>
                <c:pt idx="25">
                  <c:v>2.1788718143448166E-3</c:v>
                </c:pt>
                <c:pt idx="26">
                  <c:v>2.1763379325353423E-3</c:v>
                </c:pt>
                <c:pt idx="27">
                  <c:v>2.1754932714158422E-3</c:v>
                </c:pt>
                <c:pt idx="28">
                  <c:v>2.174648594235017E-3</c:v>
                </c:pt>
                <c:pt idx="29">
                  <c:v>2.1738039015109737E-3</c:v>
                </c:pt>
                <c:pt idx="30">
                  <c:v>2.1729591937618199E-3</c:v>
                </c:pt>
                <c:pt idx="31">
                  <c:v>2.1704249855447654E-3</c:v>
                </c:pt>
                <c:pt idx="32">
                  <c:v>2.1695802228762408E-3</c:v>
                </c:pt>
                <c:pt idx="33">
                  <c:v>2.1687354477731421E-3</c:v>
                </c:pt>
                <c:pt idx="34">
                  <c:v>2.1678906607535756E-3</c:v>
                </c:pt>
                <c:pt idx="35">
                  <c:v>2.1670458623356493E-3</c:v>
                </c:pt>
                <c:pt idx="36">
                  <c:v>2.1645114038727842E-3</c:v>
                </c:pt>
                <c:pt idx="37">
                  <c:v>2.1636665650424909E-3</c:v>
                </c:pt>
                <c:pt idx="38">
                  <c:v>2.1628217174043743E-3</c:v>
                </c:pt>
                <c:pt idx="39">
                  <c:v>2.1619768614765411E-3</c:v>
                </c:pt>
                <c:pt idx="40">
                  <c:v>2.161131997777099E-3</c:v>
                </c:pt>
                <c:pt idx="41">
                  <c:v>2.1585973652301915E-3</c:v>
                </c:pt>
                <c:pt idx="42">
                  <c:v>2.1577524756253856E-3</c:v>
                </c:pt>
                <c:pt idx="43">
                  <c:v>2.1569075808395076E-3</c:v>
                </c:pt>
                <c:pt idx="44">
                  <c:v>2.1560626813906638E-3</c:v>
                </c:pt>
                <c:pt idx="45">
                  <c:v>2.1552177777969623E-3</c:v>
                </c:pt>
                <c:pt idx="46">
                  <c:v>2.1526830473277804E-3</c:v>
                </c:pt>
                <c:pt idx="47">
                  <c:v>2.1518381323357189E-3</c:v>
                </c:pt>
                <c:pt idx="48">
                  <c:v>2.1509932157893351E-3</c:v>
                </c:pt>
                <c:pt idx="49">
                  <c:v>2.1501482982067372E-3</c:v>
                </c:pt>
                <c:pt idx="50">
                  <c:v>2.1493033801060317E-3</c:v>
                </c:pt>
                <c:pt idx="51">
                  <c:v>2.1467686278763445E-3</c:v>
                </c:pt>
                <c:pt idx="52">
                  <c:v>2.145923712884283E-3</c:v>
                </c:pt>
                <c:pt idx="53">
                  <c:v>2.1450787999646504E-3</c:v>
                </c:pt>
                <c:pt idx="54">
                  <c:v>2.1442338896355542E-3</c:v>
                </c:pt>
                <c:pt idx="55">
                  <c:v>2.1433889824151011E-3</c:v>
                </c:pt>
                <c:pt idx="56">
                  <c:v>2.1408542845866778E-3</c:v>
                </c:pt>
                <c:pt idx="57">
                  <c:v>2.1400093949818719E-3</c:v>
                </c:pt>
                <c:pt idx="58">
                  <c:v>2.1391645110762463E-3</c:v>
                </c:pt>
                <c:pt idx="59">
                  <c:v>2.1383196333879082E-3</c:v>
                </c:pt>
                <c:pt idx="60">
                  <c:v>2.1340953563392792E-3</c:v>
                </c:pt>
                <c:pt idx="61">
                  <c:v>2.133250526834917E-3</c:v>
                </c:pt>
                <c:pt idx="62">
                  <c:v>2.1324057071745927E-3</c:v>
                </c:pt>
                <c:pt idx="63">
                  <c:v>2.1290265373358225E-3</c:v>
                </c:pt>
                <c:pt idx="64">
                  <c:v>2.128181774667298E-3</c:v>
                </c:pt>
                <c:pt idx="65">
                  <c:v>2.1273370249514549E-3</c:v>
                </c:pt>
                <c:pt idx="66">
                  <c:v>2.126492288706401E-3</c:v>
                </c:pt>
                <c:pt idx="67">
                  <c:v>2.1256475664502435E-3</c:v>
                </c:pt>
                <c:pt idx="68">
                  <c:v>2.1231134887962212E-3</c:v>
                </c:pt>
                <c:pt idx="69">
                  <c:v>2.1222688276767211E-3</c:v>
                </c:pt>
                <c:pt idx="70">
                  <c:v>2.1214241831366541E-3</c:v>
                </c:pt>
                <c:pt idx="71">
                  <c:v>2.1205795556941266E-3</c:v>
                </c:pt>
                <c:pt idx="72">
                  <c:v>2.1197349458672468E-3</c:v>
                </c:pt>
                <c:pt idx="73">
                  <c:v>2.1172012272615615E-3</c:v>
                </c:pt>
                <c:pt idx="74">
                  <c:v>2.1163566930783428E-3</c:v>
                </c:pt>
                <c:pt idx="75">
                  <c:v>2.1155121791013075E-3</c:v>
                </c:pt>
                <c:pt idx="76">
                  <c:v>2.114667685848563E-3</c:v>
                </c:pt>
                <c:pt idx="77">
                  <c:v>2.1138232138382166E-3</c:v>
                </c:pt>
                <c:pt idx="78">
                  <c:v>2.1112899304426376E-3</c:v>
                </c:pt>
                <c:pt idx="79">
                  <c:v>2.1096011905562088E-3</c:v>
                </c:pt>
                <c:pt idx="80">
                  <c:v>2.108756856880503E-3</c:v>
                </c:pt>
                <c:pt idx="81">
                  <c:v>2.1079125480739465E-3</c:v>
                </c:pt>
                <c:pt idx="82">
                  <c:v>2.1053797760502424E-3</c:v>
                </c:pt>
                <c:pt idx="83">
                  <c:v>2.1045355719013542E-3</c:v>
                </c:pt>
                <c:pt idx="84">
                  <c:v>2.1036913952121507E-3</c:v>
                </c:pt>
                <c:pt idx="85">
                  <c:v>2.1028472465007405E-3</c:v>
                </c:pt>
                <c:pt idx="86">
                  <c:v>2.1020031262852295E-3</c:v>
                </c:pt>
                <c:pt idx="87">
                  <c:v>2.0994709417951692E-3</c:v>
                </c:pt>
                <c:pt idx="88">
                  <c:v>2.0986269407443302E-3</c:v>
                </c:pt>
                <c:pt idx="89">
                  <c:v>2.0977829707799277E-3</c:v>
                </c:pt>
                <c:pt idx="90">
                  <c:v>2.0969390324200683E-3</c:v>
                </c:pt>
                <c:pt idx="91">
                  <c:v>2.0960951261828598E-3</c:v>
                </c:pt>
                <c:pt idx="92">
                  <c:v>2.093563605388211E-3</c:v>
                </c:pt>
                <c:pt idx="93">
                  <c:v>2.0927198328226778E-3</c:v>
                </c:pt>
                <c:pt idx="94">
                  <c:v>2.0918760949703318E-3</c:v>
                </c:pt>
                <c:pt idx="95">
                  <c:v>2.0910323923492803E-3</c:v>
                </c:pt>
                <c:pt idx="96">
                  <c:v>2.09018872547763E-3</c:v>
                </c:pt>
                <c:pt idx="97">
                  <c:v>2.0876579445401619E-3</c:v>
                </c:pt>
                <c:pt idx="98">
                  <c:v>2.0868144258471906E-3</c:v>
                </c:pt>
                <c:pt idx="99">
                  <c:v>2.0859709454941573E-3</c:v>
                </c:pt>
                <c:pt idx="100">
                  <c:v>2.0851275039991692E-3</c:v>
                </c:pt>
                <c:pt idx="101">
                  <c:v>2.0842841018803336E-3</c:v>
                </c:pt>
                <c:pt idx="102">
                  <c:v>2.0817541369618146E-3</c:v>
                </c:pt>
                <c:pt idx="103">
                  <c:v>2.0809108975286617E-3</c:v>
                </c:pt>
                <c:pt idx="104">
                  <c:v>2.0800677000621971E-3</c:v>
                </c:pt>
                <c:pt idx="105">
                  <c:v>2.0792245450805291E-3</c:v>
                </c:pt>
                <c:pt idx="106">
                  <c:v>2.0783814331017643E-3</c:v>
                </c:pt>
                <c:pt idx="107">
                  <c:v>2.0758523603639626E-3</c:v>
                </c:pt>
                <c:pt idx="108">
                  <c:v>2.0750094255778842E-3</c:v>
                </c:pt>
                <c:pt idx="109">
                  <c:v>2.0741665363852449E-3</c:v>
                </c:pt>
                <c:pt idx="110">
                  <c:v>2.073323693304153E-3</c:v>
                </c:pt>
                <c:pt idx="111">
                  <c:v>2.0724808968527152E-3</c:v>
                </c:pt>
                <c:pt idx="112">
                  <c:v>2.0699604445281339E-3</c:v>
                </c:pt>
                <c:pt idx="113">
                  <c:v>2.0691242402294768E-3</c:v>
                </c:pt>
                <c:pt idx="114">
                  <c:v>2.0682902905590087E-3</c:v>
                </c:pt>
                <c:pt idx="115">
                  <c:v>2.0674587643507818E-3</c:v>
                </c:pt>
                <c:pt idx="116">
                  <c:v>2.0666298304388487E-3</c:v>
                </c:pt>
                <c:pt idx="117">
                  <c:v>2.0641602708213352E-3</c:v>
                </c:pt>
                <c:pt idx="118">
                  <c:v>2.0633433944351001E-3</c:v>
                </c:pt>
                <c:pt idx="119">
                  <c:v>2.0625299545154207E-3</c:v>
                </c:pt>
                <c:pt idx="120">
                  <c:v>2.0617201198963493E-3</c:v>
                </c:pt>
                <c:pt idx="121">
                  <c:v>2.05773093550194E-3</c:v>
                </c:pt>
                <c:pt idx="122">
                  <c:v>2.0569462782016146E-3</c:v>
                </c:pt>
                <c:pt idx="123">
                  <c:v>2.0561664080402634E-3</c:v>
                </c:pt>
                <c:pt idx="124">
                  <c:v>2.0553914938519387E-3</c:v>
                </c:pt>
                <c:pt idx="125">
                  <c:v>2.0530981754656478E-3</c:v>
                </c:pt>
                <c:pt idx="126">
                  <c:v>2.0523447735099534E-3</c:v>
                </c:pt>
                <c:pt idx="127">
                  <c:v>2.0515971716975469E-3</c:v>
                </c:pt>
                <c:pt idx="128">
                  <c:v>2.0508555388624814E-3</c:v>
                </c:pt>
                <c:pt idx="129">
                  <c:v>2.0501200438388092E-3</c:v>
                </c:pt>
                <c:pt idx="130">
                  <c:v>2.0479520739766738E-3</c:v>
                </c:pt>
                <c:pt idx="131">
                  <c:v>2.0472428185390971E-3</c:v>
                </c:pt>
                <c:pt idx="132">
                  <c:v>2.0465405450831755E-3</c:v>
                </c:pt>
                <c:pt idx="133">
                  <c:v>2.0458454224429609E-3</c:v>
                </c:pt>
                <c:pt idx="134">
                  <c:v>2.0451576194525064E-3</c:v>
                </c:pt>
                <c:pt idx="135">
                  <c:v>2.0431398167202225E-3</c:v>
                </c:pt>
                <c:pt idx="136">
                  <c:v>2.0424829806693291E-3</c:v>
                </c:pt>
                <c:pt idx="137">
                  <c:v>2.0418343084384577E-3</c:v>
                </c:pt>
                <c:pt idx="138">
                  <c:v>2.0411939688616595E-3</c:v>
                </c:pt>
                <c:pt idx="139">
                  <c:v>2.0405621307729872E-3</c:v>
                </c:pt>
                <c:pt idx="140">
                  <c:v>2.0381231699806066E-3</c:v>
                </c:pt>
                <c:pt idx="141">
                  <c:v>2.0375363718433499E-3</c:v>
                </c:pt>
                <c:pt idx="142">
                  <c:v>2.0369590881985336E-3</c:v>
                </c:pt>
                <c:pt idx="143">
                  <c:v>2.0363914878802096E-3</c:v>
                </c:pt>
                <c:pt idx="144">
                  <c:v>2.0347484752247166E-3</c:v>
                </c:pt>
                <c:pt idx="145">
                  <c:v>2.0342212965528865E-3</c:v>
                </c:pt>
                <c:pt idx="146">
                  <c:v>2.0337046453778105E-3</c:v>
                </c:pt>
                <c:pt idx="147">
                  <c:v>2.0331986905335409E-3</c:v>
                </c:pt>
                <c:pt idx="148">
                  <c:v>2.0327036008541306E-3</c:v>
                </c:pt>
                <c:pt idx="149">
                  <c:v>2.031285211145577E-3</c:v>
                </c:pt>
                <c:pt idx="150">
                  <c:v>2.030835270466126E-3</c:v>
                </c:pt>
                <c:pt idx="151">
                  <c:v>2.0303970391217958E-3</c:v>
                </c:pt>
                <c:pt idx="152">
                  <c:v>2.0299706859466388E-3</c:v>
                </c:pt>
                <c:pt idx="153">
                  <c:v>2.0295563797747074E-3</c:v>
                </c:pt>
                <c:pt idx="154">
                  <c:v>2.0283874316187889E-3</c:v>
                </c:pt>
                <c:pt idx="155">
                  <c:v>2.0280230018002825E-3</c:v>
                </c:pt>
                <c:pt idx="156">
                  <c:v>2.0276714631552637E-3</c:v>
                </c:pt>
                <c:pt idx="157">
                  <c:v>2.0273329845177843E-3</c:v>
                </c:pt>
                <c:pt idx="158">
                  <c:v>2.027007734721897E-3</c:v>
                </c:pt>
                <c:pt idx="159">
                  <c:v>2.0261130467243097E-3</c:v>
                </c:pt>
                <c:pt idx="160">
                  <c:v>2.0258424006353135E-3</c:v>
                </c:pt>
                <c:pt idx="161">
                  <c:v>2.0255858275581707E-3</c:v>
                </c:pt>
                <c:pt idx="162">
                  <c:v>2.0253434963269346E-3</c:v>
                </c:pt>
                <c:pt idx="163">
                  <c:v>2.0251155757756564E-3</c:v>
                </c:pt>
                <c:pt idx="164">
                  <c:v>2.0245199665420966E-3</c:v>
                </c:pt>
                <c:pt idx="165">
                  <c:v>2.0243513770511756E-3</c:v>
                </c:pt>
                <c:pt idx="166">
                  <c:v>2.0241980424104749E-3</c:v>
                </c:pt>
                <c:pt idx="167">
                  <c:v>2.0240601314540471E-3</c:v>
                </c:pt>
                <c:pt idx="168">
                  <c:v>2.0239378130159436E-3</c:v>
                </c:pt>
                <c:pt idx="169">
                  <c:v>2.023666101152107E-3</c:v>
                </c:pt>
                <c:pt idx="170">
                  <c:v>2.0236078411278269E-3</c:v>
                </c:pt>
                <c:pt idx="171">
                  <c:v>2.0235660177921333E-3</c:v>
                </c:pt>
                <c:pt idx="172">
                  <c:v>2.023540799979079E-3</c:v>
                </c:pt>
                <c:pt idx="173">
                  <c:v>2.0235323565227156E-3</c:v>
                </c:pt>
                <c:pt idx="174">
                  <c:v>2.0237104289051043E-3</c:v>
                </c:pt>
                <c:pt idx="175">
                  <c:v>2.0238080548707683E-3</c:v>
                </c:pt>
                <c:pt idx="176">
                  <c:v>2.0239257049047337E-3</c:v>
                </c:pt>
                <c:pt idx="177">
                  <c:v>2.0240627694671368E-3</c:v>
                </c:pt>
                <c:pt idx="178">
                  <c:v>2.0245843549263438E-3</c:v>
                </c:pt>
                <c:pt idx="179">
                  <c:v>2.0247929822038687E-3</c:v>
                </c:pt>
                <c:pt idx="180">
                  <c:v>2.0250179763105164E-3</c:v>
                </c:pt>
                <c:pt idx="181">
                  <c:v>2.0252587277064236E-3</c:v>
                </c:pt>
                <c:pt idx="182">
                  <c:v>2.0255146268517285E-3</c:v>
                </c:pt>
                <c:pt idx="183">
                  <c:v>2.0263671153853929E-3</c:v>
                </c:pt>
                <c:pt idx="184">
                  <c:v>2.0266775101296553E-3</c:v>
                </c:pt>
                <c:pt idx="185">
                  <c:v>2.0270000049239993E-3</c:v>
                </c:pt>
                <c:pt idx="186">
                  <c:v>2.027333990228562E-3</c:v>
                </c:pt>
                <c:pt idx="187">
                  <c:v>2.0276788565034808E-3</c:v>
                </c:pt>
                <c:pt idx="188">
                  <c:v>2.0287726457517427E-3</c:v>
                </c:pt>
                <c:pt idx="189">
                  <c:v>2.0291549405094551E-3</c:v>
                </c:pt>
                <c:pt idx="190">
                  <c:v>2.0295450685382087E-3</c:v>
                </c:pt>
                <c:pt idx="191">
                  <c:v>2.0299424202981399E-3</c:v>
                </c:pt>
                <c:pt idx="192">
                  <c:v>2.0303463862493859E-3</c:v>
                </c:pt>
                <c:pt idx="193">
                  <c:v>2.0315918738523838E-3</c:v>
                </c:pt>
                <c:pt idx="194">
                  <c:v>2.0320162011702599E-3</c:v>
                </c:pt>
                <c:pt idx="195">
                  <c:v>2.0324440949801357E-3</c:v>
                </c:pt>
                <c:pt idx="196">
                  <c:v>2.0328749457421483E-3</c:v>
                </c:pt>
                <c:pt idx="197">
                  <c:v>2.0333081439164349E-3</c:v>
                </c:pt>
                <c:pt idx="198">
                  <c:v>2.0346157275143079E-3</c:v>
                </c:pt>
                <c:pt idx="199">
                  <c:v>2.0350522199390603E-3</c:v>
                </c:pt>
                <c:pt idx="200">
                  <c:v>2.0354880120767712E-3</c:v>
                </c:pt>
                <c:pt idx="201">
                  <c:v>2.0359224943875785E-3</c:v>
                </c:pt>
                <c:pt idx="202">
                  <c:v>2.0363550573316183E-3</c:v>
                </c:pt>
                <c:pt idx="203">
                  <c:v>2.0376351345645061E-3</c:v>
                </c:pt>
                <c:pt idx="204">
                  <c:v>2.0380539246428477E-3</c:v>
                </c:pt>
                <c:pt idx="205">
                  <c:v>2.0384677476551075E-3</c:v>
                </c:pt>
                <c:pt idx="206">
                  <c:v>2.038875994061422E-3</c:v>
                </c:pt>
                <c:pt idx="207">
                  <c:v>2.0392780543219283E-3</c:v>
                </c:pt>
                <c:pt idx="208">
                  <c:v>2.0408122431086135E-3</c:v>
                </c:pt>
                <c:pt idx="209">
                  <c:v>2.0411742295421346E-3</c:v>
                </c:pt>
                <c:pt idx="210">
                  <c:v>2.0415263725906694E-3</c:v>
                </c:pt>
                <c:pt idx="211">
                  <c:v>2.0418680627143555E-3</c:v>
                </c:pt>
                <c:pt idx="212">
                  <c:v>2.0428243201376889E-3</c:v>
                </c:pt>
                <c:pt idx="213">
                  <c:v>2.0431181031633485E-3</c:v>
                </c:pt>
                <c:pt idx="214">
                  <c:v>2.043398385564844E-3</c:v>
                </c:pt>
                <c:pt idx="215">
                  <c:v>2.0436645578023127E-3</c:v>
                </c:pt>
                <c:pt idx="216">
                  <c:v>2.0439160103358912E-3</c:v>
                </c:pt>
                <c:pt idx="217">
                  <c:v>2.0445759543146562E-3</c:v>
                </c:pt>
                <c:pt idx="218">
                  <c:v>2.0447624326340444E-3</c:v>
                </c:pt>
                <c:pt idx="219">
                  <c:v>2.0449311435502275E-3</c:v>
                </c:pt>
                <c:pt idx="220">
                  <c:v>2.0450814775233427E-3</c:v>
                </c:pt>
                <c:pt idx="221">
                  <c:v>2.0452128250135265E-3</c:v>
                </c:pt>
                <c:pt idx="222">
                  <c:v>2.0454868531878624E-3</c:v>
                </c:pt>
                <c:pt idx="223">
                  <c:v>2.0455361593476923E-3</c:v>
                </c:pt>
                <c:pt idx="224">
                  <c:v>2.0455634313252761E-3</c:v>
                </c:pt>
                <c:pt idx="225">
                  <c:v>2.0455680595807507E-3</c:v>
                </c:pt>
                <c:pt idx="226">
                  <c:v>2.0455494345742531E-3</c:v>
                </c:pt>
                <c:pt idx="227">
                  <c:v>2.0453479445842987E-3</c:v>
                </c:pt>
                <c:pt idx="228">
                  <c:v>2.0452302111312829E-3</c:v>
                </c:pt>
                <c:pt idx="229">
                  <c:v>2.0450861767169802E-3</c:v>
                </c:pt>
                <c:pt idx="230">
                  <c:v>2.0449152318015276E-3</c:v>
                </c:pt>
                <c:pt idx="231">
                  <c:v>2.0447167668450617E-3</c:v>
                </c:pt>
                <c:pt idx="232">
                  <c:v>2.0439501563309561E-3</c:v>
                </c:pt>
                <c:pt idx="233">
                  <c:v>2.043635515811808E-3</c:v>
                </c:pt>
                <c:pt idx="234">
                  <c:v>2.0432903075523322E-3</c:v>
                </c:pt>
                <c:pt idx="235">
                  <c:v>2.0429139220126649E-3</c:v>
                </c:pt>
                <c:pt idx="236">
                  <c:v>2.0425057496529439E-3</c:v>
                </c:pt>
                <c:pt idx="237">
                  <c:v>2.0410955800856155E-3</c:v>
                </c:pt>
                <c:pt idx="238">
                  <c:v>2.0405653779120669E-3</c:v>
                </c:pt>
                <c:pt idx="239">
                  <c:v>2.0400056681916415E-3</c:v>
                </c:pt>
                <c:pt idx="240">
                  <c:v>2.0394167900915443E-3</c:v>
                </c:pt>
                <c:pt idx="241">
                  <c:v>2.0387990827789811E-3</c:v>
                </c:pt>
                <c:pt idx="242">
                  <c:v>2.0367763772385496E-3</c:v>
                </c:pt>
                <c:pt idx="243">
                  <c:v>2.0360467447481764E-3</c:v>
                </c:pt>
                <c:pt idx="244">
                  <c:v>2.0352899788813649E-3</c:v>
                </c:pt>
                <c:pt idx="245">
                  <c:v>2.0345064188053204E-3</c:v>
                </c:pt>
                <c:pt idx="246">
                  <c:v>2.0336964036872479E-3</c:v>
                </c:pt>
                <c:pt idx="247">
                  <c:v>2.0311110197529189E-3</c:v>
                </c:pt>
                <c:pt idx="248">
                  <c:v>2.0301985761387903E-3</c:v>
                </c:pt>
                <c:pt idx="249">
                  <c:v>2.0292613733186617E-3</c:v>
                </c:pt>
                <c:pt idx="250">
                  <c:v>2.0282997504597381E-3</c:v>
                </c:pt>
                <c:pt idx="251">
                  <c:v>2.0273140467292252E-3</c:v>
                </c:pt>
                <c:pt idx="252">
                  <c:v>2.0231372064353896E-3</c:v>
                </c:pt>
                <c:pt idx="253">
                  <c:v>2.0220361858550124E-3</c:v>
                </c:pt>
                <c:pt idx="254">
                  <c:v>2.0209131194062788E-3</c:v>
                </c:pt>
                <c:pt idx="255">
                  <c:v>2.0197683462563937E-3</c:v>
                </c:pt>
                <c:pt idx="256">
                  <c:v>2.0162071782718889E-3</c:v>
                </c:pt>
                <c:pt idx="257">
                  <c:v>2.0149789699894552E-3</c:v>
                </c:pt>
                <c:pt idx="258">
                  <c:v>2.0137307508418978E-3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416128"/>
        <c:axId val="548422016"/>
      </c:scatterChart>
      <c:valAx>
        <c:axId val="548416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8422016"/>
        <c:crosses val="autoZero"/>
        <c:crossBetween val="midCat"/>
      </c:valAx>
      <c:valAx>
        <c:axId val="54842201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484161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6</v>
          </cell>
        </row>
        <row r="8">
          <cell r="D8">
            <v>2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Z5</v>
          </cell>
        </row>
        <row r="8">
          <cell r="D8" t="str">
            <v>F6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opLeftCell="A2"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1.7.0 - MS VC++ (version unknown) - Multithreaded Dynamic Runtime library - Release Configuration - Sep 23 2015 09:48:15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121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140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141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142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143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127</v>
      </c>
      <c r="D9" s="12" t="s">
        <v>173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42180.598113425927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42278</v>
      </c>
      <c r="E17" s="3"/>
      <c r="G17" s="33"/>
      <c r="H17" s="254" t="s">
        <v>18</v>
      </c>
      <c r="I17" s="124"/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obj_001f3#0004</v>
      </c>
      <c r="E18" s="3"/>
      <c r="G18" s="33"/>
      <c r="H18" s="254" t="s">
        <v>19</v>
      </c>
      <c r="I18" s="124">
        <f>_xll.qlSettingsEvaluationDate(Trigger)</f>
        <v>42278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6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2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0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obj_0020f#0006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obj_00211#0006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117</v>
      </c>
      <c r="E32" s="3"/>
      <c r="G32" s="1"/>
      <c r="H32" s="256" t="s">
        <v>29</v>
      </c>
      <c r="I32" s="12" t="s">
        <v>117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obj_0020d#0006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obj_00210#0006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42278</v>
      </c>
      <c r="D37" s="53">
        <f>_xll.qlYieldTSDiscount(YieldCurve1M,C37,,Trigger)</f>
        <v>1</v>
      </c>
      <c r="E37" s="3"/>
      <c r="G37" s="1"/>
      <c r="H37" s="52">
        <f>_xll.qlTermStructureReferenceDate(I34)</f>
        <v>42278</v>
      </c>
      <c r="I37" s="185">
        <f>_xll.qlYieldTSDiscount(I34,H37,,Trigger)</f>
        <v>1</v>
      </c>
      <c r="J37" s="214"/>
    </row>
    <row r="38" spans="2:10" x14ac:dyDescent="0.2">
      <c r="B38" s="1"/>
      <c r="C38" s="54">
        <f>_xll.qlTermStructureMaxDate(D34)</f>
        <v>42654</v>
      </c>
      <c r="D38" s="55">
        <f>_xll.qlYieldTSDiscount(YieldCurve1M,C38,,Trigger)</f>
        <v>0.98126370902720461</v>
      </c>
      <c r="E38" s="3"/>
      <c r="G38" s="1"/>
      <c r="H38" s="54">
        <f>_xll.qlTermStructureMaxDate(I34)</f>
        <v>43018</v>
      </c>
      <c r="I38" s="186">
        <f>_xll.qlYieldTSDiscount(I34,H38,,Trigger)</f>
        <v>0.95852085936073084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126</v>
      </c>
      <c r="G2" s="265" t="s">
        <v>130</v>
      </c>
      <c r="H2" s="265" t="s">
        <v>131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122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42278</v>
      </c>
      <c r="E3" s="194">
        <f>_xll.qlInterestRateIndexMaturity($D$10,D3)</f>
        <v>42310</v>
      </c>
      <c r="F3" s="219">
        <f>'Delta 1M'!X26</f>
        <v>2.0726141446399105E-4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8.7671232876712329E-2</v>
      </c>
      <c r="I3" s="200">
        <f>H3-G3</f>
        <v>8.7671232876712329E-2</v>
      </c>
      <c r="J3" s="200">
        <f>(H3^2-G3^2)/2</f>
        <v>3.8431225370613624E-3</v>
      </c>
      <c r="K3" s="200">
        <f>(H3^3-G3^3)/3</f>
        <v>2.2462086061363214E-4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5.8771998824387285E-3</v>
      </c>
      <c r="P3" s="271">
        <f t="array" ref="P3:P5">_xll.ohFilter(J3:J7,L3:L7)</f>
        <v>3.3867517357853254E-2</v>
      </c>
      <c r="Q3" s="272">
        <f t="array" ref="Q3:Q5">_xll.ohFilter(I3:I7,L3:L7)</f>
        <v>0.25753424657534246</v>
      </c>
      <c r="R3" s="273"/>
      <c r="S3" s="274">
        <f t="array" ref="S3:S5">MMULT(W3:Y5,U3:U5)</f>
        <v>-1.2938859050045035E-3</v>
      </c>
      <c r="T3" s="275"/>
      <c r="U3" s="276">
        <f t="array" ref="U3:U5">_xll.ohFilter(F3:F7,L3:L7)</f>
        <v>2.0717311657969962E-4</v>
      </c>
      <c r="W3" s="270">
        <f t="array" ref="W3:Y5">MINVERSE(O3:Q5)</f>
        <v>30.394232692451919</v>
      </c>
      <c r="X3" s="271">
        <v>-63.310001172817664</v>
      </c>
      <c r="Y3" s="272">
        <v>31.913760809186027</v>
      </c>
      <c r="AB3" s="136">
        <f>SettlementDate</f>
        <v>42278</v>
      </c>
      <c r="AC3" s="138">
        <f>_xll.qlDayCounterYearFraction(DayCounter,SettlementDate,AB3,,,Trigger)</f>
        <v>0</v>
      </c>
      <c r="AD3" s="132">
        <f t="shared" ref="AD3:AD64" si="0">$S$13</f>
        <v>8.0444880374032292E-4</v>
      </c>
      <c r="AE3" s="132">
        <f t="shared" ref="AE3:AE23" si="1">$S$10+$S$9*AC3</f>
        <v>7.9769156018834266E-4</v>
      </c>
      <c r="AF3" s="132">
        <f t="shared" ref="AF3:AF23" si="2">($S$5+$S$4*AC3+$S$3*AC3^2)</f>
        <v>7.3957797820113841E-4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42279</v>
      </c>
      <c r="E4" s="129">
        <f>_xll.qlInterestRateIndexMaturity($D$1,D4)</f>
        <v>42373</v>
      </c>
      <c r="F4" s="220">
        <f t="array" ref="F4:F7">Delta1M</f>
        <v>2.0717311657969962E-4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0.26027397260273971</v>
      </c>
      <c r="I4" s="138">
        <f>H4-G4</f>
        <v>0.25753424657534246</v>
      </c>
      <c r="J4" s="138">
        <f>(H4^2-G4^2)/2</f>
        <v>3.3867517357853254E-2</v>
      </c>
      <c r="K4" s="138">
        <f>(H4^3-G4^3)/3</f>
        <v>5.8771998824387285E-3</v>
      </c>
      <c r="L4" s="352" t="b">
        <f>IF(D12="fixing",FALSE,TRUE)</f>
        <v>1</v>
      </c>
      <c r="N4" s="465"/>
      <c r="O4" s="270">
        <v>3.8232988961065112E-2</v>
      </c>
      <c r="P4" s="271">
        <v>9.5969224995308688E-2</v>
      </c>
      <c r="Q4" s="272">
        <v>0.24931506849315072</v>
      </c>
      <c r="R4" s="280" t="s">
        <v>32</v>
      </c>
      <c r="S4" s="274">
        <v>7.1782306957609817E-4</v>
      </c>
      <c r="T4" s="280" t="s">
        <v>33</v>
      </c>
      <c r="U4" s="276">
        <v>2.0380773243929945E-4</v>
      </c>
      <c r="W4" s="270">
        <v>-30.977135785183883</v>
      </c>
      <c r="X4" s="271">
        <v>48.436132732597116</v>
      </c>
      <c r="Y4" s="272">
        <v>-16.43777269075883</v>
      </c>
      <c r="AB4" s="137">
        <f>_xll.qlCalendarAdvance(Calendar,AB3,"1d","mf",,Trigger)</f>
        <v>42279</v>
      </c>
      <c r="AC4" s="138">
        <f>_xll.qlDayCounterYearFraction(DayCounter,SettlementDate,AB4,,,Trigger)</f>
        <v>2.7397260273972603E-3</v>
      </c>
      <c r="AD4" s="133">
        <f t="shared" si="0"/>
        <v>8.0444880374032292E-4</v>
      </c>
      <c r="AE4" s="133">
        <f t="shared" si="1"/>
        <v>7.9783233609567554E-4</v>
      </c>
      <c r="AF4" s="133">
        <f t="shared" si="2"/>
        <v>7.4153490471260601E-4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42373</v>
      </c>
      <c r="E5" s="129">
        <f>_xll.qlInterestRateIndexMaturity($D$1,D5)</f>
        <v>42464</v>
      </c>
      <c r="F5" s="220">
        <v>2.0380773243929945E-4</v>
      </c>
      <c r="G5" s="138">
        <f>_xll.qlDayCounterYearFraction(DayCounter,SettlementDate,D5,,,Trigger)</f>
        <v>0.26027397260273971</v>
      </c>
      <c r="H5" s="138">
        <f>_xll.qlDayCounterYearFraction(DayCounter,SettlementDate,E5,,,Trigger)</f>
        <v>0.50958904109589043</v>
      </c>
      <c r="I5" s="138">
        <f>H5-G5</f>
        <v>0.24931506849315072</v>
      </c>
      <c r="J5" s="138">
        <f>(H5^2-G5^2)/2</f>
        <v>9.5969224995308688E-2</v>
      </c>
      <c r="K5" s="138">
        <f>(H5^3-G5^3)/3</f>
        <v>3.8232988961065112E-2</v>
      </c>
      <c r="L5" s="352" t="b">
        <v>1</v>
      </c>
      <c r="N5" s="465"/>
      <c r="O5" s="270">
        <v>0.1015830636364649</v>
      </c>
      <c r="P5" s="271">
        <v>0.15812722837305307</v>
      </c>
      <c r="Q5" s="272">
        <v>0.24931506849315066</v>
      </c>
      <c r="R5" s="281"/>
      <c r="S5" s="274">
        <v>7.3957797820113841E-4</v>
      </c>
      <c r="T5" s="280"/>
      <c r="U5" s="276">
        <v>1.6645841251915078E-4</v>
      </c>
      <c r="W5" s="270">
        <v>7.2630561875473987</v>
      </c>
      <c r="X5" s="271">
        <v>-4.9248830067630811</v>
      </c>
      <c r="Y5" s="272">
        <v>1.4333744174284064</v>
      </c>
      <c r="AB5" s="137">
        <f>_xll.qlCalendarAdvance(Calendar,AB4,"1d","mf",,Trigger)</f>
        <v>42283</v>
      </c>
      <c r="AC5" s="138">
        <f>_xll.qlDayCounterYearFraction(DayCounter,SettlementDate,AB5,,,Trigger)</f>
        <v>1.3698630136986301E-2</v>
      </c>
      <c r="AD5" s="133">
        <f t="shared" si="0"/>
        <v>8.0444880374032292E-4</v>
      </c>
      <c r="AE5" s="133">
        <f t="shared" si="1"/>
        <v>7.983954397250073E-4</v>
      </c>
      <c r="AF5" s="133">
        <f t="shared" si="2"/>
        <v>7.4916837005215182E-4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42464</v>
      </c>
      <c r="E6" s="129">
        <f>_xll.qlInterestRateIndexMaturity($D$1,D6)</f>
        <v>42555</v>
      </c>
      <c r="F6" s="220">
        <v>1.6645841251915078E-4</v>
      </c>
      <c r="G6" s="138">
        <f>_xll.qlDayCounterYearFraction(DayCounter,SettlementDate,D6,,,Trigger)</f>
        <v>0.50958904109589043</v>
      </c>
      <c r="H6" s="138">
        <f>_xll.qlDayCounterYearFraction(DayCounter,SettlementDate,E6,,,Trigger)</f>
        <v>0.75890410958904109</v>
      </c>
      <c r="I6" s="138">
        <f>H6-G6</f>
        <v>0.24931506849315066</v>
      </c>
      <c r="J6" s="138">
        <f>(H6^2-G6^2)/2</f>
        <v>0.15812722837305307</v>
      </c>
      <c r="K6" s="138">
        <f>(H6^3-G6^3)/3</f>
        <v>0.1015830636364649</v>
      </c>
      <c r="L6" s="352" t="b">
        <v>1</v>
      </c>
      <c r="S6" s="283"/>
      <c r="T6" s="284"/>
      <c r="U6" s="285"/>
      <c r="AB6" s="137">
        <f>_xll.qlCalendarAdvance(Calendar,AB5,"1d","mf",,Trigger)</f>
        <v>42284</v>
      </c>
      <c r="AC6" s="138">
        <f>_xll.qlDayCounterYearFraction(DayCounter,SettlementDate,AB6,,,Trigger)</f>
        <v>1.643835616438356E-2</v>
      </c>
      <c r="AD6" s="133">
        <f t="shared" si="0"/>
        <v>8.0444880374032292E-4</v>
      </c>
      <c r="AE6" s="133">
        <f t="shared" si="1"/>
        <v>7.9853621563234019E-4</v>
      </c>
      <c r="AF6" s="133">
        <f t="shared" si="2"/>
        <v>7.5102817621045719E-4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42555</v>
      </c>
      <c r="E7" s="287">
        <f>_xll.qlInterestRateIndexMaturity($D$1,D7)</f>
        <v>42647</v>
      </c>
      <c r="F7" s="288">
        <v>2.3237431877755292E-4</v>
      </c>
      <c r="G7" s="289">
        <f>_xll.qlDayCounterYearFraction(DayCounter,SettlementDate,D7,,,Trigger)</f>
        <v>0.75890410958904109</v>
      </c>
      <c r="H7" s="289">
        <f>_xll.qlDayCounterYearFraction(DayCounter,SettlementDate,E7,,,Trigger)</f>
        <v>1.010958904109589</v>
      </c>
      <c r="I7" s="289">
        <f>H7-G7</f>
        <v>0.25205479452054791</v>
      </c>
      <c r="J7" s="289">
        <f>(H7^2-G7^2)/2</f>
        <v>0.22305122912366299</v>
      </c>
      <c r="K7" s="289">
        <f>(H7^3-G7^3)/3</f>
        <v>0.19871951439997057</v>
      </c>
      <c r="L7" s="353" t="b">
        <v>0</v>
      </c>
      <c r="S7" s="283"/>
      <c r="T7" s="284"/>
      <c r="U7" s="285"/>
      <c r="AB7" s="137">
        <f>_xll.qlCalendarAdvance(Calendar,AB6,"1d","mf",,Trigger)</f>
        <v>42285</v>
      </c>
      <c r="AC7" s="138">
        <f>_xll.qlDayCounterYearFraction(DayCounter,SettlementDate,AB7,,,Trigger)</f>
        <v>1.9178082191780823E-2</v>
      </c>
      <c r="AD7" s="133">
        <f t="shared" si="0"/>
        <v>8.0444880374032292E-4</v>
      </c>
      <c r="AE7" s="133">
        <f t="shared" si="1"/>
        <v>7.9867699153967318E-4</v>
      </c>
      <c r="AF7" s="133">
        <f t="shared" si="2"/>
        <v>7.5286855829813002E-4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42286</v>
      </c>
      <c r="AC8" s="138">
        <f>_xll.qlDayCounterYearFraction(DayCounter,SettlementDate,AB8,,,Trigger)</f>
        <v>2.1917808219178082E-2</v>
      </c>
      <c r="AD8" s="133">
        <f t="shared" si="0"/>
        <v>8.0444880374032292E-4</v>
      </c>
      <c r="AE8" s="133">
        <f t="shared" si="1"/>
        <v>7.9881776744700607E-4</v>
      </c>
      <c r="AF8" s="133">
        <f t="shared" si="2"/>
        <v>7.5468951631517053E-4</v>
      </c>
    </row>
    <row r="9" spans="1:32" ht="12" customHeight="1" x14ac:dyDescent="0.2">
      <c r="C9" s="265" t="s">
        <v>137</v>
      </c>
      <c r="D9" s="296" t="s">
        <v>35</v>
      </c>
      <c r="N9" s="464" t="s">
        <v>93</v>
      </c>
      <c r="O9" s="297"/>
      <c r="P9" s="270">
        <f t="array" ref="P9:P10">_xll.ohFilter(J3:J7,L3:L7)</f>
        <v>3.3867517357853254E-2</v>
      </c>
      <c r="Q9" s="272">
        <f t="array" ref="Q9:Q10">_xll.ohFilter(I3:I7,L3:L7)</f>
        <v>0.25753424657534246</v>
      </c>
      <c r="R9" s="466" t="s">
        <v>32</v>
      </c>
      <c r="S9" s="274">
        <f t="array" ref="S9:S10">MMULT(W9:X10,U9:U10)</f>
        <v>5.138320617651803E-5</v>
      </c>
      <c r="T9" s="466" t="s">
        <v>33</v>
      </c>
      <c r="U9" s="276">
        <f t="array" ref="U9:U10">_xll.ohFilter(F3:F7,L3:L7)</f>
        <v>2.0717311657969962E-4</v>
      </c>
      <c r="W9" s="270">
        <f t="array" ref="W9:X10">MINVERSE(P9:Q10)</f>
        <v>-15.322024151811387</v>
      </c>
      <c r="X9" s="272">
        <v>15.827145827145827</v>
      </c>
      <c r="AB9" s="137">
        <f>_xll.qlCalendarAdvance(Calendar,AB8,"1d","mf",,Trigger)</f>
        <v>42289</v>
      </c>
      <c r="AC9" s="138">
        <f>_xll.qlDayCounterYearFraction(DayCounter,SettlementDate,AB9,,,Trigger)</f>
        <v>3.0136986301369864E-2</v>
      </c>
      <c r="AD9" s="133">
        <f t="shared" si="0"/>
        <v>8.0444880374032292E-4</v>
      </c>
      <c r="AE9" s="133">
        <f t="shared" si="1"/>
        <v>7.9924009516900484E-4</v>
      </c>
      <c r="AF9" s="133">
        <f t="shared" si="2"/>
        <v>7.6003584594249698E-4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9.5969224995308688E-2</v>
      </c>
      <c r="Q10" s="272">
        <v>0.24931506849315072</v>
      </c>
      <c r="R10" s="466"/>
      <c r="S10" s="274">
        <v>7.9769156018834266E-4</v>
      </c>
      <c r="T10" s="466"/>
      <c r="U10" s="276">
        <v>2.0380773243929945E-4</v>
      </c>
      <c r="W10" s="270">
        <v>5.8979298447383552</v>
      </c>
      <c r="X10" s="272">
        <v>-2.0813780813780811</v>
      </c>
      <c r="AB10" s="137">
        <f>_xll.qlCalendarAdvance(Calendar,AB9,"1d","mf",,Trigger)</f>
        <v>42290</v>
      </c>
      <c r="AC10" s="138">
        <f>_xll.qlDayCounterYearFraction(DayCounter,SettlementDate,AB10,,,Trigger)</f>
        <v>3.287671232876712E-2</v>
      </c>
      <c r="AD10" s="133">
        <f t="shared" si="0"/>
        <v>8.0444880374032292E-4</v>
      </c>
      <c r="AE10" s="133">
        <f t="shared" si="1"/>
        <v>7.9938087107633772E-4</v>
      </c>
      <c r="AF10" s="133">
        <f t="shared" si="2"/>
        <v>7.6177910767700747E-4</v>
      </c>
    </row>
    <row r="11" spans="1:32" ht="12" customHeight="1" x14ac:dyDescent="0.2">
      <c r="C11" s="265" t="s">
        <v>129</v>
      </c>
      <c r="D11" s="298" t="s">
        <v>85</v>
      </c>
      <c r="S11" s="283"/>
      <c r="T11" s="284"/>
      <c r="U11" s="285"/>
      <c r="AB11" s="137">
        <f>_xll.qlCalendarAdvance(Calendar,AB10,"1d","mf",,Trigger)</f>
        <v>42291</v>
      </c>
      <c r="AC11" s="138">
        <f>_xll.qlDayCounterYearFraction(DayCounter,SettlementDate,AB11,,,Trigger)</f>
        <v>3.5616438356164383E-2</v>
      </c>
      <c r="AD11" s="133">
        <f t="shared" si="0"/>
        <v>8.0444880374032292E-4</v>
      </c>
      <c r="AE11" s="133">
        <f t="shared" si="1"/>
        <v>7.9952164698367072E-4</v>
      </c>
      <c r="AF11" s="133">
        <f t="shared" si="2"/>
        <v>7.6350294534088565E-4</v>
      </c>
    </row>
    <row r="12" spans="1:32" ht="12" customHeight="1" x14ac:dyDescent="0.2">
      <c r="C12" s="265" t="s">
        <v>128</v>
      </c>
      <c r="D12" s="296" t="s">
        <v>134</v>
      </c>
      <c r="S12" s="267" t="s">
        <v>30</v>
      </c>
      <c r="T12" s="284"/>
      <c r="U12" s="285"/>
      <c r="AB12" s="137">
        <f>_xll.qlCalendarAdvance(Calendar,AB11,"1d","mf",,Trigger)</f>
        <v>42292</v>
      </c>
      <c r="AC12" s="138">
        <f>_xll.qlDayCounterYearFraction(DayCounter,SettlementDate,AB12,,,Trigger)</f>
        <v>3.8356164383561646E-2</v>
      </c>
      <c r="AD12" s="133">
        <f t="shared" si="0"/>
        <v>8.0444880374032292E-4</v>
      </c>
      <c r="AE12" s="133">
        <f t="shared" si="1"/>
        <v>7.996624228910036E-4</v>
      </c>
      <c r="AF12" s="133">
        <f t="shared" si="2"/>
        <v>7.6520735893413139E-4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0.25753424657534246</v>
      </c>
      <c r="R13" s="300" t="s">
        <v>32</v>
      </c>
      <c r="S13" s="274">
        <f>MMULT(W13,U13)</f>
        <v>8.0444880374032292E-4</v>
      </c>
      <c r="T13" s="300" t="s">
        <v>33</v>
      </c>
      <c r="U13" s="276">
        <f t="array" ref="U13">_xll.ohFilter(F3:F7,L3:L7)</f>
        <v>2.0717311657969962E-4</v>
      </c>
      <c r="W13" s="301">
        <f>MINVERSE(Q13)</f>
        <v>3.8829787234042552</v>
      </c>
      <c r="AB13" s="137">
        <f>_xll.qlCalendarAdvance(Calendar,AB12,"1d","mf",,Trigger)</f>
        <v>42293</v>
      </c>
      <c r="AC13" s="138">
        <f>_xll.qlDayCounterYearFraction(DayCounter,SettlementDate,AB13,,,Trigger)</f>
        <v>4.1095890410958902E-2</v>
      </c>
      <c r="AD13" s="133">
        <f t="shared" si="0"/>
        <v>8.0444880374032292E-4</v>
      </c>
      <c r="AE13" s="133">
        <f t="shared" si="1"/>
        <v>7.998031987983366E-4</v>
      </c>
      <c r="AF13" s="133">
        <f t="shared" si="2"/>
        <v>7.668923484567445E-4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122</v>
      </c>
      <c r="G14" s="266" t="s">
        <v>123</v>
      </c>
      <c r="H14" s="265" t="s">
        <v>124</v>
      </c>
      <c r="I14" s="266" t="s">
        <v>125</v>
      </c>
      <c r="J14" s="302" t="s">
        <v>94</v>
      </c>
      <c r="K14" s="302" t="s">
        <v>93</v>
      </c>
      <c r="L14" s="302" t="s">
        <v>116</v>
      </c>
      <c r="AB14" s="137">
        <f>_xll.qlCalendarAdvance(Calendar,AB13,"1d","mf",,Trigger)</f>
        <v>42296</v>
      </c>
      <c r="AC14" s="138">
        <f>_xll.qlDayCounterYearFraction(DayCounter,SettlementDate,AB14,,,Trigger)</f>
        <v>4.9315068493150684E-2</v>
      </c>
      <c r="AD14" s="133">
        <f t="shared" si="0"/>
        <v>8.0444880374032292E-4</v>
      </c>
      <c r="AE14" s="133">
        <f t="shared" si="1"/>
        <v>8.0022552652033536E-4</v>
      </c>
      <c r="AF14" s="133">
        <f t="shared" si="2"/>
        <v>7.7183077260078949E-4</v>
      </c>
    </row>
    <row r="15" spans="1:32" ht="12" customHeight="1" x14ac:dyDescent="0.2">
      <c r="C15" s="303" t="s">
        <v>38</v>
      </c>
      <c r="D15" s="135">
        <f t="shared" ref="D15:D21" si="5">SettlementDate</f>
        <v>42278</v>
      </c>
      <c r="E15" s="136">
        <f>_xll.qlCalendarAdvance(Calendar,SettlementDate,C15,"Following",,Trigger)</f>
        <v>42279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0.99994516735706029</v>
      </c>
      <c r="I15" s="204">
        <f>(G15/H15-1)/F15</f>
        <v>2.0015012149047218E-2</v>
      </c>
      <c r="J15" s="132">
        <f>((1+I15*F15)*EXP($S$13*F15)-1)/F15</f>
        <v>2.0819505951771289E-2</v>
      </c>
      <c r="K15" s="132">
        <f>((1+F15*I15)*EXP($S$10*F15+0.5*$S$9*F15^2)-1)/F15</f>
        <v>2.0812818714864845E-2</v>
      </c>
      <c r="L15" s="132">
        <f>((1+F15*I15)*EXP($S$5*F15+0.5*$S$4*F15^2+1/3*$S$3*F15^3)-1)/F15</f>
        <v>2.0755611569455157E-2</v>
      </c>
      <c r="AB15" s="137">
        <f>_xll.qlCalendarAdvance(Calendar,AB14,"1d","mf",,Trigger)</f>
        <v>42297</v>
      </c>
      <c r="AC15" s="138">
        <f>_xll.qlDayCounterYearFraction(DayCounter,SettlementDate,AB15,,,Trigger)</f>
        <v>5.2054794520547946E-2</v>
      </c>
      <c r="AD15" s="133">
        <f t="shared" si="0"/>
        <v>8.0444880374032292E-4</v>
      </c>
      <c r="AE15" s="133">
        <f t="shared" si="1"/>
        <v>8.0036630242766825E-4</v>
      </c>
      <c r="AF15" s="133">
        <f t="shared" si="2"/>
        <v>7.7343806584087278E-4</v>
      </c>
    </row>
    <row r="16" spans="1:32" ht="12" customHeight="1" x14ac:dyDescent="0.2">
      <c r="C16" s="248" t="s">
        <v>39</v>
      </c>
      <c r="D16" s="129">
        <f>SettlementDate</f>
        <v>42278</v>
      </c>
      <c r="E16" s="137">
        <f>_xll.qlCalendarAdvance(Calendar,SettlementDate,C16,"Following",,Trigger)</f>
        <v>42285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0.99961646849008545</v>
      </c>
      <c r="I16" s="204">
        <f t="shared" ref="I16:I18" si="6">(G16/H16-1)/F16</f>
        <v>2.0006101701648245E-2</v>
      </c>
      <c r="J16" s="133">
        <f t="shared" ref="J16:J18" si="7">((1+I16*F16)*EXP($S$13*F16)-1)/F16</f>
        <v>2.0810865363073573E-2</v>
      </c>
      <c r="K16" s="133">
        <f t="shared" ref="K16:K18" si="8">((1+F16*I16)*EXP($S$10*F16+0.5*$S$9*F16^2)-1)/F16</f>
        <v>2.0804598335329039E-2</v>
      </c>
      <c r="L16" s="133">
        <f t="shared" ref="L16:L18" si="9">((1+F16*I16)*EXP($S$5*F16+0.5*$S$4*F16^2+1/3*$S$3*F16^3)-1)/F16</f>
        <v>2.0752695968093069E-2</v>
      </c>
      <c r="AB16" s="137">
        <f>_xll.qlCalendarAdvance(Calendar,AB15,"1d","mf",,Trigger)</f>
        <v>42298</v>
      </c>
      <c r="AC16" s="138">
        <f>_xll.qlDayCounterYearFraction(DayCounter,SettlementDate,AB16,,,Trigger)</f>
        <v>5.4794520547945202E-2</v>
      </c>
      <c r="AD16" s="133">
        <f t="shared" si="0"/>
        <v>8.0444880374032292E-4</v>
      </c>
      <c r="AE16" s="133">
        <f t="shared" si="1"/>
        <v>8.0050707833500114E-4</v>
      </c>
      <c r="AF16" s="133">
        <f t="shared" si="2"/>
        <v>7.7502593501032376E-4</v>
      </c>
    </row>
    <row r="17" spans="3:32" ht="12" customHeight="1" x14ac:dyDescent="0.2">
      <c r="C17" s="248" t="s">
        <v>40</v>
      </c>
      <c r="D17" s="129">
        <f t="shared" si="5"/>
        <v>42278</v>
      </c>
      <c r="E17" s="137">
        <f>_xll.qlCalendarAdvance(Calendar,SettlementDate,C17,"Following",,Trigger)</f>
        <v>42292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0.99923440028291222</v>
      </c>
      <c r="I17" s="204">
        <f t="shared" si="6"/>
        <v>1.9975571630349496E-2</v>
      </c>
      <c r="J17" s="133">
        <f t="shared" si="7"/>
        <v>2.0780649212253404E-2</v>
      </c>
      <c r="K17" s="133">
        <f t="shared" si="8"/>
        <v>2.0774872800172681E-2</v>
      </c>
      <c r="L17" s="133">
        <f t="shared" si="9"/>
        <v>2.0728869148978438E-2</v>
      </c>
      <c r="AB17" s="137">
        <f>_xll.qlCalendarAdvance(Calendar,AB16,"1d","mf",,Trigger)</f>
        <v>42299</v>
      </c>
      <c r="AC17" s="138">
        <f>_xll.qlDayCounterYearFraction(DayCounter,SettlementDate,AB17,,,Trigger)</f>
        <v>5.7534246575342465E-2</v>
      </c>
      <c r="AD17" s="133">
        <f t="shared" si="0"/>
        <v>8.0444880374032292E-4</v>
      </c>
      <c r="AE17" s="133">
        <f t="shared" si="1"/>
        <v>8.0064785424233413E-4</v>
      </c>
      <c r="AF17" s="133">
        <f t="shared" si="2"/>
        <v>7.7659438010914221E-4</v>
      </c>
    </row>
    <row r="18" spans="3:32" ht="12" customHeight="1" x14ac:dyDescent="0.2">
      <c r="C18" s="248" t="s">
        <v>41</v>
      </c>
      <c r="D18" s="129">
        <f t="shared" si="5"/>
        <v>42278</v>
      </c>
      <c r="E18" s="137">
        <f>_xll.qlCalendarAdvance(Calendar,SettlementDate,C18,"Following",,Trigger)</f>
        <v>42299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0.99885439625104611</v>
      </c>
      <c r="I18" s="204">
        <f t="shared" si="6"/>
        <v>1.9934521270307259E-2</v>
      </c>
      <c r="J18" s="133">
        <f t="shared" si="7"/>
        <v>2.0739911348521347E-2</v>
      </c>
      <c r="K18" s="133">
        <f t="shared" si="8"/>
        <v>2.0734625953491927E-2</v>
      </c>
      <c r="L18" s="133">
        <f t="shared" si="9"/>
        <v>2.0694208147894518E-2</v>
      </c>
      <c r="AB18" s="137">
        <f>_xll.qlCalendarAdvance(Calendar,AB17,"1d","mf",,Trigger)</f>
        <v>42300</v>
      </c>
      <c r="AC18" s="138">
        <f>_xll.qlDayCounterYearFraction(DayCounter,SettlementDate,AB18,,,Trigger)</f>
        <v>6.0273972602739728E-2</v>
      </c>
      <c r="AD18" s="133">
        <f t="shared" si="0"/>
        <v>8.0444880374032292E-4</v>
      </c>
      <c r="AE18" s="133">
        <f t="shared" si="1"/>
        <v>8.0078863014966702E-4</v>
      </c>
      <c r="AF18" s="133">
        <f t="shared" si="2"/>
        <v>7.7814340113732824E-4</v>
      </c>
    </row>
    <row r="19" spans="3:32" ht="12" customHeight="1" x14ac:dyDescent="0.2">
      <c r="C19" s="248" t="s">
        <v>35</v>
      </c>
      <c r="D19" s="129">
        <f t="shared" si="5"/>
        <v>42278</v>
      </c>
      <c r="E19" s="137">
        <f>_xll.qlCalendarAdvance(Calendar,SettlementDate,C19,"Following",,Trigger)</f>
        <v>42310</v>
      </c>
      <c r="F19" s="138">
        <f>_xll.qlDayCounterYearFraction(DayCounter,D19,E19,,,Trigger)</f>
        <v>8.7671232876712329E-2</v>
      </c>
      <c r="G19" s="199">
        <f>_xll.qlYieldTSDiscount(Discounting,D19,,AllTriggers)</f>
        <v>1</v>
      </c>
      <c r="H19" s="202">
        <f>_xll.qlYieldTSDiscount(Discounting,E19,,AllTriggers)</f>
        <v>0.9982622066752449</v>
      </c>
      <c r="I19" s="204">
        <f t="shared" ref="I19:I21" si="10">(G19/H19-1)/F19</f>
        <v>1.9856211101595689E-2</v>
      </c>
      <c r="J19" s="133">
        <f t="shared" ref="J19:J21" si="11">((1+I19*F19)*EXP($S$13*F19)-1)/F19</f>
        <v>2.0662088722441033E-2</v>
      </c>
      <c r="K19" s="133">
        <f t="shared" ref="K19:K21" si="12">((1+F19*I19)*EXP($S$10*F19+0.5*$S$9*F19^2)-1)/F19</f>
        <v>2.0657575733930428E-2</v>
      </c>
      <c r="L19" s="133">
        <f t="shared" ref="L19:L21" si="13">((1+F19*I19)*EXP($S$5*F19+0.5*$S$4*F19^2+1/3*$S$3*F19^3)-1)/F19</f>
        <v>2.0625302614900864E-2</v>
      </c>
      <c r="AB19" s="137">
        <f>_xll.qlCalendarAdvance(Calendar,AB18,"1d","mf",,Trigger)</f>
        <v>42303</v>
      </c>
      <c r="AC19" s="138">
        <f>_xll.qlDayCounterYearFraction(DayCounter,SettlementDate,AB19,,,Trigger)</f>
        <v>6.8493150684931503E-2</v>
      </c>
      <c r="AD19" s="133">
        <f t="shared" si="0"/>
        <v>8.0444880374032292E-4</v>
      </c>
      <c r="AE19" s="133">
        <f t="shared" si="1"/>
        <v>8.0121095787166578E-4</v>
      </c>
      <c r="AF19" s="133">
        <f t="shared" si="2"/>
        <v>7.8267391979809154E-4</v>
      </c>
    </row>
    <row r="20" spans="3:32" ht="12" customHeight="1" x14ac:dyDescent="0.2">
      <c r="C20" s="248" t="s">
        <v>42</v>
      </c>
      <c r="D20" s="129">
        <f t="shared" si="5"/>
        <v>42278</v>
      </c>
      <c r="E20" s="137">
        <f>_xll.qlCalendarAdvance(Calendar,SettlementDate,C20,"Following",,Trigger)</f>
        <v>42339</v>
      </c>
      <c r="F20" s="138">
        <f>_xll.qlDayCounterYearFraction(DayCounter,D20,E20,,,Trigger)</f>
        <v>0.16712328767123288</v>
      </c>
      <c r="G20" s="199">
        <f>_xll.qlYieldTSDiscount(Discounting,D20,,AllTriggers)</f>
        <v>1</v>
      </c>
      <c r="H20" s="202">
        <f>_xll.qlYieldTSDiscount(Discounting,E20,,AllTriggers)</f>
        <v>0.99673620604569801</v>
      </c>
      <c r="I20" s="204">
        <f t="shared" si="10"/>
        <v>1.9593207097759385E-2</v>
      </c>
      <c r="J20" s="133">
        <f t="shared" si="11"/>
        <v>2.0400344309380567E-2</v>
      </c>
      <c r="K20" s="133">
        <f t="shared" si="12"/>
        <v>2.0397872332253784E-2</v>
      </c>
      <c r="L20" s="133">
        <f t="shared" si="13"/>
        <v>2.0383352086366938E-2</v>
      </c>
      <c r="AB20" s="137">
        <f>_xll.qlCalendarAdvance(Calendar,AB19,"1d","mf",,Trigger)</f>
        <v>42304</v>
      </c>
      <c r="AC20" s="138">
        <f>_xll.qlDayCounterYearFraction(DayCounter,SettlementDate,AB20,,,Trigger)</f>
        <v>7.1232876712328766E-2</v>
      </c>
      <c r="AD20" s="133">
        <f t="shared" si="0"/>
        <v>8.0444880374032292E-4</v>
      </c>
      <c r="AE20" s="133">
        <f t="shared" si="1"/>
        <v>8.0135173377899878E-4</v>
      </c>
      <c r="AF20" s="133">
        <f t="shared" si="2"/>
        <v>7.8414524454374775E-4</v>
      </c>
    </row>
    <row r="21" spans="3:32" ht="12" customHeight="1" x14ac:dyDescent="0.2">
      <c r="C21" s="304" t="s">
        <v>36</v>
      </c>
      <c r="D21" s="287">
        <f t="shared" si="5"/>
        <v>42278</v>
      </c>
      <c r="E21" s="305">
        <f>_xll.qlCalendarAdvance(Calendar,SettlementDate,C21,"Following",,Trigger)</f>
        <v>42373</v>
      </c>
      <c r="F21" s="289">
        <f>_xll.qlDayCounterYearFraction(DayCounter,D21,E21,,,Trigger)</f>
        <v>0.26027397260273971</v>
      </c>
      <c r="G21" s="306">
        <f>_xll.qlYieldTSDiscount(Discounting,D21,,AllTriggers)</f>
        <v>1</v>
      </c>
      <c r="H21" s="354">
        <f>_xll.qlYieldTSDiscount(Discounting,E21,,AllTriggers)</f>
        <v>0.9950021601872524</v>
      </c>
      <c r="I21" s="307">
        <f t="shared" si="10"/>
        <v>1.9298678351978453E-2</v>
      </c>
      <c r="J21" s="140">
        <f t="shared" si="11"/>
        <v>2.0107252502249966E-2</v>
      </c>
      <c r="K21" s="140">
        <f t="shared" si="12"/>
        <v>2.010718174592831E-2</v>
      </c>
      <c r="L21" s="140">
        <f t="shared" si="13"/>
        <v>2.0106576448528941E-2</v>
      </c>
      <c r="AB21" s="137">
        <f>_xll.qlCalendarAdvance(Calendar,AB20,"1d","mf",,Trigger)</f>
        <v>42305</v>
      </c>
      <c r="AC21" s="138">
        <f>_xll.qlDayCounterYearFraction(DayCounter,SettlementDate,AB21,,,Trigger)</f>
        <v>7.3972602739726029E-2</v>
      </c>
      <c r="AD21" s="133">
        <f t="shared" si="0"/>
        <v>8.0444880374032292E-4</v>
      </c>
      <c r="AE21" s="133">
        <f t="shared" si="1"/>
        <v>8.0149250968633166E-4</v>
      </c>
      <c r="AF21" s="133">
        <f t="shared" si="2"/>
        <v>7.8559714521877154E-4</v>
      </c>
    </row>
    <row r="22" spans="3:32" ht="12" customHeight="1" x14ac:dyDescent="0.2">
      <c r="AB22" s="137">
        <f>_xll.qlCalendarAdvance(Calendar,AB21,"1d","mf",,Trigger)</f>
        <v>42306</v>
      </c>
      <c r="AC22" s="138">
        <f>_xll.qlDayCounterYearFraction(DayCounter,SettlementDate,AB22,,,Trigger)</f>
        <v>7.6712328767123292E-2</v>
      </c>
      <c r="AD22" s="133">
        <f t="shared" si="0"/>
        <v>8.0444880374032292E-4</v>
      </c>
      <c r="AE22" s="133">
        <f t="shared" si="1"/>
        <v>8.0163328559366455E-4</v>
      </c>
      <c r="AF22" s="133">
        <f t="shared" si="2"/>
        <v>7.8702962182316269E-4</v>
      </c>
    </row>
    <row r="23" spans="3:32" ht="12" customHeight="1" x14ac:dyDescent="0.2">
      <c r="C23" s="265" t="s">
        <v>107</v>
      </c>
      <c r="AB23" s="137">
        <f>_xll.qlCalendarAdvance(Calendar,AB22,"1d","mf",,Trigger)</f>
        <v>42307</v>
      </c>
      <c r="AC23" s="138">
        <f>_xll.qlDayCounterYearFraction(DayCounter,SettlementDate,AB23,,,Trigger)</f>
        <v>7.9452054794520555E-2</v>
      </c>
      <c r="AD23" s="133">
        <f t="shared" si="0"/>
        <v>8.0444880374032292E-4</v>
      </c>
      <c r="AE23" s="133">
        <f t="shared" si="1"/>
        <v>8.0177406150099754E-4</v>
      </c>
      <c r="AF23" s="133">
        <f t="shared" si="2"/>
        <v>7.8844267435692152E-4</v>
      </c>
    </row>
    <row r="24" spans="3:32" ht="12" customHeight="1" x14ac:dyDescent="0.2">
      <c r="C24" s="139" t="s">
        <v>92</v>
      </c>
      <c r="AB24" s="137">
        <f>_xll.qlCalendarAdvance(Calendar,AB23,"1d","mf",,Trigger)</f>
        <v>42310</v>
      </c>
      <c r="AC24" s="138">
        <f>_xll.qlDayCounterYearFraction(DayCounter,SettlementDate,AB24,,,Trigger)</f>
        <v>8.7671232876712329E-2</v>
      </c>
      <c r="AD24" s="133">
        <f t="shared" si="0"/>
        <v>8.0444880374032292E-4</v>
      </c>
      <c r="AE24" s="133">
        <f t="shared" ref="AE24:AE26" si="14">$S$10+$S$9*AC24</f>
        <v>8.0219638922299631E-4</v>
      </c>
      <c r="AF24" s="133">
        <f t="shared" ref="AF24:AF26" si="15">($S$5+$S$4*AC24+$S$3*AC24^2)</f>
        <v>7.9256528753440325E-4</v>
      </c>
    </row>
    <row r="25" spans="3:32" ht="12" customHeight="1" x14ac:dyDescent="0.2">
      <c r="C25" s="133">
        <f>IF($C$24="FLAT",J15,IF($C$24="linear",K15,L15))</f>
        <v>2.0755611569455157E-2</v>
      </c>
      <c r="AB25" s="137">
        <f>_xll.qlCalendarAdvance(Calendar,AB24,"1d","mf",,Trigger)</f>
        <v>42311</v>
      </c>
      <c r="AC25" s="138">
        <f>_xll.qlDayCounterYearFraction(DayCounter,SettlementDate,AB25,,,Trigger)</f>
        <v>9.0410958904109592E-2</v>
      </c>
      <c r="AD25" s="133">
        <f t="shared" si="0"/>
        <v>8.0444880374032292E-4</v>
      </c>
      <c r="AE25" s="133">
        <f t="shared" si="14"/>
        <v>8.023371651303292E-4</v>
      </c>
      <c r="AF25" s="133">
        <f t="shared" si="15"/>
        <v>7.9390064378563228E-4</v>
      </c>
    </row>
    <row r="26" spans="3:32" ht="12" customHeight="1" x14ac:dyDescent="0.2">
      <c r="C26" s="133">
        <f>IF($C$24="FLAT",J16,IF($C$24="linear",K16,L16))</f>
        <v>2.0752695968093069E-2</v>
      </c>
      <c r="AB26" s="137">
        <f>_xll.qlCalendarAdvance(Calendar,AB25,"1d","mf",,Trigger)</f>
        <v>42312</v>
      </c>
      <c r="AC26" s="138">
        <f>_xll.qlDayCounterYearFraction(DayCounter,SettlementDate,AB26,,,Trigger)</f>
        <v>9.3150684931506855E-2</v>
      </c>
      <c r="AD26" s="133">
        <f t="shared" si="0"/>
        <v>8.0444880374032292E-4</v>
      </c>
      <c r="AE26" s="133">
        <f t="shared" si="14"/>
        <v>8.0247794103766219E-4</v>
      </c>
      <c r="AF26" s="133">
        <f t="shared" si="15"/>
        <v>7.9521657596622888E-4</v>
      </c>
    </row>
    <row r="27" spans="3:32" ht="12" customHeight="1" x14ac:dyDescent="0.2">
      <c r="C27" s="133">
        <f>IF($C$24="FLAT",J17,IF($C$24="linear",K17,L17))</f>
        <v>2.0728869148978438E-2</v>
      </c>
      <c r="AB27" s="137">
        <f>_xll.qlCalendarAdvance(Calendar,AB26,"1d","mf",,Trigger)</f>
        <v>42313</v>
      </c>
      <c r="AC27" s="138">
        <f>_xll.qlDayCounterYearFraction(DayCounter,SettlementDate,AB27,,,Trigger)</f>
        <v>9.5890410958904104E-2</v>
      </c>
      <c r="AD27" s="133">
        <f t="shared" si="0"/>
        <v>8.0444880374032292E-4</v>
      </c>
      <c r="AE27" s="133">
        <f t="shared" ref="AE27:AE64" si="16">$S$10+$S$9*AC27</f>
        <v>8.0261871694499508E-4</v>
      </c>
      <c r="AF27" s="133">
        <f t="shared" ref="AF27:AF64" si="17">($S$5+$S$4*AC27+$S$3*AC27^2)</f>
        <v>7.9651308407619283E-4</v>
      </c>
    </row>
    <row r="28" spans="3:32" ht="12" customHeight="1" x14ac:dyDescent="0.2">
      <c r="C28" s="133">
        <f>IF($C$24="FLAT",J18,IF($C$24="linear",K18,L18))</f>
        <v>2.0694208147894518E-2</v>
      </c>
      <c r="AB28" s="137">
        <f>_xll.qlCalendarAdvance(Calendar,AB27,"1d","mf",,Trigger)</f>
        <v>42314</v>
      </c>
      <c r="AC28" s="138">
        <f>_xll.qlDayCounterYearFraction(DayCounter,SettlementDate,AB28,,,Trigger)</f>
        <v>9.8630136986301367E-2</v>
      </c>
      <c r="AD28" s="133">
        <f t="shared" si="0"/>
        <v>8.0444880374032292E-4</v>
      </c>
      <c r="AE28" s="133">
        <f t="shared" si="16"/>
        <v>8.0275949285232796E-4</v>
      </c>
      <c r="AF28" s="133">
        <f t="shared" si="17"/>
        <v>7.9779016811552458E-4</v>
      </c>
    </row>
    <row r="29" spans="3:32" ht="12" customHeight="1" x14ac:dyDescent="0.2">
      <c r="C29" s="133">
        <f t="shared" ref="C29:C31" si="18">IF($C$24="FLAT",J19,IF($C$24="linear",K19,L19))</f>
        <v>2.0625302614900864E-2</v>
      </c>
      <c r="AB29" s="137">
        <f>_xll.qlCalendarAdvance(Calendar,AB28,"1d","mf",,Trigger)</f>
        <v>42317</v>
      </c>
      <c r="AC29" s="138">
        <f>_xll.qlDayCounterYearFraction(DayCounter,SettlementDate,AB29,,,Trigger)</f>
        <v>0.10684931506849316</v>
      </c>
      <c r="AD29" s="133">
        <f t="shared" si="0"/>
        <v>8.0444880374032292E-4</v>
      </c>
      <c r="AE29" s="133">
        <f t="shared" si="16"/>
        <v>8.0318182057432673E-4</v>
      </c>
      <c r="AF29" s="133">
        <f t="shared" si="17"/>
        <v>8.0150487580972463E-4</v>
      </c>
    </row>
    <row r="30" spans="3:32" ht="12" customHeight="1" x14ac:dyDescent="0.2">
      <c r="C30" s="133">
        <f t="shared" si="18"/>
        <v>2.0383352086366938E-2</v>
      </c>
      <c r="AB30" s="137">
        <f>_xll.qlCalendarAdvance(Calendar,AB29,"1d","mf",,Trigger)</f>
        <v>42318</v>
      </c>
      <c r="AC30" s="138">
        <f>_xll.qlDayCounterYearFraction(DayCounter,SettlementDate,AB30,,,Trigger)</f>
        <v>0.1095890410958904</v>
      </c>
      <c r="AD30" s="133">
        <f t="shared" si="0"/>
        <v>8.0444880374032292E-4</v>
      </c>
      <c r="AE30" s="133">
        <f t="shared" si="16"/>
        <v>8.0332259648165972E-4</v>
      </c>
      <c r="AF30" s="133">
        <f t="shared" si="17"/>
        <v>8.0270426356652646E-4</v>
      </c>
    </row>
    <row r="31" spans="3:32" ht="12" customHeight="1" x14ac:dyDescent="0.2">
      <c r="C31" s="140">
        <f t="shared" si="18"/>
        <v>2.0106576448528941E-2</v>
      </c>
      <c r="AB31" s="137">
        <f>_xll.qlCalendarAdvance(Calendar,AB30,"1d","mf",,Trigger)</f>
        <v>42319</v>
      </c>
      <c r="AC31" s="138">
        <f>_xll.qlDayCounterYearFraction(DayCounter,SettlementDate,AB31,,,Trigger)</f>
        <v>0.11232876712328767</v>
      </c>
      <c r="AD31" s="133">
        <f t="shared" si="0"/>
        <v>8.0444880374032292E-4</v>
      </c>
      <c r="AE31" s="133">
        <f t="shared" si="16"/>
        <v>8.0346337238899261E-4</v>
      </c>
      <c r="AF31" s="133">
        <f t="shared" si="17"/>
        <v>8.0388422725269587E-4</v>
      </c>
    </row>
    <row r="32" spans="3:32" ht="12" customHeight="1" x14ac:dyDescent="0.2">
      <c r="AB32" s="137">
        <f>_xll.qlCalendarAdvance(Calendar,AB31,"1d","mf",,Trigger)</f>
        <v>42320</v>
      </c>
      <c r="AC32" s="138">
        <f>_xll.qlDayCounterYearFraction(DayCounter,SettlementDate,AB32,,,Trigger)</f>
        <v>0.11506849315068493</v>
      </c>
      <c r="AD32" s="133">
        <f t="shared" si="0"/>
        <v>8.0444880374032292E-4</v>
      </c>
      <c r="AE32" s="133">
        <f t="shared" si="16"/>
        <v>8.036041482963256E-4</v>
      </c>
      <c r="AF32" s="133">
        <f t="shared" si="17"/>
        <v>8.0504476686823275E-4</v>
      </c>
    </row>
    <row r="33" spans="9:32" x14ac:dyDescent="0.2">
      <c r="AB33" s="137">
        <f>_xll.qlCalendarAdvance(Calendar,AB32,"1d","mf",,Trigger)</f>
        <v>42321</v>
      </c>
      <c r="AC33" s="138">
        <f>_xll.qlDayCounterYearFraction(DayCounter,SettlementDate,AB33,,,Trigger)</f>
        <v>0.11780821917808219</v>
      </c>
      <c r="AD33" s="133">
        <f t="shared" si="0"/>
        <v>8.0444880374032292E-4</v>
      </c>
      <c r="AE33" s="133">
        <f t="shared" si="16"/>
        <v>8.0374492420365849E-4</v>
      </c>
      <c r="AF33" s="133">
        <f t="shared" si="17"/>
        <v>8.061858824131372E-4</v>
      </c>
    </row>
    <row r="34" spans="9:32" x14ac:dyDescent="0.2">
      <c r="AB34" s="137">
        <f>_xll.qlCalendarAdvance(Calendar,AB33,"1d","mf",,Trigger)</f>
        <v>42324</v>
      </c>
      <c r="AC34" s="138">
        <f>_xll.qlDayCounterYearFraction(DayCounter,SettlementDate,AB34,,,Trigger)</f>
        <v>0.12602739726027398</v>
      </c>
      <c r="AD34" s="133">
        <f t="shared" si="0"/>
        <v>8.0444880374032292E-4</v>
      </c>
      <c r="AE34" s="133">
        <f t="shared" si="16"/>
        <v>8.0416725192565726E-4</v>
      </c>
      <c r="AF34" s="133">
        <f t="shared" si="17"/>
        <v>8.0949268462405567E-4</v>
      </c>
    </row>
    <row r="35" spans="9:32" x14ac:dyDescent="0.2">
      <c r="AB35" s="137">
        <f>_xll.qlCalendarAdvance(Calendar,AB34,"1d","mf",,Trigger)</f>
        <v>42325</v>
      </c>
      <c r="AC35" s="138">
        <f>_xll.qlDayCounterYearFraction(DayCounter,SettlementDate,AB35,,,Trigger)</f>
        <v>0.12876712328767123</v>
      </c>
      <c r="AD35" s="133">
        <f t="shared" si="0"/>
        <v>8.0444880374032292E-4</v>
      </c>
      <c r="AE35" s="133">
        <f t="shared" si="16"/>
        <v>8.0430802783299014E-4</v>
      </c>
      <c r="AF35" s="133">
        <f t="shared" si="17"/>
        <v>8.1055610388643031E-4</v>
      </c>
    </row>
    <row r="36" spans="9:32" x14ac:dyDescent="0.2">
      <c r="AB36" s="137">
        <f>_xll.qlCalendarAdvance(Calendar,AB35,"1d","mf",,Trigger)</f>
        <v>42326</v>
      </c>
      <c r="AC36" s="138">
        <f>_xll.qlDayCounterYearFraction(DayCounter,SettlementDate,AB36,,,Trigger)</f>
        <v>0.13150684931506848</v>
      </c>
      <c r="AD36" s="133">
        <f t="shared" si="0"/>
        <v>8.0444880374032292E-4</v>
      </c>
      <c r="AE36" s="133">
        <f t="shared" si="16"/>
        <v>8.0444880374032314E-4</v>
      </c>
      <c r="AF36" s="133">
        <f t="shared" si="17"/>
        <v>8.1160009907817242E-4</v>
      </c>
    </row>
    <row r="37" spans="9:32" x14ac:dyDescent="0.2">
      <c r="AB37" s="137">
        <f>_xll.qlCalendarAdvance(Calendar,AB36,"1d","mf",,Trigger)</f>
        <v>42327</v>
      </c>
      <c r="AC37" s="138">
        <f>_xll.qlDayCounterYearFraction(DayCounter,SettlementDate,AB37,,,Trigger)</f>
        <v>0.13424657534246576</v>
      </c>
      <c r="AD37" s="133">
        <f t="shared" si="0"/>
        <v>8.0444880374032292E-4</v>
      </c>
      <c r="AE37" s="133">
        <f t="shared" si="16"/>
        <v>8.0458957964765602E-4</v>
      </c>
      <c r="AF37" s="133">
        <f t="shared" si="17"/>
        <v>8.1262467019928221E-4</v>
      </c>
    </row>
    <row r="38" spans="9:32" x14ac:dyDescent="0.2">
      <c r="AB38" s="137">
        <f>_xll.qlCalendarAdvance(Calendar,AB37,"1d","mf",,Trigger)</f>
        <v>42328</v>
      </c>
      <c r="AC38" s="138">
        <f>_xll.qlDayCounterYearFraction(DayCounter,SettlementDate,AB38,,,Trigger)</f>
        <v>0.13698630136986301</v>
      </c>
      <c r="AD38" s="133">
        <f t="shared" si="0"/>
        <v>8.0444880374032292E-4</v>
      </c>
      <c r="AE38" s="133">
        <f t="shared" si="16"/>
        <v>8.0473035555498891E-4</v>
      </c>
      <c r="AF38" s="133">
        <f t="shared" si="17"/>
        <v>8.1362981724975947E-4</v>
      </c>
    </row>
    <row r="39" spans="9:32" x14ac:dyDescent="0.2">
      <c r="AB39" s="137">
        <f>_xll.qlCalendarAdvance(Calendar,AB38,"1d","mf",,Trigger)</f>
        <v>42331</v>
      </c>
      <c r="AC39" s="138">
        <f>_xll.qlDayCounterYearFraction(DayCounter,SettlementDate,AB39,,,Trigger)</f>
        <v>0.14520547945205478</v>
      </c>
      <c r="AD39" s="133">
        <f t="shared" si="0"/>
        <v>8.0444880374032292E-4</v>
      </c>
      <c r="AE39" s="133">
        <f t="shared" si="16"/>
        <v>8.0515268327698778E-4</v>
      </c>
      <c r="AF39" s="133">
        <f t="shared" si="17"/>
        <v>8.1652871397739637E-4</v>
      </c>
    </row>
    <row r="40" spans="9:32" x14ac:dyDescent="0.2">
      <c r="AB40" s="137">
        <f>_xll.qlCalendarAdvance(Calendar,AB39,"1d","mf",,Trigger)</f>
        <v>42332</v>
      </c>
      <c r="AC40" s="138">
        <f>_xll.qlDayCounterYearFraction(DayCounter,SettlementDate,AB40,,,Trigger)</f>
        <v>0.14794520547945206</v>
      </c>
      <c r="AD40" s="133">
        <f t="shared" si="0"/>
        <v>8.0444880374032292E-4</v>
      </c>
      <c r="AE40" s="133">
        <f t="shared" si="16"/>
        <v>8.0529345918432067E-4</v>
      </c>
      <c r="AF40" s="133">
        <f t="shared" si="17"/>
        <v>8.1745616474534382E-4</v>
      </c>
    </row>
    <row r="41" spans="9:32" x14ac:dyDescent="0.2">
      <c r="I41" s="309"/>
      <c r="J41" s="309"/>
      <c r="AB41" s="137">
        <f>_xll.qlCalendarAdvance(Calendar,AB40,"1d","mf",,Trigger)</f>
        <v>42333</v>
      </c>
      <c r="AC41" s="138">
        <f>_xll.qlDayCounterYearFraction(DayCounter,SettlementDate,AB41,,,Trigger)</f>
        <v>0.15068493150684931</v>
      </c>
      <c r="AD41" s="133">
        <f t="shared" si="0"/>
        <v>8.0444880374032292E-4</v>
      </c>
      <c r="AE41" s="133">
        <f t="shared" si="16"/>
        <v>8.0543423509165356E-4</v>
      </c>
      <c r="AF41" s="133">
        <f t="shared" si="17"/>
        <v>8.1836419144265874E-4</v>
      </c>
    </row>
    <row r="42" spans="9:32" x14ac:dyDescent="0.2">
      <c r="AB42" s="137">
        <f>_xll.qlCalendarAdvance(Calendar,AB41,"1d","mf",,Trigger)</f>
        <v>42334</v>
      </c>
      <c r="AC42" s="138">
        <f>_xll.qlDayCounterYearFraction(DayCounter,SettlementDate,AB42,,,Trigger)</f>
        <v>0.15342465753424658</v>
      </c>
      <c r="AD42" s="133">
        <f t="shared" si="0"/>
        <v>8.0444880374032292E-4</v>
      </c>
      <c r="AE42" s="133">
        <f t="shared" si="16"/>
        <v>8.0557501099898655E-4</v>
      </c>
      <c r="AF42" s="133">
        <f t="shared" si="17"/>
        <v>8.1925279406934123E-4</v>
      </c>
    </row>
    <row r="43" spans="9:32" ht="11.25" customHeight="1" x14ac:dyDescent="0.2">
      <c r="AB43" s="137">
        <f>_xll.qlCalendarAdvance(Calendar,AB42,"1d","mf",,Trigger)</f>
        <v>42335</v>
      </c>
      <c r="AC43" s="138">
        <f>_xll.qlDayCounterYearFraction(DayCounter,SettlementDate,AB43,,,Trigger)</f>
        <v>0.15616438356164383</v>
      </c>
      <c r="AD43" s="133">
        <f t="shared" si="0"/>
        <v>8.0444880374032292E-4</v>
      </c>
      <c r="AE43" s="133">
        <f t="shared" si="16"/>
        <v>8.0571578690631944E-4</v>
      </c>
      <c r="AF43" s="133">
        <f t="shared" si="17"/>
        <v>8.201219726253913E-4</v>
      </c>
    </row>
    <row r="44" spans="9:32" x14ac:dyDescent="0.2">
      <c r="M44" s="310"/>
      <c r="AB44" s="137">
        <f>_xll.qlCalendarAdvance(Calendar,AB43,"1d","mf",,Trigger)</f>
        <v>42338</v>
      </c>
      <c r="AC44" s="138">
        <f>_xll.qlDayCounterYearFraction(DayCounter,SettlementDate,AB44,,,Trigger)</f>
        <v>0.16438356164383561</v>
      </c>
      <c r="AD44" s="133">
        <f t="shared" si="0"/>
        <v>8.0444880374032292E-4</v>
      </c>
      <c r="AE44" s="133">
        <f t="shared" si="16"/>
        <v>8.061381146283182E-4</v>
      </c>
      <c r="AF44" s="133">
        <f t="shared" si="17"/>
        <v>8.2261296386974673E-4</v>
      </c>
    </row>
    <row r="45" spans="9:32" x14ac:dyDescent="0.2">
      <c r="M45" s="310"/>
      <c r="AB45" s="137">
        <f>_xll.qlCalendarAdvance(Calendar,AB44,"1d","mf",,Trigger)</f>
        <v>42339</v>
      </c>
      <c r="AC45" s="138">
        <f>_xll.qlDayCounterYearFraction(DayCounter,SettlementDate,AB45,,,Trigger)</f>
        <v>0.16712328767123288</v>
      </c>
      <c r="AD45" s="133">
        <f t="shared" si="0"/>
        <v>8.0444880374032292E-4</v>
      </c>
      <c r="AE45" s="133">
        <f t="shared" si="16"/>
        <v>8.062788905356512E-4</v>
      </c>
      <c r="AF45" s="133">
        <f t="shared" si="17"/>
        <v>8.2340444614326699E-4</v>
      </c>
    </row>
    <row r="46" spans="9:32" x14ac:dyDescent="0.2">
      <c r="M46" s="310"/>
      <c r="AB46" s="137">
        <f>_xll.qlCalendarAdvance(Calendar,AB45,"1d","mf",,Trigger)</f>
        <v>42340</v>
      </c>
      <c r="AC46" s="138">
        <f>_xll.qlDayCounterYearFraction(DayCounter,SettlementDate,AB46,,,Trigger)</f>
        <v>0.16986301369863013</v>
      </c>
      <c r="AD46" s="133">
        <f t="shared" si="0"/>
        <v>8.0444880374032292E-4</v>
      </c>
      <c r="AE46" s="133">
        <f t="shared" si="16"/>
        <v>8.0641966644298408E-4</v>
      </c>
      <c r="AF46" s="133">
        <f t="shared" si="17"/>
        <v>8.2417650434615461E-4</v>
      </c>
    </row>
    <row r="47" spans="9:32" x14ac:dyDescent="0.2">
      <c r="M47" s="310"/>
      <c r="AB47" s="137">
        <f>_xll.qlCalendarAdvance(Calendar,AB46,"1d","mf",,Trigger)</f>
        <v>42341</v>
      </c>
      <c r="AC47" s="138">
        <f>_xll.qlDayCounterYearFraction(DayCounter,SettlementDate,AB47,,,Trigger)</f>
        <v>0.17260273972602741</v>
      </c>
      <c r="AD47" s="133">
        <f t="shared" si="0"/>
        <v>8.0444880374032292E-4</v>
      </c>
      <c r="AE47" s="133">
        <f t="shared" si="16"/>
        <v>8.0656044235031697E-4</v>
      </c>
      <c r="AF47" s="133">
        <f t="shared" si="17"/>
        <v>8.2492913847841002E-4</v>
      </c>
    </row>
    <row r="48" spans="9:32" x14ac:dyDescent="0.2">
      <c r="M48" s="310"/>
      <c r="AB48" s="137">
        <f>_xll.qlCalendarAdvance(Calendar,AB47,"1d","mf",,Trigger)</f>
        <v>42342</v>
      </c>
      <c r="AC48" s="138">
        <f>_xll.qlDayCounterYearFraction(DayCounter,SettlementDate,AB48,,,Trigger)</f>
        <v>0.17534246575342466</v>
      </c>
      <c r="AD48" s="133">
        <f t="shared" si="0"/>
        <v>8.0444880374032292E-4</v>
      </c>
      <c r="AE48" s="133">
        <f t="shared" si="16"/>
        <v>8.0670121825764996E-4</v>
      </c>
      <c r="AF48" s="133">
        <f t="shared" si="17"/>
        <v>8.2566234854003289E-4</v>
      </c>
    </row>
    <row r="49" spans="9:32" x14ac:dyDescent="0.2">
      <c r="AB49" s="137">
        <f>_xll.qlCalendarAdvance(Calendar,AB48,"1d","mf",,Trigger)</f>
        <v>42345</v>
      </c>
      <c r="AC49" s="138">
        <f>_xll.qlDayCounterYearFraction(DayCounter,SettlementDate,AB49,,,Trigger)</f>
        <v>0.18356164383561643</v>
      </c>
      <c r="AD49" s="133">
        <f t="shared" si="0"/>
        <v>8.0444880374032292E-4</v>
      </c>
      <c r="AE49" s="133">
        <f t="shared" si="16"/>
        <v>8.0712354597964873E-4</v>
      </c>
      <c r="AF49" s="133">
        <f t="shared" si="17"/>
        <v>8.2774543430110664E-4</v>
      </c>
    </row>
    <row r="50" spans="9:32" x14ac:dyDescent="0.2">
      <c r="AB50" s="137">
        <f>_xll.qlCalendarAdvance(Calendar,AB49,"1d","mf",,Trigger)</f>
        <v>42346</v>
      </c>
      <c r="AC50" s="138">
        <f>_xll.qlDayCounterYearFraction(DayCounter,SettlementDate,AB50,,,Trigger)</f>
        <v>0.18630136986301371</v>
      </c>
      <c r="AD50" s="133">
        <f t="shared" si="0"/>
        <v>8.0444880374032292E-4</v>
      </c>
      <c r="AE50" s="133">
        <f t="shared" si="16"/>
        <v>8.0726432188698162E-4</v>
      </c>
      <c r="AF50" s="133">
        <f t="shared" si="17"/>
        <v>8.284009480801996E-4</v>
      </c>
    </row>
    <row r="51" spans="9:32" x14ac:dyDescent="0.2">
      <c r="AB51" s="137">
        <f>_xll.qlCalendarAdvance(Calendar,AB50,"1d","mf",,Trigger)</f>
        <v>42347</v>
      </c>
      <c r="AC51" s="138">
        <f>_xll.qlDayCounterYearFraction(DayCounter,SettlementDate,AB51,,,Trigger)</f>
        <v>0.18904109589041096</v>
      </c>
      <c r="AD51" s="133">
        <f t="shared" si="0"/>
        <v>8.0444880374032292E-4</v>
      </c>
      <c r="AE51" s="133">
        <f t="shared" si="16"/>
        <v>8.0740509779431461E-4</v>
      </c>
      <c r="AF51" s="133">
        <f t="shared" si="17"/>
        <v>8.2903703778866025E-4</v>
      </c>
    </row>
    <row r="52" spans="9:32" x14ac:dyDescent="0.2">
      <c r="AB52" s="137">
        <f>_xll.qlCalendarAdvance(Calendar,AB51,"1d","mf",,Trigger)</f>
        <v>42348</v>
      </c>
      <c r="AC52" s="138">
        <f>_xll.qlDayCounterYearFraction(DayCounter,SettlementDate,AB52,,,Trigger)</f>
        <v>0.19178082191780821</v>
      </c>
      <c r="AD52" s="133">
        <f t="shared" si="0"/>
        <v>8.0444880374032292E-4</v>
      </c>
      <c r="AE52" s="133">
        <f t="shared" si="16"/>
        <v>8.075458737016475E-4</v>
      </c>
      <c r="AF52" s="133">
        <f t="shared" si="17"/>
        <v>8.2965370342648836E-4</v>
      </c>
    </row>
    <row r="53" spans="9:32" x14ac:dyDescent="0.2">
      <c r="AB53" s="137">
        <f>_xll.qlCalendarAdvance(Calendar,AB52,"1d","mf",,Trigger)</f>
        <v>42349</v>
      </c>
      <c r="AC53" s="138">
        <f>_xll.qlDayCounterYearFraction(DayCounter,SettlementDate,AB53,,,Trigger)</f>
        <v>0.19452054794520549</v>
      </c>
      <c r="AD53" s="133">
        <f t="shared" si="0"/>
        <v>8.0444880374032292E-4</v>
      </c>
      <c r="AE53" s="133">
        <f t="shared" si="16"/>
        <v>8.0768664960898038E-4</v>
      </c>
      <c r="AF53" s="133">
        <f t="shared" si="17"/>
        <v>8.3025094499368393E-4</v>
      </c>
    </row>
    <row r="54" spans="9:32" x14ac:dyDescent="0.2">
      <c r="AB54" s="137">
        <f>_xll.qlCalendarAdvance(Calendar,AB53,"1d","mf",,Trigger)</f>
        <v>42352</v>
      </c>
      <c r="AC54" s="138">
        <f>_xll.qlDayCounterYearFraction(DayCounter,SettlementDate,AB54,,,Trigger)</f>
        <v>0.20273972602739726</v>
      </c>
      <c r="AD54" s="133">
        <f t="shared" si="0"/>
        <v>8.0444880374032292E-4</v>
      </c>
      <c r="AE54" s="133">
        <f t="shared" si="16"/>
        <v>8.0810897733097915E-4</v>
      </c>
      <c r="AF54" s="133">
        <f t="shared" si="17"/>
        <v>8.3192612527147611E-4</v>
      </c>
    </row>
    <row r="55" spans="9:32" x14ac:dyDescent="0.2">
      <c r="AB55" s="137">
        <f>_xll.qlCalendarAdvance(Calendar,AB54,"1d","mf",,Trigger)</f>
        <v>42353</v>
      </c>
      <c r="AC55" s="138">
        <f>_xll.qlDayCounterYearFraction(DayCounter,SettlementDate,AB55,,,Trigger)</f>
        <v>0.20547945205479451</v>
      </c>
      <c r="AD55" s="133">
        <f t="shared" si="0"/>
        <v>8.0444880374032292E-4</v>
      </c>
      <c r="AE55" s="133">
        <f t="shared" si="16"/>
        <v>8.0824975323831214E-4</v>
      </c>
      <c r="AF55" s="133">
        <f t="shared" si="17"/>
        <v>8.3244567055614199E-4</v>
      </c>
    </row>
    <row r="56" spans="9:32" x14ac:dyDescent="0.2">
      <c r="AB56" s="137">
        <f>_xll.qlCalendarAdvance(Calendar,AB55,"1d","mf",,Trigger)</f>
        <v>42354</v>
      </c>
      <c r="AC56" s="138">
        <f>_xll.qlDayCounterYearFraction(DayCounter,SettlementDate,AB56,,,Trigger)</f>
        <v>0.20821917808219179</v>
      </c>
      <c r="AD56" s="133">
        <f t="shared" si="0"/>
        <v>8.0444880374032292E-4</v>
      </c>
      <c r="AE56" s="133">
        <f t="shared" si="16"/>
        <v>8.0839052914564503E-4</v>
      </c>
      <c r="AF56" s="133">
        <f t="shared" si="17"/>
        <v>8.3294579177017544E-4</v>
      </c>
    </row>
    <row r="57" spans="9:32" x14ac:dyDescent="0.2">
      <c r="AB57" s="137">
        <f>_xll.qlCalendarAdvance(Calendar,AB56,"1d","mf",,Trigger)</f>
        <v>42355</v>
      </c>
      <c r="AC57" s="138">
        <f>_xll.qlDayCounterYearFraction(DayCounter,SettlementDate,AB57,,,Trigger)</f>
        <v>0.21095890410958903</v>
      </c>
      <c r="AD57" s="133">
        <f t="shared" si="0"/>
        <v>8.0444880374032292E-4</v>
      </c>
      <c r="AE57" s="133">
        <f t="shared" si="16"/>
        <v>8.0853130505297792E-4</v>
      </c>
      <c r="AF57" s="133">
        <f t="shared" si="17"/>
        <v>8.3342648891357625E-4</v>
      </c>
    </row>
    <row r="58" spans="9:32" x14ac:dyDescent="0.2">
      <c r="AB58" s="137">
        <f>_xll.qlCalendarAdvance(Calendar,AB57,"1d","mf",,Trigger)</f>
        <v>42356</v>
      </c>
      <c r="AC58" s="138">
        <f>_xll.qlDayCounterYearFraction(DayCounter,SettlementDate,AB58,,,Trigger)</f>
        <v>0.21369863013698631</v>
      </c>
      <c r="AD58" s="133">
        <f t="shared" si="0"/>
        <v>8.0444880374032292E-4</v>
      </c>
      <c r="AE58" s="133">
        <f t="shared" si="16"/>
        <v>8.0867208096031091E-4</v>
      </c>
      <c r="AF58" s="133">
        <f t="shared" si="17"/>
        <v>8.3388776198634474E-4</v>
      </c>
    </row>
    <row r="59" spans="9:32" x14ac:dyDescent="0.2">
      <c r="AB59" s="137">
        <f>_xll.qlCalendarAdvance(Calendar,AB58,"1d","mf",,Trigger)</f>
        <v>42359</v>
      </c>
      <c r="AC59" s="138">
        <f>_xll.qlDayCounterYearFraction(DayCounter,SettlementDate,AB59,,,Trigger)</f>
        <v>0.22191780821917809</v>
      </c>
      <c r="AD59" s="133">
        <f t="shared" si="0"/>
        <v>8.0444880374032292E-4</v>
      </c>
      <c r="AE59" s="133">
        <f t="shared" si="16"/>
        <v>8.0909440868230968E-4</v>
      </c>
      <c r="AF59" s="133">
        <f t="shared" si="17"/>
        <v>8.3515503678085546E-4</v>
      </c>
    </row>
    <row r="60" spans="9:32" x14ac:dyDescent="0.2">
      <c r="I60" s="309"/>
      <c r="AB60" s="137">
        <f>_xll.qlCalendarAdvance(Calendar,AB59,"1d","mf",,Trigger)</f>
        <v>42360</v>
      </c>
      <c r="AC60" s="138">
        <f>_xll.qlDayCounterYearFraction(DayCounter,SettlementDate,AB60,,,Trigger)</f>
        <v>0.22465753424657534</v>
      </c>
      <c r="AD60" s="133">
        <f t="shared" si="0"/>
        <v>8.0444880374032292E-4</v>
      </c>
      <c r="AE60" s="133">
        <f t="shared" si="16"/>
        <v>8.0923518458964256E-4</v>
      </c>
      <c r="AF60" s="133">
        <f t="shared" si="17"/>
        <v>8.3553861357109403E-4</v>
      </c>
    </row>
    <row r="61" spans="9:32" x14ac:dyDescent="0.2">
      <c r="I61" s="309"/>
      <c r="AB61" s="137">
        <f>_xll.qlCalendarAdvance(Calendar,AB60,"1d","mf",,Trigger)</f>
        <v>42361</v>
      </c>
      <c r="AC61" s="138">
        <f>_xll.qlDayCounterYearFraction(DayCounter,SettlementDate,AB61,,,Trigger)</f>
        <v>0.22739726027397261</v>
      </c>
      <c r="AD61" s="133">
        <f t="shared" si="0"/>
        <v>8.0444880374032292E-4</v>
      </c>
      <c r="AE61" s="133">
        <f t="shared" si="16"/>
        <v>8.0937596049697556E-4</v>
      </c>
      <c r="AF61" s="133">
        <f t="shared" si="17"/>
        <v>8.3590276629070019E-4</v>
      </c>
    </row>
    <row r="62" spans="9:32" x14ac:dyDescent="0.2">
      <c r="I62" s="309"/>
      <c r="AB62" s="137">
        <f>_xll.qlCalendarAdvance(Calendar,AB61,"1d","mf",,Trigger)</f>
        <v>42362</v>
      </c>
      <c r="AC62" s="138">
        <f>_xll.qlDayCounterYearFraction(DayCounter,SettlementDate,AB62,,,Trigger)</f>
        <v>0.23013698630136986</v>
      </c>
      <c r="AD62" s="133">
        <f t="shared" si="0"/>
        <v>8.0444880374032292E-4</v>
      </c>
      <c r="AE62" s="133">
        <f t="shared" si="16"/>
        <v>8.0951673640430844E-4</v>
      </c>
      <c r="AF62" s="133">
        <f t="shared" si="17"/>
        <v>8.3624749493967402E-4</v>
      </c>
    </row>
    <row r="63" spans="9:32" x14ac:dyDescent="0.2">
      <c r="I63" s="309"/>
      <c r="AB63" s="137">
        <f>_xll.qlCalendarAdvance(Calendar,AB62,"1d","mf",,Trigger)</f>
        <v>42367</v>
      </c>
      <c r="AC63" s="138">
        <f>_xll.qlDayCounterYearFraction(DayCounter,SettlementDate,AB63,,,Trigger)</f>
        <v>0.24383561643835616</v>
      </c>
      <c r="AD63" s="133">
        <f t="shared" si="0"/>
        <v>8.0444880374032292E-4</v>
      </c>
      <c r="AE63" s="133">
        <f t="shared" si="16"/>
        <v>8.1022061594097309E-4</v>
      </c>
      <c r="AF63" s="133">
        <f t="shared" si="17"/>
        <v>8.3767977712505574E-4</v>
      </c>
    </row>
    <row r="64" spans="9:32" x14ac:dyDescent="0.2">
      <c r="I64" s="309"/>
      <c r="AB64" s="305">
        <f>_xll.qlCalendarAdvance(Calendar,AB63,"1d","mf",,Trigger)</f>
        <v>42368</v>
      </c>
      <c r="AC64" s="289">
        <f>_xll.qlDayCounterYearFraction(DayCounter,SettlementDate,AB64,,,Trigger)</f>
        <v>0.24657534246575341</v>
      </c>
      <c r="AD64" s="140">
        <f t="shared" si="0"/>
        <v>8.0444880374032292E-4</v>
      </c>
      <c r="AE64" s="140">
        <f t="shared" si="16"/>
        <v>8.1036139184830598E-4</v>
      </c>
      <c r="AF64" s="140">
        <f t="shared" si="17"/>
        <v>8.379079613502347E-4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123</v>
      </c>
      <c r="G2" s="265" t="s">
        <v>124</v>
      </c>
      <c r="H2" s="265" t="s">
        <v>122</v>
      </c>
      <c r="I2" s="265" t="s">
        <v>125</v>
      </c>
      <c r="J2" s="265" t="s">
        <v>126</v>
      </c>
      <c r="K2" s="265" t="s">
        <v>130</v>
      </c>
      <c r="L2" s="265" t="s">
        <v>131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122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42278</v>
      </c>
      <c r="E3" s="194">
        <f>_xll.qlInterestRateIndexMaturity($D$10,D3)</f>
        <v>42373</v>
      </c>
      <c r="F3" s="225">
        <f>_xll.qlYieldTSDiscount(Discounting,D3,,AllTriggers)</f>
        <v>1</v>
      </c>
      <c r="G3" s="225">
        <f>_xll.qlYieldTSDiscount(Discounting,E3,,AllTriggers)</f>
        <v>0.9950021601872524</v>
      </c>
      <c r="H3" s="227">
        <f>_xll.qlDayCounterYearFraction(DayCounter,D3,E3,,,Trigger)</f>
        <v>0.26027397260273971</v>
      </c>
      <c r="I3" s="229">
        <f>(F3/G3-1)/H3</f>
        <v>1.9298678351978453E-2</v>
      </c>
      <c r="J3" s="219">
        <f>'Delta 3M'!P3</f>
        <v>6.0874388691214119E-4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0.26027397260273971</v>
      </c>
      <c r="M3" s="200">
        <f>L3-K3</f>
        <v>0.26027397260273971</v>
      </c>
      <c r="N3" s="200">
        <f>(L3^2-K3^2)/2</f>
        <v>3.3871270407205854E-2</v>
      </c>
      <c r="O3" s="200">
        <f>(L3^3-K3^3)/3</f>
        <v>5.8772067373233901E-3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5.8772067373233901E-3</v>
      </c>
      <c r="T3" s="271">
        <f t="array" ref="T3:T5">_xll.ohFilter(N3:N7,P3:P7)</f>
        <v>3.3871270407205854E-2</v>
      </c>
      <c r="U3" s="272">
        <f t="array" ref="U3:U5">_xll.ohFilter(M3:M7,P3:P7)</f>
        <v>0.26027397260273971</v>
      </c>
      <c r="V3" s="273"/>
      <c r="W3" s="274">
        <f t="array" ref="W3:W5">MMULT(AA3:AC5,Y3:Y5)</f>
        <v>4.1448268989274784E-5</v>
      </c>
      <c r="X3" s="275"/>
      <c r="Y3" s="276">
        <f t="array" ref="Y3:Y5">_xll.ohFilter(J3:J7,P3:P7)</f>
        <v>5.7197587634846717E-4</v>
      </c>
      <c r="AA3" s="270">
        <f t="array" ref="AA3:AC5">MINVERSE(S3:U5)</f>
        <v>279.71808908404097</v>
      </c>
      <c r="AB3" s="271">
        <v>-597.94808898400049</v>
      </c>
      <c r="AC3" s="272">
        <v>312.50555740158416</v>
      </c>
      <c r="AF3" s="136">
        <f>SettlementDate</f>
        <v>42278</v>
      </c>
      <c r="AG3" s="138">
        <f>_xll.qlDayCounterYearFraction(DayCounter,SettlementDate,AF3,,,Trigger)</f>
        <v>0</v>
      </c>
      <c r="AH3" s="132">
        <f t="shared" ref="AH3:AH65" si="0">$W$13</f>
        <v>2.197591524917795E-3</v>
      </c>
      <c r="AI3" s="132">
        <f t="shared" ref="AI3:AI65" si="1">$W$10+$W$9*AG3</f>
        <v>2.2385079998172991E-3</v>
      </c>
      <c r="AJ3" s="132">
        <f t="shared" ref="AJ3:AJ34" si="2">($W$5+$W$4*AG3+$W$3*AG3^2)</f>
        <v>2.2394040444377091E-3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42278</v>
      </c>
      <c r="E4" s="129">
        <f>_xll.qlInterestRateIndexMaturity($D$10,D4)</f>
        <v>42373</v>
      </c>
      <c r="F4" s="226">
        <f>_xll.qlYieldTSDiscount(Discounting,D4,,AllTriggers)</f>
        <v>1</v>
      </c>
      <c r="G4" s="226">
        <f>_xll.qlYieldTSDiscount(Discounting,E4,,AllTriggers)</f>
        <v>0.9950021601872524</v>
      </c>
      <c r="H4" s="228">
        <f>_xll.qlDayCounterYearFraction(DayCounter,D4,E4,,,Trigger)</f>
        <v>0.26027397260273971</v>
      </c>
      <c r="I4" s="130">
        <f t="shared" ref="I4:I7" si="3">(F4/G4-1)/H4</f>
        <v>1.9298678351978453E-2</v>
      </c>
      <c r="J4" s="220">
        <f>LN((1+(_xll.qlInterpolationInterpolate(B3Minterpolation,D4,TRUE,AllTriggers)+I4)*H4)/(1+I4*H4))</f>
        <v>5.7197587634846717E-4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0.26027397260273971</v>
      </c>
      <c r="M4" s="138">
        <f>L4-K4</f>
        <v>0.26027397260273971</v>
      </c>
      <c r="N4" s="138">
        <f>(L4^2-K4^2)/2</f>
        <v>3.3871270407205854E-2</v>
      </c>
      <c r="O4" s="138">
        <f>(L4^3-K4^3)/3</f>
        <v>5.8772067373233901E-3</v>
      </c>
      <c r="P4" s="279" t="b">
        <f>IF(D12="fixing",FALSE,TRUE)</f>
        <v>1</v>
      </c>
      <c r="R4" s="467"/>
      <c r="S4" s="270">
        <v>1.2845066753723699E-2</v>
      </c>
      <c r="T4" s="271">
        <v>5.386376430850065E-2</v>
      </c>
      <c r="U4" s="272">
        <v>0.25205479452054791</v>
      </c>
      <c r="V4" s="280" t="s">
        <v>32</v>
      </c>
      <c r="W4" s="274">
        <v>-3.2848813971161905E-4</v>
      </c>
      <c r="X4" s="280" t="s">
        <v>33</v>
      </c>
      <c r="Y4" s="276">
        <v>5.4729132431565993E-4</v>
      </c>
      <c r="AA4" s="270">
        <v>-140.98168142923598</v>
      </c>
      <c r="AB4" s="271">
        <v>250.56343417653227</v>
      </c>
      <c r="AC4" s="272">
        <v>-106.13820009300602</v>
      </c>
      <c r="AF4" s="137">
        <f>_xll.qlCalendarAdvance(Calendar,AF3,"1d","mf",,Trigger)</f>
        <v>42279</v>
      </c>
      <c r="AG4" s="138">
        <f>_xll.qlDayCounterYearFraction(DayCounter,SettlementDate,AF4,,,Trigger)</f>
        <v>2.7397260273972603E-3</v>
      </c>
      <c r="AH4" s="133">
        <f t="shared" si="0"/>
        <v>2.197591524917795E-3</v>
      </c>
      <c r="AI4" s="133">
        <f t="shared" si="1"/>
        <v>2.2376466003457304E-3</v>
      </c>
      <c r="AJ4" s="133">
        <f t="shared" si="2"/>
        <v>2.2385043880464479E-3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42310</v>
      </c>
      <c r="E5" s="129">
        <f>_xll.qlInterestRateIndexMaturity($D$10,D5)</f>
        <v>42402</v>
      </c>
      <c r="F5" s="226">
        <f>_xll.qlYieldTSDiscount(Discounting,D5,,AllTriggers)</f>
        <v>0.9982622066752449</v>
      </c>
      <c r="G5" s="226">
        <f>_xll.qlYieldTSDiscount(Discounting,E5,,AllTriggers)</f>
        <v>0.99353360916607236</v>
      </c>
      <c r="H5" s="228">
        <f>_xll.qlDayCounterYearFraction(DayCounter,D5,E5,,,Trigger)</f>
        <v>0.25205479452054796</v>
      </c>
      <c r="I5" s="130">
        <f t="shared" si="3"/>
        <v>1.8882296951582941E-2</v>
      </c>
      <c r="J5" s="220">
        <f>LN((1+(_xll.qlInterpolationInterpolate(B3Minterpolation,D5,TRUE,AllTriggers)+I5)*H5)/(1+I5*H5))</f>
        <v>5.4729132431565993E-4</v>
      </c>
      <c r="K5" s="138">
        <f>_xll.qlDayCounterYearFraction(DayCounter,SettlementDate,D5,,,Trigger)</f>
        <v>8.7671232876712329E-2</v>
      </c>
      <c r="L5" s="138">
        <f>_xll.qlDayCounterYearFraction(DayCounter,SettlementDate,E5,,,Trigger)</f>
        <v>0.33972602739726027</v>
      </c>
      <c r="M5" s="138">
        <f>L5-K5</f>
        <v>0.25205479452054791</v>
      </c>
      <c r="N5" s="138">
        <f>(L5^2-K5^2)/2</f>
        <v>5.386376430850065E-2</v>
      </c>
      <c r="O5" s="138">
        <f>(L5^3-K5^3)/3</f>
        <v>1.2845066753723699E-2</v>
      </c>
      <c r="P5" s="279" t="b">
        <v>1</v>
      </c>
      <c r="R5" s="467"/>
      <c r="S5" s="270">
        <v>2.2517110220547348E-2</v>
      </c>
      <c r="T5" s="271">
        <v>7.2745355601426157E-2</v>
      </c>
      <c r="U5" s="272">
        <v>0.24931506849315069</v>
      </c>
      <c r="V5" s="281"/>
      <c r="W5" s="274">
        <v>2.2394040444377091E-3</v>
      </c>
      <c r="X5" s="280"/>
      <c r="Y5" s="276">
        <v>5.3535448142993545E-4</v>
      </c>
      <c r="AA5" s="270">
        <v>15.872765052623503</v>
      </c>
      <c r="AB5" s="271">
        <v>-19.105395926756191</v>
      </c>
      <c r="AC5" s="272">
        <v>6.7558653325531486</v>
      </c>
      <c r="AF5" s="137">
        <f>_xll.qlCalendarAdvance(Calendar,AF4,"1d","mf",,Trigger)</f>
        <v>42283</v>
      </c>
      <c r="AG5" s="138">
        <f>_xll.qlDayCounterYearFraction(DayCounter,SettlementDate,AF5,,,Trigger)</f>
        <v>1.3698630136986301E-2</v>
      </c>
      <c r="AH5" s="133">
        <f t="shared" si="0"/>
        <v>2.197591524917795E-3</v>
      </c>
      <c r="AI5" s="133">
        <f t="shared" si="1"/>
        <v>2.2342010024594566E-3</v>
      </c>
      <c r="AJ5" s="133">
        <f t="shared" si="2"/>
        <v>2.2349119847773677E-3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42339</v>
      </c>
      <c r="E6" s="129">
        <f>_xll.qlInterestRateIndexMaturity($D$10,D6)</f>
        <v>42430</v>
      </c>
      <c r="F6" s="226">
        <f>_xll.qlYieldTSDiscount(Discounting,D6,,AllTriggers)</f>
        <v>0.99673620604569801</v>
      </c>
      <c r="G6" s="226">
        <f>_xll.qlYieldTSDiscount(Discounting,E6,,AllTriggers)</f>
        <v>0.99217386063315971</v>
      </c>
      <c r="H6" s="228">
        <f>_xll.qlDayCounterYearFraction(DayCounter,D6,E6,,,Trigger)</f>
        <v>0.24931506849315069</v>
      </c>
      <c r="I6" s="130">
        <f t="shared" si="3"/>
        <v>1.8443861544940581E-2</v>
      </c>
      <c r="J6" s="220">
        <f>LN((1+(_xll.qlInterpolationInterpolate(B3Minterpolation,D6,TRUE,AllTriggers)+I6)*H6)/(1+I6*H6))</f>
        <v>5.3535448142993545E-4</v>
      </c>
      <c r="K6" s="138">
        <f>_xll.qlDayCounterYearFraction(DayCounter,SettlementDate,D6,,,Trigger)</f>
        <v>0.16712328767123288</v>
      </c>
      <c r="L6" s="138">
        <f>_xll.qlDayCounterYearFraction(DayCounter,SettlementDate,E6,,,Trigger)</f>
        <v>0.41643835616438357</v>
      </c>
      <c r="M6" s="138">
        <f>L6-K6</f>
        <v>0.24931506849315069</v>
      </c>
      <c r="N6" s="138">
        <f>(L6^2-K6^2)/2</f>
        <v>7.2745355601426157E-2</v>
      </c>
      <c r="O6" s="138">
        <f>(L6^3-K6^3)/3</f>
        <v>2.2517110220547348E-2</v>
      </c>
      <c r="P6" s="279" t="b">
        <v>1</v>
      </c>
      <c r="W6" s="283"/>
      <c r="X6" s="284"/>
      <c r="Y6" s="285"/>
      <c r="AF6" s="137">
        <f>_xll.qlCalendarAdvance(Calendar,AF5,"1d","mf",,Trigger)</f>
        <v>42284</v>
      </c>
      <c r="AG6" s="138">
        <f>_xll.qlDayCounterYearFraction(DayCounter,SettlementDate,AF6,,,Trigger)</f>
        <v>1.643835616438356E-2</v>
      </c>
      <c r="AH6" s="133">
        <f t="shared" si="0"/>
        <v>2.197591524917795E-3</v>
      </c>
      <c r="AI6" s="133">
        <f t="shared" si="1"/>
        <v>2.2333396029878883E-3</v>
      </c>
      <c r="AJ6" s="133">
        <f t="shared" si="2"/>
        <v>2.2340154395340886E-3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42373</v>
      </c>
      <c r="E7" s="287">
        <f>_xll.qlInterestRateIndexMaturity($D$10,D7)</f>
        <v>42464</v>
      </c>
      <c r="F7" s="312">
        <f>_xll.qlYieldTSDiscount(Discounting,D7,,AllTriggers)</f>
        <v>0.9950021601872524</v>
      </c>
      <c r="G7" s="312">
        <f>_xll.qlYieldTSDiscount(Discounting,E7,,AllTriggers)</f>
        <v>0.99056902445741002</v>
      </c>
      <c r="H7" s="313">
        <f>_xll.qlDayCounterYearFraction(DayCounter,D7,E7,,,Trigger)</f>
        <v>0.24931506849315069</v>
      </c>
      <c r="I7" s="314">
        <f t="shared" si="3"/>
        <v>1.7950549893643291E-2</v>
      </c>
      <c r="J7" s="288">
        <f>LN((1+(_xll.qlInterpolationInterpolate(B3Minterpolation,D7,TRUE,AllTriggers)+I7)*H7)/(1+I7*H7))</f>
        <v>5.2829390434315092E-4</v>
      </c>
      <c r="K7" s="289">
        <f>_xll.qlDayCounterYearFraction(DayCounter,SettlementDate,D7,,,Trigger)</f>
        <v>0.26027397260273971</v>
      </c>
      <c r="L7" s="289">
        <f>_xll.qlDayCounterYearFraction(DayCounter,SettlementDate,E7,,,Trigger)</f>
        <v>0.50958904109589043</v>
      </c>
      <c r="M7" s="289">
        <f>L7-K7</f>
        <v>0.24931506849315072</v>
      </c>
      <c r="N7" s="289">
        <f>(L7^2-K7^2)/2</f>
        <v>9.5969224995308688E-2</v>
      </c>
      <c r="O7" s="289">
        <f>(L7^3-K7^3)/3</f>
        <v>3.8232988961065112E-2</v>
      </c>
      <c r="P7" s="290" t="b">
        <v>0</v>
      </c>
      <c r="W7" s="283"/>
      <c r="X7" s="284"/>
      <c r="Y7" s="285"/>
      <c r="AF7" s="137">
        <f>_xll.qlCalendarAdvance(Calendar,AF6,"1d","mf",,Trigger)</f>
        <v>42285</v>
      </c>
      <c r="AG7" s="138">
        <f>_xll.qlDayCounterYearFraction(DayCounter,SettlementDate,AF7,,,Trigger)</f>
        <v>1.9178082191780823E-2</v>
      </c>
      <c r="AH7" s="133">
        <f t="shared" si="0"/>
        <v>2.197591524917795E-3</v>
      </c>
      <c r="AI7" s="133">
        <f t="shared" si="1"/>
        <v>2.2324782035163197E-3</v>
      </c>
      <c r="AJ7" s="133">
        <f t="shared" si="2"/>
        <v>2.2331195165204059E-3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42286</v>
      </c>
      <c r="AG8" s="138">
        <f>_xll.qlDayCounterYearFraction(DayCounter,SettlementDate,AF8,,,Trigger)</f>
        <v>2.1917808219178082E-2</v>
      </c>
      <c r="AH8" s="133">
        <f t="shared" si="0"/>
        <v>2.197591524917795E-3</v>
      </c>
      <c r="AI8" s="133">
        <f t="shared" si="1"/>
        <v>2.231616804044751E-3</v>
      </c>
      <c r="AJ8" s="133">
        <f t="shared" si="2"/>
        <v>2.2322242157363195E-3</v>
      </c>
    </row>
    <row r="9" spans="1:36" ht="12" customHeight="1" x14ac:dyDescent="0.2">
      <c r="C9" s="265" t="s">
        <v>137</v>
      </c>
      <c r="D9" s="296" t="s">
        <v>36</v>
      </c>
      <c r="R9" s="464" t="s">
        <v>93</v>
      </c>
      <c r="S9" s="297"/>
      <c r="T9" s="270">
        <f t="array" ref="T9:T10">_xll.ohFilter(N3:N7,P3:P7)</f>
        <v>3.3871270407205854E-2</v>
      </c>
      <c r="U9" s="272">
        <f t="array" ref="U9:U10">_xll.ohFilter(M3:M7,P3:P7)</f>
        <v>0.26027397260273971</v>
      </c>
      <c r="V9" s="466" t="s">
        <v>32</v>
      </c>
      <c r="W9" s="274">
        <f t="array" ref="W9:W10">MMULT(AA9:AB10,Y9:Y10)</f>
        <v>-3.1441080712249839E-4</v>
      </c>
      <c r="X9" s="466" t="s">
        <v>33</v>
      </c>
      <c r="Y9" s="276">
        <f t="array" ref="Y9:Y10">_xll.ohFilter(J3:J7,P3:P7)</f>
        <v>5.7197587634846717E-4</v>
      </c>
      <c r="AA9" s="270">
        <f t="array" ref="AA9:AB10">MINVERSE(T9:U10)</f>
        <v>-45.979292493528895</v>
      </c>
      <c r="AB9" s="272">
        <v>47.478617248752677</v>
      </c>
      <c r="AF9" s="137">
        <f>_xll.qlCalendarAdvance(Calendar,AF8,"1d","mf",,Trigger)</f>
        <v>42289</v>
      </c>
      <c r="AG9" s="138">
        <f>_xll.qlDayCounterYearFraction(DayCounter,SettlementDate,AF9,,,Trigger)</f>
        <v>3.0136986301369864E-2</v>
      </c>
      <c r="AH9" s="133">
        <f t="shared" si="0"/>
        <v>2.197591524917795E-3</v>
      </c>
      <c r="AI9" s="133">
        <f t="shared" si="1"/>
        <v>2.2290326056300458E-3</v>
      </c>
      <c r="AJ9" s="133">
        <f t="shared" si="2"/>
        <v>2.229542046761639E-3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5.386376430850065E-2</v>
      </c>
      <c r="U10" s="272">
        <v>0.25205479452054791</v>
      </c>
      <c r="V10" s="466"/>
      <c r="W10" s="274">
        <v>2.2385079998172991E-3</v>
      </c>
      <c r="X10" s="466"/>
      <c r="Y10" s="276">
        <v>5.4729132431565993E-4</v>
      </c>
      <c r="AA10" s="270">
        <v>9.8257118205349432</v>
      </c>
      <c r="AB10" s="272">
        <v>-6.1787241625089093</v>
      </c>
      <c r="AF10" s="137">
        <f>_xll.qlCalendarAdvance(Calendar,AF9,"1d","mf",,Trigger)</f>
        <v>42290</v>
      </c>
      <c r="AG10" s="138">
        <f>_xll.qlDayCounterYearFraction(DayCounter,SettlementDate,AF10,,,Trigger)</f>
        <v>3.287671232876712E-2</v>
      </c>
      <c r="AH10" s="133">
        <f t="shared" si="0"/>
        <v>2.197591524917795E-3</v>
      </c>
      <c r="AI10" s="133">
        <f t="shared" si="1"/>
        <v>2.2281712061584772E-3</v>
      </c>
      <c r="AJ10" s="133">
        <f t="shared" si="2"/>
        <v>2.2286492348959383E-3</v>
      </c>
    </row>
    <row r="11" spans="1:36" ht="12" customHeight="1" x14ac:dyDescent="0.2">
      <c r="C11" s="265" t="s">
        <v>129</v>
      </c>
      <c r="D11" s="298" t="s">
        <v>85</v>
      </c>
      <c r="W11" s="283"/>
      <c r="X11" s="284"/>
      <c r="Y11" s="285"/>
      <c r="AF11" s="137">
        <f>_xll.qlCalendarAdvance(Calendar,AF10,"1d","mf",,Trigger)</f>
        <v>42291</v>
      </c>
      <c r="AG11" s="138">
        <f>_xll.qlDayCounterYearFraction(DayCounter,SettlementDate,AF11,,,Trigger)</f>
        <v>3.5616438356164383E-2</v>
      </c>
      <c r="AH11" s="133">
        <f t="shared" si="0"/>
        <v>2.197591524917795E-3</v>
      </c>
      <c r="AI11" s="133">
        <f t="shared" si="1"/>
        <v>2.2273098066869089E-3</v>
      </c>
      <c r="AJ11" s="133">
        <f t="shared" si="2"/>
        <v>2.227757045259834E-3</v>
      </c>
    </row>
    <row r="12" spans="1:36" ht="12" customHeight="1" x14ac:dyDescent="0.2">
      <c r="C12" s="265" t="s">
        <v>128</v>
      </c>
      <c r="D12" s="296" t="s">
        <v>132</v>
      </c>
      <c r="W12" s="267" t="s">
        <v>30</v>
      </c>
      <c r="X12" s="284"/>
      <c r="Y12" s="285"/>
      <c r="AF12" s="137">
        <f>_xll.qlCalendarAdvance(Calendar,AF11,"1d","mf",,Trigger)</f>
        <v>42292</v>
      </c>
      <c r="AG12" s="138">
        <f>_xll.qlDayCounterYearFraction(DayCounter,SettlementDate,AF12,,,Trigger)</f>
        <v>3.8356164383561646E-2</v>
      </c>
      <c r="AH12" s="133">
        <f t="shared" si="0"/>
        <v>2.197591524917795E-3</v>
      </c>
      <c r="AI12" s="133">
        <f t="shared" si="1"/>
        <v>2.2264484072153402E-3</v>
      </c>
      <c r="AJ12" s="133">
        <f t="shared" si="2"/>
        <v>2.2268654778533257E-3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0.26027397260273971</v>
      </c>
      <c r="V13" s="300" t="s">
        <v>32</v>
      </c>
      <c r="W13" s="274">
        <f>MMULT(AA13,Y13)</f>
        <v>2.197591524917795E-3</v>
      </c>
      <c r="X13" s="300" t="s">
        <v>33</v>
      </c>
      <c r="Y13" s="276">
        <f t="array" ref="Y13">_xll.ohFilter(J3:J7,P3:P7)</f>
        <v>5.7197587634846717E-4</v>
      </c>
      <c r="AA13" s="301">
        <f>MINVERSE(U13)</f>
        <v>3.8421052631578951</v>
      </c>
      <c r="AF13" s="137">
        <f>_xll.qlCalendarAdvance(Calendar,AF12,"1d","mf",,Trigger)</f>
        <v>42293</v>
      </c>
      <c r="AG13" s="138">
        <f>_xll.qlDayCounterYearFraction(DayCounter,SettlementDate,AF13,,,Trigger)</f>
        <v>4.1095890410958902E-2</v>
      </c>
      <c r="AH13" s="133">
        <f t="shared" si="0"/>
        <v>2.197591524917795E-3</v>
      </c>
      <c r="AI13" s="133">
        <f t="shared" si="1"/>
        <v>2.2255870077437716E-3</v>
      </c>
      <c r="AJ13" s="133">
        <f t="shared" si="2"/>
        <v>2.2259745326764142E-3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122</v>
      </c>
      <c r="K14" s="266" t="s">
        <v>123</v>
      </c>
      <c r="L14" s="265" t="s">
        <v>124</v>
      </c>
      <c r="M14" s="266" t="s">
        <v>125</v>
      </c>
      <c r="N14" s="302" t="s">
        <v>94</v>
      </c>
      <c r="O14" s="302" t="s">
        <v>93</v>
      </c>
      <c r="P14" s="302" t="s">
        <v>116</v>
      </c>
      <c r="AF14" s="137">
        <f>_xll.qlCalendarAdvance(Calendar,AF13,"1d","mf",,Trigger)</f>
        <v>42296</v>
      </c>
      <c r="AG14" s="138">
        <f>_xll.qlDayCounterYearFraction(DayCounter,SettlementDate,AF14,,,Trigger)</f>
        <v>4.9315068493150684E-2</v>
      </c>
      <c r="AH14" s="133">
        <f t="shared" si="0"/>
        <v>2.197591524917795E-3</v>
      </c>
      <c r="AI14" s="133">
        <f t="shared" si="1"/>
        <v>2.2230028093290664E-3</v>
      </c>
      <c r="AJ14" s="133">
        <f t="shared" si="2"/>
        <v>2.2233054305232573E-3</v>
      </c>
    </row>
    <row r="15" spans="1:36" ht="12" customHeight="1" x14ac:dyDescent="0.2">
      <c r="C15" s="303" t="s">
        <v>38</v>
      </c>
      <c r="D15" s="135">
        <f t="shared" ref="D15:D21" si="5">SettlementDate</f>
        <v>42278</v>
      </c>
      <c r="E15" s="136">
        <f>_xll.qlCalendarAdvance(Calendar,SettlementDate,C15,"Following",,Trigger)</f>
        <v>42279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0.99994516735706029</v>
      </c>
      <c r="M15" s="204">
        <f>(K15/L15-1)/J15</f>
        <v>2.0015012149047218E-2</v>
      </c>
      <c r="N15" s="132">
        <f>((1+M15*J15)*EXP($W$13*J15)-1)/J15</f>
        <v>2.2212730796384861E-2</v>
      </c>
      <c r="O15" s="132">
        <f>((1+J15*M15)*EXP($W$10*J15+0.5*$W$9*J15^2)-1)/J15</f>
        <v>2.2253219037525751E-2</v>
      </c>
      <c r="P15" s="132">
        <f t="shared" ref="P15:P21" si="6">((1+J15*M15)*EXP($W$5*J15+0.5*$W$4*J15^2+1/3*$W$3*J15^3)-1)/J15</f>
        <v>2.2254095955366315E-2</v>
      </c>
      <c r="AF15" s="137">
        <f>_xll.qlCalendarAdvance(Calendar,AF14,"1d","mf",,Trigger)</f>
        <v>42297</v>
      </c>
      <c r="AG15" s="138">
        <f>_xll.qlDayCounterYearFraction(DayCounter,SettlementDate,AF15,,,Trigger)</f>
        <v>5.2054794520547946E-2</v>
      </c>
      <c r="AH15" s="133">
        <f t="shared" si="0"/>
        <v>2.197591524917795E-3</v>
      </c>
      <c r="AI15" s="133">
        <f t="shared" si="1"/>
        <v>2.2221414098574977E-3</v>
      </c>
      <c r="AJ15" s="133">
        <f t="shared" si="2"/>
        <v>2.2224169742647315E-3</v>
      </c>
    </row>
    <row r="16" spans="1:36" ht="12" customHeight="1" x14ac:dyDescent="0.2">
      <c r="C16" s="248" t="s">
        <v>39</v>
      </c>
      <c r="D16" s="129">
        <f>SettlementDate</f>
        <v>42278</v>
      </c>
      <c r="E16" s="137">
        <f>_xll.qlCalendarAdvance(Calendar,SettlementDate,C16,"Following",,Trigger)</f>
        <v>42285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0.99961646849008545</v>
      </c>
      <c r="M16" s="204">
        <f t="shared" ref="M16:M21" si="7">(K16/L16-1)/J16</f>
        <v>2.0006101701648245E-2</v>
      </c>
      <c r="N16" s="133">
        <f t="shared" ref="N16:N20" si="8">((1+M16*J16)*EXP($W$13*J16)-1)/J16</f>
        <v>2.2204582723365229E-2</v>
      </c>
      <c r="O16" s="133">
        <f t="shared" ref="O16:O20" si="9">((1+J16*M16)*EXP($W$10*J16+0.5*$W$9*J16^2)-1)/J16</f>
        <v>2.2242500453946948E-2</v>
      </c>
      <c r="P16" s="133">
        <f t="shared" si="6"/>
        <v>2.2243266918813127E-2</v>
      </c>
      <c r="AF16" s="137">
        <f>_xll.qlCalendarAdvance(Calendar,AF15,"1d","mf",,Trigger)</f>
        <v>42298</v>
      </c>
      <c r="AG16" s="138">
        <f>_xll.qlDayCounterYearFraction(DayCounter,SettlementDate,AF16,,,Trigger)</f>
        <v>5.4794520547945202E-2</v>
      </c>
      <c r="AH16" s="133">
        <f t="shared" si="0"/>
        <v>2.197591524917795E-3</v>
      </c>
      <c r="AI16" s="133">
        <f t="shared" si="1"/>
        <v>2.2212800103859295E-3</v>
      </c>
      <c r="AJ16" s="133">
        <f t="shared" si="2"/>
        <v>2.221529140235802E-3</v>
      </c>
    </row>
    <row r="17" spans="3:36" ht="12" customHeight="1" x14ac:dyDescent="0.2">
      <c r="C17" s="248" t="s">
        <v>40</v>
      </c>
      <c r="D17" s="129">
        <f t="shared" si="5"/>
        <v>42278</v>
      </c>
      <c r="E17" s="137">
        <f>_xll.qlCalendarAdvance(Calendar,SettlementDate,C17,"Following",,Trigger)</f>
        <v>42292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0.99923440028291222</v>
      </c>
      <c r="M17" s="204">
        <f t="shared" si="7"/>
        <v>1.9975571630349496E-2</v>
      </c>
      <c r="N17" s="133">
        <f t="shared" si="8"/>
        <v>2.2174939612166447E-2</v>
      </c>
      <c r="O17" s="133">
        <f t="shared" si="9"/>
        <v>2.220985598683738E-2</v>
      </c>
      <c r="P17" s="133">
        <f t="shared" si="6"/>
        <v>2.2210502932047006E-2</v>
      </c>
      <c r="AF17" s="137">
        <f>_xll.qlCalendarAdvance(Calendar,AF16,"1d","mf",,Trigger)</f>
        <v>42299</v>
      </c>
      <c r="AG17" s="138">
        <f>_xll.qlDayCounterYearFraction(DayCounter,SettlementDate,AF17,,,Trigger)</f>
        <v>5.7534246575342465E-2</v>
      </c>
      <c r="AH17" s="133">
        <f t="shared" si="0"/>
        <v>2.197591524917795E-3</v>
      </c>
      <c r="AI17" s="133">
        <f t="shared" si="1"/>
        <v>2.2204186109143608E-3</v>
      </c>
      <c r="AJ17" s="133">
        <f t="shared" si="2"/>
        <v>2.2206419284364685E-3</v>
      </c>
    </row>
    <row r="18" spans="3:36" ht="12" customHeight="1" x14ac:dyDescent="0.2">
      <c r="C18" s="248" t="s">
        <v>41</v>
      </c>
      <c r="D18" s="129">
        <f t="shared" si="5"/>
        <v>42278</v>
      </c>
      <c r="E18" s="137">
        <f>_xll.qlCalendarAdvance(Calendar,SettlementDate,C18,"Following",,Trigger)</f>
        <v>42299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0.99885439625104611</v>
      </c>
      <c r="M18" s="204">
        <f t="shared" si="7"/>
        <v>1.9934521270307259E-2</v>
      </c>
      <c r="N18" s="133">
        <f t="shared" si="8"/>
        <v>2.2134772345151064E-2</v>
      </c>
      <c r="O18" s="133">
        <f t="shared" si="9"/>
        <v>2.2166684743808451E-2</v>
      </c>
      <c r="P18" s="133">
        <f t="shared" si="6"/>
        <v>2.2167222242572889E-2</v>
      </c>
      <c r="AF18" s="137">
        <f>_xll.qlCalendarAdvance(Calendar,AF17,"1d","mf",,Trigger)</f>
        <v>42300</v>
      </c>
      <c r="AG18" s="138">
        <f>_xll.qlDayCounterYearFraction(DayCounter,SettlementDate,AF18,,,Trigger)</f>
        <v>6.0273972602739728E-2</v>
      </c>
      <c r="AH18" s="133">
        <f t="shared" si="0"/>
        <v>2.197591524917795E-3</v>
      </c>
      <c r="AI18" s="133">
        <f t="shared" si="1"/>
        <v>2.2195572114427921E-3</v>
      </c>
      <c r="AJ18" s="133">
        <f t="shared" si="2"/>
        <v>2.2197553388667315E-3</v>
      </c>
    </row>
    <row r="19" spans="3:36" ht="12" customHeight="1" x14ac:dyDescent="0.2">
      <c r="C19" s="248" t="s">
        <v>35</v>
      </c>
      <c r="D19" s="129">
        <f t="shared" si="5"/>
        <v>42278</v>
      </c>
      <c r="E19" s="137">
        <f>_xll.qlCalendarAdvance(Calendar,SettlementDate,C19,"mf",TRUE,Trigger)</f>
        <v>42310</v>
      </c>
      <c r="F19" s="131"/>
      <c r="G19" s="131"/>
      <c r="H19" s="131"/>
      <c r="I19" s="13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218">
        <f>_xll.qlYieldTSDiscount(Discounting,E19,,AllTriggers)</f>
        <v>0.9982622066752449</v>
      </c>
      <c r="M19" s="204">
        <f t="shared" si="7"/>
        <v>1.9856211101595689E-2</v>
      </c>
      <c r="N19" s="133">
        <f t="shared" si="8"/>
        <v>2.2057840316761293E-2</v>
      </c>
      <c r="O19" s="133">
        <f t="shared" si="9"/>
        <v>2.2085026905375622E-2</v>
      </c>
      <c r="P19" s="133">
        <f t="shared" si="6"/>
        <v>2.2085412801039067E-2</v>
      </c>
      <c r="AF19" s="137">
        <f>_xll.qlCalendarAdvance(Calendar,AF18,"1d","mf",,Trigger)</f>
        <v>42303</v>
      </c>
      <c r="AG19" s="138">
        <f>_xll.qlDayCounterYearFraction(DayCounter,SettlementDate,AF19,,,Trigger)</f>
        <v>6.8493150684931503E-2</v>
      </c>
      <c r="AH19" s="133">
        <f t="shared" si="0"/>
        <v>2.197591524917795E-3</v>
      </c>
      <c r="AI19" s="133">
        <f t="shared" si="1"/>
        <v>2.216973013028087E-3</v>
      </c>
      <c r="AJ19" s="133">
        <f t="shared" si="2"/>
        <v>2.2170993035350991E-3</v>
      </c>
    </row>
    <row r="20" spans="3:36" ht="12" customHeight="1" x14ac:dyDescent="0.2">
      <c r="C20" s="248" t="s">
        <v>42</v>
      </c>
      <c r="D20" s="129">
        <f t="shared" si="5"/>
        <v>42278</v>
      </c>
      <c r="E20" s="137">
        <f>_xll.qlCalendarAdvance(Calendar,SettlementDate,C20,"mf",TRUE,Trigger)</f>
        <v>42339</v>
      </c>
      <c r="F20" s="131"/>
      <c r="G20" s="131"/>
      <c r="H20" s="131"/>
      <c r="I20" s="13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218">
        <f>_xll.qlYieldTSDiscount(Discounting,E20,,AllTriggers)</f>
        <v>0.99673620604569801</v>
      </c>
      <c r="M20" s="204">
        <f t="shared" si="7"/>
        <v>1.9593207097759385E-2</v>
      </c>
      <c r="N20" s="133">
        <f t="shared" si="8"/>
        <v>2.1798399519092394E-2</v>
      </c>
      <c r="O20" s="133">
        <f t="shared" si="9"/>
        <v>2.181309667571996E-2</v>
      </c>
      <c r="P20" s="133">
        <f t="shared" si="6"/>
        <v>2.1813202666328069E-2</v>
      </c>
      <c r="AF20" s="137">
        <f>_xll.qlCalendarAdvance(Calendar,AF19,"1d","mf",,Trigger)</f>
        <v>42304</v>
      </c>
      <c r="AG20" s="138">
        <f>_xll.qlDayCounterYearFraction(DayCounter,SettlementDate,AF20,,,Trigger)</f>
        <v>7.1232876712328766E-2</v>
      </c>
      <c r="AH20" s="133">
        <f t="shared" si="0"/>
        <v>2.197591524917795E-3</v>
      </c>
      <c r="AI20" s="133">
        <f t="shared" si="1"/>
        <v>2.2161116135565183E-3</v>
      </c>
      <c r="AJ20" s="133">
        <f t="shared" si="2"/>
        <v>2.2162152028837477E-3</v>
      </c>
    </row>
    <row r="21" spans="3:36" ht="12" customHeight="1" x14ac:dyDescent="0.2">
      <c r="C21" s="304" t="s">
        <v>36</v>
      </c>
      <c r="D21" s="287">
        <f t="shared" si="5"/>
        <v>42278</v>
      </c>
      <c r="E21" s="305">
        <f>_xll.qlCalendarAdvance(Calendar,SettlementDate,C21,"mf",TRUE,Trigger)</f>
        <v>42373</v>
      </c>
      <c r="F21" s="316"/>
      <c r="G21" s="316"/>
      <c r="H21" s="316"/>
      <c r="I21" s="316"/>
      <c r="J21" s="289">
        <f>_xll.qlDayCounterYearFraction(DayCounter,D21,E21,,,Trigger)</f>
        <v>0.26027397260273971</v>
      </c>
      <c r="K21" s="306">
        <f>_xll.qlYieldTSDiscount(Discounting,D21,,AllTriggers)</f>
        <v>1</v>
      </c>
      <c r="L21" s="317">
        <f>_xll.qlYieldTSDiscount(Discounting,E21,,AllTriggers)</f>
        <v>0.9950021601872524</v>
      </c>
      <c r="M21" s="307">
        <f t="shared" si="7"/>
        <v>1.9298678351978453E-2</v>
      </c>
      <c r="N21" s="140">
        <f>((1+M21*J21)*EXP($W$13*J21)-1)/J21</f>
        <v>2.1507940017316679E-2</v>
      </c>
      <c r="O21" s="140">
        <f>((1+J21*M21)*EXP($W$10*J21+0.5*$W$9*J21^2)-1)/J21</f>
        <v>2.1507940017316679E-2</v>
      </c>
      <c r="P21" s="140">
        <f t="shared" si="6"/>
        <v>2.1507940017316679E-2</v>
      </c>
      <c r="AF21" s="137">
        <f>_xll.qlCalendarAdvance(Calendar,AF20,"1d","mf",,Trigger)</f>
        <v>42305</v>
      </c>
      <c r="AG21" s="138">
        <f>_xll.qlDayCounterYearFraction(DayCounter,SettlementDate,AF21,,,Trigger)</f>
        <v>7.3972602739726029E-2</v>
      </c>
      <c r="AH21" s="133">
        <f t="shared" si="0"/>
        <v>2.197591524917795E-3</v>
      </c>
      <c r="AI21" s="133">
        <f t="shared" si="1"/>
        <v>2.2152502140849501E-3</v>
      </c>
      <c r="AJ21" s="133">
        <f t="shared" si="2"/>
        <v>2.2153317244619926E-3</v>
      </c>
    </row>
    <row r="22" spans="3:36" ht="12" customHeight="1" x14ac:dyDescent="0.2">
      <c r="AF22" s="137">
        <f>_xll.qlCalendarAdvance(Calendar,AF21,"1d","mf",,Trigger)</f>
        <v>42306</v>
      </c>
      <c r="AG22" s="138">
        <f>_xll.qlDayCounterYearFraction(DayCounter,SettlementDate,AF22,,,Trigger)</f>
        <v>7.6712328767123292E-2</v>
      </c>
      <c r="AH22" s="133">
        <f t="shared" si="0"/>
        <v>2.197591524917795E-3</v>
      </c>
      <c r="AI22" s="133">
        <f t="shared" si="1"/>
        <v>2.2143888146133814E-3</v>
      </c>
      <c r="AJ22" s="133">
        <f t="shared" si="2"/>
        <v>2.2144488682698344E-3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42307</v>
      </c>
      <c r="AG23" s="138">
        <f>_xll.qlDayCounterYearFraction(DayCounter,SettlementDate,AF23,,,Trigger)</f>
        <v>7.9452054794520555E-2</v>
      </c>
      <c r="AH23" s="133">
        <f t="shared" si="0"/>
        <v>2.197591524917795E-3</v>
      </c>
      <c r="AI23" s="133">
        <f t="shared" si="1"/>
        <v>2.2135274151418127E-3</v>
      </c>
      <c r="AJ23" s="133">
        <f t="shared" si="2"/>
        <v>2.2135666343072718E-3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42310</v>
      </c>
      <c r="AG24" s="138">
        <f>_xll.qlDayCounterYearFraction(DayCounter,SettlementDate,AF24,,,Trigger)</f>
        <v>8.7671232876712329E-2</v>
      </c>
      <c r="AH24" s="133">
        <f t="shared" si="0"/>
        <v>2.197591524917795E-3</v>
      </c>
      <c r="AI24" s="133">
        <f t="shared" si="1"/>
        <v>2.2109432167271076E-3</v>
      </c>
      <c r="AJ24" s="133">
        <f t="shared" si="2"/>
        <v>2.2109236657971636E-3</v>
      </c>
    </row>
    <row r="25" spans="3:36" ht="12" customHeight="1" x14ac:dyDescent="0.2">
      <c r="C25" s="133">
        <f t="shared" ref="C25:C31" si="10">IF($C$24="FLAT",N15,IF($C$24="linear",O15,P15))</f>
        <v>2.2254095955366315E-2</v>
      </c>
      <c r="AF25" s="137">
        <f>_xll.qlCalendarAdvance(Calendar,AF24,"1d","mf",,Trigger)</f>
        <v>42311</v>
      </c>
      <c r="AG25" s="138">
        <f>_xll.qlDayCounterYearFraction(DayCounter,SettlementDate,AF25,,,Trigger)</f>
        <v>9.0410958904109592E-2</v>
      </c>
      <c r="AH25" s="133">
        <f t="shared" si="0"/>
        <v>2.197591524917795E-3</v>
      </c>
      <c r="AI25" s="133">
        <f t="shared" si="1"/>
        <v>2.2100818172555389E-3</v>
      </c>
      <c r="AJ25" s="133">
        <f t="shared" si="2"/>
        <v>2.210043920752987E-3</v>
      </c>
    </row>
    <row r="26" spans="3:36" ht="12" customHeight="1" x14ac:dyDescent="0.2">
      <c r="C26" s="133">
        <f t="shared" si="10"/>
        <v>2.2243266918813127E-2</v>
      </c>
      <c r="AF26" s="137">
        <f>_xll.qlCalendarAdvance(Calendar,AF25,"1d","mf",,Trigger)</f>
        <v>42312</v>
      </c>
      <c r="AG26" s="138">
        <f>_xll.qlDayCounterYearFraction(DayCounter,SettlementDate,AF26,,,Trigger)</f>
        <v>9.3150684931506855E-2</v>
      </c>
      <c r="AH26" s="133">
        <f t="shared" si="0"/>
        <v>2.197591524917795E-3</v>
      </c>
      <c r="AI26" s="133">
        <f t="shared" si="1"/>
        <v>2.2092204177839706E-3</v>
      </c>
      <c r="AJ26" s="133">
        <f t="shared" si="2"/>
        <v>2.2091647979384068E-3</v>
      </c>
    </row>
    <row r="27" spans="3:36" ht="12" customHeight="1" x14ac:dyDescent="0.2">
      <c r="C27" s="133">
        <f t="shared" si="10"/>
        <v>2.2210502932047006E-2</v>
      </c>
      <c r="AF27" s="137">
        <f>_xll.qlCalendarAdvance(Calendar,AF26,"1d","mf",,Trigger)</f>
        <v>42313</v>
      </c>
      <c r="AG27" s="138">
        <f>_xll.qlDayCounterYearFraction(DayCounter,SettlementDate,AF27,,,Trigger)</f>
        <v>9.5890410958904104E-2</v>
      </c>
      <c r="AH27" s="133">
        <f t="shared" si="0"/>
        <v>2.197591524917795E-3</v>
      </c>
      <c r="AI27" s="133">
        <f t="shared" si="1"/>
        <v>2.208359018312402E-3</v>
      </c>
      <c r="AJ27" s="133">
        <f t="shared" si="2"/>
        <v>2.2082862973534225E-3</v>
      </c>
    </row>
    <row r="28" spans="3:36" ht="12" customHeight="1" x14ac:dyDescent="0.2">
      <c r="C28" s="133">
        <f t="shared" si="10"/>
        <v>2.2167222242572889E-2</v>
      </c>
      <c r="AF28" s="137">
        <f>_xll.qlCalendarAdvance(Calendar,AF27,"1d","mf",,Trigger)</f>
        <v>42314</v>
      </c>
      <c r="AG28" s="138">
        <f>_xll.qlDayCounterYearFraction(DayCounter,SettlementDate,AF28,,,Trigger)</f>
        <v>9.8630136986301367E-2</v>
      </c>
      <c r="AH28" s="133">
        <f t="shared" si="0"/>
        <v>2.197591524917795E-3</v>
      </c>
      <c r="AI28" s="133">
        <f t="shared" si="1"/>
        <v>2.2074976188408333E-3</v>
      </c>
      <c r="AJ28" s="133">
        <f t="shared" si="2"/>
        <v>2.2074084189980352E-3</v>
      </c>
    </row>
    <row r="29" spans="3:36" ht="12" customHeight="1" x14ac:dyDescent="0.2">
      <c r="C29" s="133">
        <f t="shared" si="10"/>
        <v>2.2085412801039067E-2</v>
      </c>
      <c r="AF29" s="137">
        <f>_xll.qlCalendarAdvance(Calendar,AF28,"1d","mf",,Trigger)</f>
        <v>42317</v>
      </c>
      <c r="AG29" s="138">
        <f>_xll.qlDayCounterYearFraction(DayCounter,SettlementDate,AF29,,,Trigger)</f>
        <v>0.10684931506849316</v>
      </c>
      <c r="AH29" s="133">
        <f t="shared" si="0"/>
        <v>2.197591524917795E-3</v>
      </c>
      <c r="AI29" s="133">
        <f t="shared" si="1"/>
        <v>2.2049134204261281E-3</v>
      </c>
      <c r="AJ29" s="133">
        <f t="shared" si="2"/>
        <v>2.204778517309451E-3</v>
      </c>
    </row>
    <row r="30" spans="3:36" ht="12" customHeight="1" x14ac:dyDescent="0.2">
      <c r="C30" s="133">
        <f t="shared" si="10"/>
        <v>2.1813202666328069E-2</v>
      </c>
      <c r="AF30" s="137">
        <f>_xll.qlCalendarAdvance(Calendar,AF29,"1d","mf",,Trigger)</f>
        <v>42318</v>
      </c>
      <c r="AG30" s="138">
        <f>_xll.qlDayCounterYearFraction(DayCounter,SettlementDate,AF30,,,Trigger)</f>
        <v>0.1095890410958904</v>
      </c>
      <c r="AH30" s="133">
        <f t="shared" si="0"/>
        <v>2.197591524917795E-3</v>
      </c>
      <c r="AI30" s="133">
        <f t="shared" si="1"/>
        <v>2.2040520209545594E-3</v>
      </c>
      <c r="AJ30" s="133">
        <f t="shared" si="2"/>
        <v>2.2039031278724489E-3</v>
      </c>
    </row>
    <row r="31" spans="3:36" ht="12" customHeight="1" x14ac:dyDescent="0.2">
      <c r="C31" s="140">
        <f t="shared" si="10"/>
        <v>2.1507940017316679E-2</v>
      </c>
      <c r="AF31" s="137">
        <f>_xll.qlCalendarAdvance(Calendar,AF30,"1d","mf",,Trigger)</f>
        <v>42319</v>
      </c>
      <c r="AG31" s="138">
        <f>_xll.qlDayCounterYearFraction(DayCounter,SettlementDate,AF31,,,Trigger)</f>
        <v>0.11232876712328767</v>
      </c>
      <c r="AH31" s="133">
        <f t="shared" si="0"/>
        <v>2.197591524917795E-3</v>
      </c>
      <c r="AI31" s="133">
        <f t="shared" si="1"/>
        <v>2.2031906214829912E-3</v>
      </c>
      <c r="AJ31" s="133">
        <f t="shared" si="2"/>
        <v>2.2030283606650431E-3</v>
      </c>
    </row>
    <row r="32" spans="3:36" ht="12" customHeight="1" x14ac:dyDescent="0.2">
      <c r="AF32" s="137">
        <f>_xll.qlCalendarAdvance(Calendar,AF31,"1d","mf",,Trigger)</f>
        <v>42320</v>
      </c>
      <c r="AG32" s="138">
        <f>_xll.qlDayCounterYearFraction(DayCounter,SettlementDate,AF32,,,Trigger)</f>
        <v>0.11506849315068493</v>
      </c>
      <c r="AH32" s="133">
        <f t="shared" si="0"/>
        <v>2.197591524917795E-3</v>
      </c>
      <c r="AI32" s="133">
        <f t="shared" si="1"/>
        <v>2.2023292220114225E-3</v>
      </c>
      <c r="AJ32" s="133">
        <f t="shared" si="2"/>
        <v>2.2021542156872337E-3</v>
      </c>
    </row>
    <row r="33" spans="13:36" x14ac:dyDescent="0.2">
      <c r="AF33" s="137">
        <f>_xll.qlCalendarAdvance(Calendar,AF32,"1d","mf",,Trigger)</f>
        <v>42321</v>
      </c>
      <c r="AG33" s="138">
        <f>_xll.qlDayCounterYearFraction(DayCounter,SettlementDate,AF33,,,Trigger)</f>
        <v>0.11780821917808219</v>
      </c>
      <c r="AH33" s="133">
        <f t="shared" si="0"/>
        <v>2.197591524917795E-3</v>
      </c>
      <c r="AI33" s="133">
        <f t="shared" si="1"/>
        <v>2.2014678225398543E-3</v>
      </c>
      <c r="AJ33" s="133">
        <f t="shared" si="2"/>
        <v>2.2012806929390212E-3</v>
      </c>
    </row>
    <row r="34" spans="13:36" x14ac:dyDescent="0.2">
      <c r="AF34" s="137">
        <f>_xll.qlCalendarAdvance(Calendar,AF33,"1d","mf",,Trigger)</f>
        <v>42324</v>
      </c>
      <c r="AG34" s="138">
        <f>_xll.qlDayCounterYearFraction(DayCounter,SettlementDate,AF34,,,Trigger)</f>
        <v>0.12602739726027398</v>
      </c>
      <c r="AH34" s="133">
        <f t="shared" si="0"/>
        <v>2.197591524917795E-3</v>
      </c>
      <c r="AI34" s="133">
        <f t="shared" si="1"/>
        <v>2.1988836241251487E-3</v>
      </c>
      <c r="AJ34" s="133">
        <f t="shared" si="2"/>
        <v>2.1986638580719611E-3</v>
      </c>
    </row>
    <row r="35" spans="13:36" x14ac:dyDescent="0.2">
      <c r="AF35" s="137">
        <f>_xll.qlCalendarAdvance(Calendar,AF34,"1d","mf",,Trigger)</f>
        <v>42325</v>
      </c>
      <c r="AG35" s="138">
        <f>_xll.qlDayCounterYearFraction(DayCounter,SettlementDate,AF35,,,Trigger)</f>
        <v>0.12876712328767123</v>
      </c>
      <c r="AH35" s="133">
        <f t="shared" si="0"/>
        <v>2.197591524917795E-3</v>
      </c>
      <c r="AI35" s="133">
        <f t="shared" si="1"/>
        <v>2.19802222465358E-3</v>
      </c>
      <c r="AJ35" s="133">
        <f t="shared" ref="AJ35:AJ65" si="11">($W$5+$W$4*AG35+$W$3*AG35^2)</f>
        <v>2.1977928242421342E-3</v>
      </c>
    </row>
    <row r="36" spans="13:36" x14ac:dyDescent="0.2">
      <c r="AF36" s="137">
        <f>_xll.qlCalendarAdvance(Calendar,AF35,"1d","mf",,Trigger)</f>
        <v>42326</v>
      </c>
      <c r="AG36" s="138">
        <f>_xll.qlDayCounterYearFraction(DayCounter,SettlementDate,AF36,,,Trigger)</f>
        <v>0.13150684931506848</v>
      </c>
      <c r="AH36" s="133">
        <f t="shared" si="0"/>
        <v>2.197591524917795E-3</v>
      </c>
      <c r="AI36" s="133">
        <f t="shared" si="1"/>
        <v>2.1971608251820118E-3</v>
      </c>
      <c r="AJ36" s="133">
        <f t="shared" si="11"/>
        <v>2.1969224126419029E-3</v>
      </c>
    </row>
    <row r="37" spans="13:36" x14ac:dyDescent="0.2">
      <c r="AF37" s="137">
        <f>_xll.qlCalendarAdvance(Calendar,AF36,"1d","mf",,Trigger)</f>
        <v>42327</v>
      </c>
      <c r="AG37" s="138">
        <f>_xll.qlDayCounterYearFraction(DayCounter,SettlementDate,AF37,,,Trigger)</f>
        <v>0.13424657534246576</v>
      </c>
      <c r="AH37" s="133">
        <f t="shared" si="0"/>
        <v>2.197591524917795E-3</v>
      </c>
      <c r="AI37" s="133">
        <f t="shared" si="1"/>
        <v>2.1962994257104431E-3</v>
      </c>
      <c r="AJ37" s="133">
        <f t="shared" si="11"/>
        <v>2.1960526232712684E-3</v>
      </c>
    </row>
    <row r="38" spans="13:36" x14ac:dyDescent="0.2">
      <c r="AF38" s="137">
        <f>_xll.qlCalendarAdvance(Calendar,AF37,"1d","mf",,Trigger)</f>
        <v>42328</v>
      </c>
      <c r="AG38" s="138">
        <f>_xll.qlDayCounterYearFraction(DayCounter,SettlementDate,AF38,,,Trigger)</f>
        <v>0.13698630136986301</v>
      </c>
      <c r="AH38" s="133">
        <f t="shared" si="0"/>
        <v>2.197591524917795E-3</v>
      </c>
      <c r="AI38" s="133">
        <f t="shared" si="1"/>
        <v>2.1954380262388749E-3</v>
      </c>
      <c r="AJ38" s="133">
        <f t="shared" si="11"/>
        <v>2.1951834561302302E-3</v>
      </c>
    </row>
    <row r="39" spans="13:36" x14ac:dyDescent="0.2">
      <c r="AF39" s="137">
        <f>_xll.qlCalendarAdvance(Calendar,AF38,"1d","mf",,Trigger)</f>
        <v>42331</v>
      </c>
      <c r="AG39" s="138">
        <f>_xll.qlDayCounterYearFraction(DayCounter,SettlementDate,AF39,,,Trigger)</f>
        <v>0.14520547945205478</v>
      </c>
      <c r="AH39" s="133">
        <f t="shared" si="0"/>
        <v>2.197591524917795E-3</v>
      </c>
      <c r="AI39" s="133">
        <f t="shared" si="1"/>
        <v>2.1928538278241693E-3</v>
      </c>
      <c r="AJ39" s="133">
        <f t="shared" si="11"/>
        <v>2.1925796880846943E-3</v>
      </c>
    </row>
    <row r="40" spans="13:36" x14ac:dyDescent="0.2">
      <c r="AF40" s="137">
        <f>_xll.qlCalendarAdvance(Calendar,AF39,"1d","mf",,Trigger)</f>
        <v>42332</v>
      </c>
      <c r="AG40" s="138">
        <f>_xll.qlDayCounterYearFraction(DayCounter,SettlementDate,AF40,,,Trigger)</f>
        <v>0.14794520547945206</v>
      </c>
      <c r="AH40" s="133">
        <f t="shared" si="0"/>
        <v>2.197591524917795E-3</v>
      </c>
      <c r="AI40" s="133">
        <f t="shared" si="1"/>
        <v>2.1919924283526006E-3</v>
      </c>
      <c r="AJ40" s="133">
        <f t="shared" si="11"/>
        <v>2.1917130098620414E-3</v>
      </c>
    </row>
    <row r="41" spans="13:36" x14ac:dyDescent="0.2">
      <c r="M41" s="309"/>
      <c r="N41" s="309"/>
      <c r="AF41" s="137">
        <f>_xll.qlCalendarAdvance(Calendar,AF40,"1d","mf",,Trigger)</f>
        <v>42333</v>
      </c>
      <c r="AG41" s="138">
        <f>_xll.qlDayCounterYearFraction(DayCounter,SettlementDate,AF41,,,Trigger)</f>
        <v>0.15068493150684931</v>
      </c>
      <c r="AH41" s="133">
        <f t="shared" si="0"/>
        <v>2.197591524917795E-3</v>
      </c>
      <c r="AI41" s="133">
        <f t="shared" si="1"/>
        <v>2.1911310288810324E-3</v>
      </c>
      <c r="AJ41" s="133">
        <f t="shared" si="11"/>
        <v>2.1908469538689853E-3</v>
      </c>
    </row>
    <row r="42" spans="13:36" x14ac:dyDescent="0.2">
      <c r="AF42" s="137">
        <f>_xll.qlCalendarAdvance(Calendar,AF41,"1d","mf",,Trigger)</f>
        <v>42334</v>
      </c>
      <c r="AG42" s="138">
        <f>_xll.qlDayCounterYearFraction(DayCounter,SettlementDate,AF42,,,Trigger)</f>
        <v>0.15342465753424658</v>
      </c>
      <c r="AH42" s="133">
        <f t="shared" si="0"/>
        <v>2.197591524917795E-3</v>
      </c>
      <c r="AI42" s="133">
        <f t="shared" si="1"/>
        <v>2.1902696294094637E-3</v>
      </c>
      <c r="AJ42" s="133">
        <f t="shared" si="11"/>
        <v>2.1899815201055256E-3</v>
      </c>
    </row>
    <row r="43" spans="13:36" ht="11.25" customHeight="1" x14ac:dyDescent="0.2">
      <c r="AF43" s="137">
        <f>_xll.qlCalendarAdvance(Calendar,AF42,"1d","mf",,Trigger)</f>
        <v>42335</v>
      </c>
      <c r="AG43" s="138">
        <f>_xll.qlDayCounterYearFraction(DayCounter,SettlementDate,AF43,,,Trigger)</f>
        <v>0.15616438356164383</v>
      </c>
      <c r="AH43" s="133">
        <f t="shared" si="0"/>
        <v>2.197591524917795E-3</v>
      </c>
      <c r="AI43" s="133">
        <f t="shared" si="1"/>
        <v>2.1894082299378954E-3</v>
      </c>
      <c r="AJ43" s="133">
        <f t="shared" si="11"/>
        <v>2.1891167085716623E-3</v>
      </c>
    </row>
    <row r="44" spans="13:36" x14ac:dyDescent="0.2">
      <c r="Q44" s="310"/>
      <c r="AF44" s="137">
        <f>_xll.qlCalendarAdvance(Calendar,AF43,"1d","mf",,Trigger)</f>
        <v>42338</v>
      </c>
      <c r="AG44" s="138">
        <f>_xll.qlDayCounterYearFraction(DayCounter,SettlementDate,AF44,,,Trigger)</f>
        <v>0.16438356164383561</v>
      </c>
      <c r="AH44" s="133">
        <f t="shared" si="0"/>
        <v>2.197591524917795E-3</v>
      </c>
      <c r="AI44" s="133">
        <f t="shared" si="1"/>
        <v>2.1868240315231898E-3</v>
      </c>
      <c r="AJ44" s="133">
        <f t="shared" si="11"/>
        <v>2.1865260073476501E-3</v>
      </c>
    </row>
    <row r="45" spans="13:36" x14ac:dyDescent="0.2">
      <c r="Q45" s="310"/>
      <c r="AF45" s="137">
        <f>_xll.qlCalendarAdvance(Calendar,AF44,"1d","mf",,Trigger)</f>
        <v>42339</v>
      </c>
      <c r="AG45" s="138">
        <f>_xll.qlDayCounterYearFraction(DayCounter,SettlementDate,AF45,,,Trigger)</f>
        <v>0.16712328767123288</v>
      </c>
      <c r="AH45" s="133">
        <f t="shared" si="0"/>
        <v>2.197591524917795E-3</v>
      </c>
      <c r="AI45" s="133">
        <f t="shared" si="1"/>
        <v>2.1859626320516212E-3</v>
      </c>
      <c r="AJ45" s="133">
        <f t="shared" si="11"/>
        <v>2.1856636847321725E-3</v>
      </c>
    </row>
    <row r="46" spans="13:36" x14ac:dyDescent="0.2">
      <c r="Q46" s="310"/>
      <c r="AF46" s="137">
        <f>_xll.qlCalendarAdvance(Calendar,AF45,"1d","mf",,Trigger)</f>
        <v>42340</v>
      </c>
      <c r="AG46" s="138">
        <f>_xll.qlDayCounterYearFraction(DayCounter,SettlementDate,AF46,,,Trigger)</f>
        <v>0.16986301369863013</v>
      </c>
      <c r="AH46" s="133">
        <f t="shared" si="0"/>
        <v>2.197591524917795E-3</v>
      </c>
      <c r="AI46" s="133">
        <f t="shared" si="1"/>
        <v>2.1851012325800529E-3</v>
      </c>
      <c r="AJ46" s="133">
        <f t="shared" si="11"/>
        <v>2.1848019843462912E-3</v>
      </c>
    </row>
    <row r="47" spans="13:36" x14ac:dyDescent="0.2">
      <c r="Q47" s="310"/>
      <c r="AF47" s="137">
        <f>_xll.qlCalendarAdvance(Calendar,AF46,"1d","mf",,Trigger)</f>
        <v>42341</v>
      </c>
      <c r="AG47" s="138">
        <f>_xll.qlDayCounterYearFraction(DayCounter,SettlementDate,AF47,,,Trigger)</f>
        <v>0.17260273972602741</v>
      </c>
      <c r="AH47" s="133">
        <f t="shared" si="0"/>
        <v>2.197591524917795E-3</v>
      </c>
      <c r="AI47" s="133">
        <f t="shared" si="1"/>
        <v>2.1842398331084843E-3</v>
      </c>
      <c r="AJ47" s="133">
        <f t="shared" si="11"/>
        <v>2.1839409061900059E-3</v>
      </c>
    </row>
    <row r="48" spans="13:36" x14ac:dyDescent="0.2">
      <c r="Q48" s="310"/>
      <c r="AF48" s="137">
        <f>_xll.qlCalendarAdvance(Calendar,AF47,"1d","mf",,Trigger)</f>
        <v>42342</v>
      </c>
      <c r="AG48" s="138">
        <f>_xll.qlDayCounterYearFraction(DayCounter,SettlementDate,AF48,,,Trigger)</f>
        <v>0.17534246575342466</v>
      </c>
      <c r="AH48" s="133">
        <f t="shared" si="0"/>
        <v>2.197591524917795E-3</v>
      </c>
      <c r="AI48" s="133">
        <f t="shared" si="1"/>
        <v>2.183378433636916E-3</v>
      </c>
      <c r="AJ48" s="133">
        <f t="shared" si="11"/>
        <v>2.1830804502633175E-3</v>
      </c>
    </row>
    <row r="49" spans="13:36" x14ac:dyDescent="0.2">
      <c r="AF49" s="137">
        <f>_xll.qlCalendarAdvance(Calendar,AF48,"1d","mf",,Trigger)</f>
        <v>42345</v>
      </c>
      <c r="AG49" s="138">
        <f>_xll.qlDayCounterYearFraction(DayCounter,SettlementDate,AF49,,,Trigger)</f>
        <v>0.18356164383561643</v>
      </c>
      <c r="AH49" s="133">
        <f t="shared" si="0"/>
        <v>2.197591524917795E-3</v>
      </c>
      <c r="AI49" s="133">
        <f t="shared" si="1"/>
        <v>2.1807942352222104E-3</v>
      </c>
      <c r="AJ49" s="133">
        <f t="shared" si="11"/>
        <v>2.1805028158608294E-3</v>
      </c>
    </row>
    <row r="50" spans="13:36" x14ac:dyDescent="0.2">
      <c r="AF50" s="137">
        <f>_xll.qlCalendarAdvance(Calendar,AF49,"1d","mf",,Trigger)</f>
        <v>42346</v>
      </c>
      <c r="AG50" s="138">
        <f>_xll.qlDayCounterYearFraction(DayCounter,SettlementDate,AF50,,,Trigger)</f>
        <v>0.18630136986301371</v>
      </c>
      <c r="AH50" s="133">
        <f t="shared" si="0"/>
        <v>2.197591524917795E-3</v>
      </c>
      <c r="AI50" s="133">
        <f t="shared" si="1"/>
        <v>2.1799328357506417E-3</v>
      </c>
      <c r="AJ50" s="133">
        <f t="shared" si="11"/>
        <v>2.1796448488525261E-3</v>
      </c>
    </row>
    <row r="51" spans="13:36" x14ac:dyDescent="0.2">
      <c r="AF51" s="137">
        <f>_xll.qlCalendarAdvance(Calendar,AF50,"1d","mf",,Trigger)</f>
        <v>42347</v>
      </c>
      <c r="AG51" s="138">
        <f>_xll.qlDayCounterYearFraction(DayCounter,SettlementDate,AF51,,,Trigger)</f>
        <v>0.18904109589041096</v>
      </c>
      <c r="AH51" s="133">
        <f t="shared" si="0"/>
        <v>2.197591524917795E-3</v>
      </c>
      <c r="AI51" s="133">
        <f t="shared" si="1"/>
        <v>2.1790714362790735E-3</v>
      </c>
      <c r="AJ51" s="133">
        <f t="shared" si="11"/>
        <v>2.1787875040738193E-3</v>
      </c>
    </row>
    <row r="52" spans="13:36" x14ac:dyDescent="0.2">
      <c r="AF52" s="137">
        <f>_xll.qlCalendarAdvance(Calendar,AF51,"1d","mf",,Trigger)</f>
        <v>42348</v>
      </c>
      <c r="AG52" s="138">
        <f>_xll.qlDayCounterYearFraction(DayCounter,SettlementDate,AF52,,,Trigger)</f>
        <v>0.19178082191780821</v>
      </c>
      <c r="AH52" s="133">
        <f t="shared" si="0"/>
        <v>2.197591524917795E-3</v>
      </c>
      <c r="AI52" s="133">
        <f t="shared" si="1"/>
        <v>2.1782100368075048E-3</v>
      </c>
      <c r="AJ52" s="133">
        <f t="shared" si="11"/>
        <v>2.1779307815247093E-3</v>
      </c>
    </row>
    <row r="53" spans="13:36" x14ac:dyDescent="0.2">
      <c r="AF53" s="137">
        <f>_xll.qlCalendarAdvance(Calendar,AF52,"1d","mf",,Trigger)</f>
        <v>42349</v>
      </c>
      <c r="AG53" s="138">
        <f>_xll.qlDayCounterYearFraction(DayCounter,SettlementDate,AF53,,,Trigger)</f>
        <v>0.19452054794520549</v>
      </c>
      <c r="AH53" s="133">
        <f t="shared" si="0"/>
        <v>2.197591524917795E-3</v>
      </c>
      <c r="AI53" s="133">
        <f t="shared" si="1"/>
        <v>2.1773486373359366E-3</v>
      </c>
      <c r="AJ53" s="133">
        <f t="shared" si="11"/>
        <v>2.1770746812051953E-3</v>
      </c>
    </row>
    <row r="54" spans="13:36" x14ac:dyDescent="0.2">
      <c r="AF54" s="137">
        <f>_xll.qlCalendarAdvance(Calendar,AF53,"1d","mf",,Trigger)</f>
        <v>42352</v>
      </c>
      <c r="AG54" s="138">
        <f>_xll.qlDayCounterYearFraction(DayCounter,SettlementDate,AF54,,,Trigger)</f>
        <v>0.20273972602739726</v>
      </c>
      <c r="AH54" s="133">
        <f t="shared" si="0"/>
        <v>2.197591524917795E-3</v>
      </c>
      <c r="AI54" s="133">
        <f t="shared" si="1"/>
        <v>2.174764438921231E-3</v>
      </c>
      <c r="AJ54" s="133">
        <f t="shared" si="11"/>
        <v>2.1745101136242313E-3</v>
      </c>
    </row>
    <row r="55" spans="13:36" x14ac:dyDescent="0.2">
      <c r="AF55" s="137">
        <f>_xll.qlCalendarAdvance(Calendar,AF54,"1d","mf",,Trigger)</f>
        <v>42353</v>
      </c>
      <c r="AG55" s="138">
        <f>_xll.qlDayCounterYearFraction(DayCounter,SettlementDate,AF55,,,Trigger)</f>
        <v>0.20547945205479451</v>
      </c>
      <c r="AH55" s="133">
        <f t="shared" si="0"/>
        <v>2.197591524917795E-3</v>
      </c>
      <c r="AI55" s="133">
        <f t="shared" si="1"/>
        <v>2.1739030394496623E-3</v>
      </c>
      <c r="AJ55" s="133">
        <f t="shared" si="11"/>
        <v>2.1736565022231029E-3</v>
      </c>
    </row>
    <row r="56" spans="13:36" x14ac:dyDescent="0.2">
      <c r="AF56" s="137">
        <f>_xll.qlCalendarAdvance(Calendar,AF55,"1d","mf",,Trigger)</f>
        <v>42354</v>
      </c>
      <c r="AG56" s="138">
        <f>_xll.qlDayCounterYearFraction(DayCounter,SettlementDate,AF56,,,Trigger)</f>
        <v>0.20821917808219179</v>
      </c>
      <c r="AH56" s="133">
        <f t="shared" si="0"/>
        <v>2.197591524917795E-3</v>
      </c>
      <c r="AI56" s="133">
        <f t="shared" si="1"/>
        <v>2.1730416399780941E-3</v>
      </c>
      <c r="AJ56" s="133">
        <f t="shared" si="11"/>
        <v>2.1728035130515709E-3</v>
      </c>
    </row>
    <row r="57" spans="13:36" x14ac:dyDescent="0.2">
      <c r="AF57" s="137">
        <f>_xll.qlCalendarAdvance(Calendar,AF56,"1d","mf",,Trigger)</f>
        <v>42355</v>
      </c>
      <c r="AG57" s="138">
        <f>_xll.qlDayCounterYearFraction(DayCounter,SettlementDate,AF57,,,Trigger)</f>
        <v>0.21095890410958903</v>
      </c>
      <c r="AH57" s="133">
        <f t="shared" si="0"/>
        <v>2.197591524917795E-3</v>
      </c>
      <c r="AI57" s="133">
        <f t="shared" si="1"/>
        <v>2.1721802405065254E-3</v>
      </c>
      <c r="AJ57" s="133">
        <f t="shared" si="11"/>
        <v>2.1719511461096353E-3</v>
      </c>
    </row>
    <row r="58" spans="13:36" x14ac:dyDescent="0.2">
      <c r="AF58" s="137">
        <f>_xll.qlCalendarAdvance(Calendar,AF57,"1d","mf",,Trigger)</f>
        <v>42356</v>
      </c>
      <c r="AG58" s="138">
        <f>_xll.qlDayCounterYearFraction(DayCounter,SettlementDate,AF58,,,Trigger)</f>
        <v>0.21369863013698631</v>
      </c>
      <c r="AH58" s="133">
        <f t="shared" si="0"/>
        <v>2.197591524917795E-3</v>
      </c>
      <c r="AI58" s="133">
        <f t="shared" si="1"/>
        <v>2.1713188410349572E-3</v>
      </c>
      <c r="AJ58" s="133">
        <f t="shared" si="11"/>
        <v>2.1710994013972962E-3</v>
      </c>
    </row>
    <row r="59" spans="13:36" x14ac:dyDescent="0.2">
      <c r="AF59" s="137">
        <f>_xll.qlCalendarAdvance(Calendar,AF58,"1d","mf",,Trigger)</f>
        <v>42359</v>
      </c>
      <c r="AG59" s="138">
        <f>_xll.qlDayCounterYearFraction(DayCounter,SettlementDate,AF59,,,Trigger)</f>
        <v>0.22191780821917809</v>
      </c>
      <c r="AH59" s="133">
        <f t="shared" si="0"/>
        <v>2.197591524917795E-3</v>
      </c>
      <c r="AI59" s="133">
        <f t="shared" si="1"/>
        <v>2.1687346426202516E-3</v>
      </c>
      <c r="AJ59" s="133">
        <f t="shared" si="11"/>
        <v>2.1685479006378562E-3</v>
      </c>
    </row>
    <row r="60" spans="13:36" x14ac:dyDescent="0.2">
      <c r="M60" s="309"/>
      <c r="AF60" s="137">
        <f>_xll.qlCalendarAdvance(Calendar,AF59,"1d","mf",,Trigger)</f>
        <v>42360</v>
      </c>
      <c r="AG60" s="138">
        <f>_xll.qlDayCounterYearFraction(DayCounter,SettlementDate,AF60,,,Trigger)</f>
        <v>0.22465753424657534</v>
      </c>
      <c r="AH60" s="133">
        <f t="shared" si="0"/>
        <v>2.197591524917795E-3</v>
      </c>
      <c r="AI60" s="133">
        <f t="shared" si="1"/>
        <v>2.1678732431486829E-3</v>
      </c>
      <c r="AJ60" s="133">
        <f t="shared" si="11"/>
        <v>2.1676986448439027E-3</v>
      </c>
    </row>
    <row r="61" spans="13:36" x14ac:dyDescent="0.2">
      <c r="M61" s="309"/>
      <c r="AF61" s="137">
        <f>_xll.qlCalendarAdvance(Calendar,AF60,"1d","mf",,Trigger)</f>
        <v>42361</v>
      </c>
      <c r="AG61" s="138">
        <f>_xll.qlDayCounterYearFraction(DayCounter,SettlementDate,AF61,,,Trigger)</f>
        <v>0.22739726027397261</v>
      </c>
      <c r="AH61" s="133">
        <f t="shared" si="0"/>
        <v>2.197591524917795E-3</v>
      </c>
      <c r="AI61" s="133">
        <f t="shared" si="1"/>
        <v>2.1670118436771147E-3</v>
      </c>
      <c r="AJ61" s="133">
        <f t="shared" si="11"/>
        <v>2.1668500112795451E-3</v>
      </c>
    </row>
    <row r="62" spans="13:36" x14ac:dyDescent="0.2">
      <c r="M62" s="309"/>
      <c r="AF62" s="137">
        <f>_xll.qlCalendarAdvance(Calendar,AF61,"1d","mf",,Trigger)</f>
        <v>42362</v>
      </c>
      <c r="AG62" s="138">
        <f>_xll.qlDayCounterYearFraction(DayCounter,SettlementDate,AF62,,,Trigger)</f>
        <v>0.23013698630136986</v>
      </c>
      <c r="AH62" s="133">
        <f t="shared" si="0"/>
        <v>2.197591524917795E-3</v>
      </c>
      <c r="AI62" s="133">
        <f t="shared" si="1"/>
        <v>2.166150444205546E-3</v>
      </c>
      <c r="AJ62" s="133">
        <f t="shared" si="11"/>
        <v>2.1660019999447844E-3</v>
      </c>
    </row>
    <row r="63" spans="13:36" x14ac:dyDescent="0.2">
      <c r="M63" s="309"/>
      <c r="AF63" s="137">
        <f>_xll.qlCalendarAdvance(Calendar,AF62,"1d","mf",,Trigger)</f>
        <v>42367</v>
      </c>
      <c r="AG63" s="138">
        <f>_xll.qlDayCounterYearFraction(DayCounter,SettlementDate,AF63,,,Trigger)</f>
        <v>0.24383561643835616</v>
      </c>
      <c r="AH63" s="133">
        <f t="shared" si="0"/>
        <v>2.197591524917795E-3</v>
      </c>
      <c r="AI63" s="133">
        <f t="shared" si="1"/>
        <v>2.1618434468477035E-3</v>
      </c>
      <c r="AJ63" s="133">
        <f t="shared" si="11"/>
        <v>2.1617712767149251E-3</v>
      </c>
    </row>
    <row r="64" spans="13:36" x14ac:dyDescent="0.2">
      <c r="M64" s="309"/>
      <c r="AF64" s="137">
        <f>_xll.qlCalendarAdvance(Calendar,AF63,"1d","mf",,Trigger)</f>
        <v>42368</v>
      </c>
      <c r="AG64" s="138">
        <f>_xll.qlDayCounterYearFraction(DayCounter,SettlementDate,AF64,,,Trigger)</f>
        <v>0.24657534246575341</v>
      </c>
      <c r="AH64" s="133">
        <f t="shared" si="0"/>
        <v>2.197591524917795E-3</v>
      </c>
      <c r="AI64" s="133">
        <f t="shared" si="1"/>
        <v>2.1609820473761352E-3</v>
      </c>
      <c r="AJ64" s="133">
        <f t="shared" si="11"/>
        <v>2.1609269987577424E-3</v>
      </c>
    </row>
    <row r="65" spans="13:36" x14ac:dyDescent="0.2">
      <c r="M65" s="309"/>
      <c r="AF65" s="305">
        <f>_xll.qlCalendarAdvance(Calendar,AF64,"1d","mf",,Trigger)</f>
        <v>42369</v>
      </c>
      <c r="AG65" s="289">
        <f>_xll.qlDayCounterYearFraction(DayCounter,SettlementDate,AF65,,,Trigger)</f>
        <v>0.24931506849315069</v>
      </c>
      <c r="AH65" s="140">
        <f t="shared" si="0"/>
        <v>2.197591524917795E-3</v>
      </c>
      <c r="AI65" s="140">
        <f t="shared" si="1"/>
        <v>2.1601206479045666E-3</v>
      </c>
      <c r="AJ65" s="140">
        <f t="shared" si="11"/>
        <v>2.1600833430301565E-3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123</v>
      </c>
      <c r="G2" s="265" t="s">
        <v>124</v>
      </c>
      <c r="H2" s="265" t="s">
        <v>122</v>
      </c>
      <c r="I2" s="265" t="s">
        <v>125</v>
      </c>
      <c r="J2" s="265" t="s">
        <v>126</v>
      </c>
      <c r="K2" s="265" t="s">
        <v>130</v>
      </c>
      <c r="L2" s="265" t="s">
        <v>131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122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42278</v>
      </c>
      <c r="E3" s="194">
        <f>_xll.qlInterestRateIndexMaturity($D$10,D3)</f>
        <v>42461</v>
      </c>
      <c r="F3" s="225">
        <f>_xll.qlYieldTSDiscount(Discounting,D3,,AllTriggers)</f>
        <v>1</v>
      </c>
      <c r="G3" s="225">
        <f>_xll.qlYieldTSDiscount(Discounting,E3,,AllTriggers)</f>
        <v>0.99070903955841838</v>
      </c>
      <c r="H3" s="227">
        <f>_xll.qlDayCounterYearFraction(DayCounter,D3,E3,,,Trigger)</f>
        <v>0.50136986301369868</v>
      </c>
      <c r="I3" s="229">
        <f>(F3/G3-1)/H3</f>
        <v>1.870493744135605E-2</v>
      </c>
      <c r="J3" s="219">
        <f>'Delta 6M'!X24</f>
        <v>1.7457654868021624E-3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0.50136986301369868</v>
      </c>
      <c r="M3" s="200">
        <f>L3-K3</f>
        <v>0.50136986301369868</v>
      </c>
      <c r="N3" s="200">
        <f>(L3^2-K3^2)/2</f>
        <v>0.1256858697691875</v>
      </c>
      <c r="O3" s="200">
        <f>(L3^3-K3^3)/3</f>
        <v>4.2010071539290074E-2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4.4110188843503845E-2</v>
      </c>
      <c r="T3" s="271">
        <f t="array" ref="T3:T5">_xll.ohFilter(N3:N7,P3:P7)</f>
        <v>0.12983674235316195</v>
      </c>
      <c r="U3" s="272">
        <f t="array" ref="U3:U5">_xll.ohFilter(M3:M7,P3:P7)</f>
        <v>0.50684931506849318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1.7803560722039694E-3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42278</v>
      </c>
      <c r="AG3" s="138">
        <f>_xll.qlDayCounterYearFraction(DayCounter,SettlementDate,AF3,,,Trigger)</f>
        <v>0</v>
      </c>
      <c r="AH3" s="132">
        <f t="shared" ref="AH3:AH34" si="0">$W$13</f>
        <v>3.5125944127267503E-3</v>
      </c>
      <c r="AI3" s="132">
        <f t="shared" ref="AI3:AI34" si="1">$W$10+$W$9*AG3</f>
        <v>3.5511181849424049E-3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42279</v>
      </c>
      <c r="E4" s="129">
        <f>_xll.qlInterestRateIndexMaturity($D$10,D4)</f>
        <v>42464</v>
      </c>
      <c r="F4" s="226">
        <f>_xll.qlYieldTSDiscount(Discounting,D4,,AllTriggers)</f>
        <v>0.99994516735706029</v>
      </c>
      <c r="G4" s="226">
        <f>_xll.qlYieldTSDiscount(Discounting,E4,,AllTriggers)</f>
        <v>0.99056902445741002</v>
      </c>
      <c r="H4" s="228">
        <f>_xll.qlDayCounterYearFraction(DayCounter,D4,E4,,,Trigger)</f>
        <v>0.50684931506849318</v>
      </c>
      <c r="I4" s="130">
        <f t="shared" ref="I4:I7" si="3">(F4/G4-1)/H4</f>
        <v>1.8675000000000368E-2</v>
      </c>
      <c r="J4" s="220">
        <f t="array" ref="J4:J7">Delta6M</f>
        <v>1.7803560722039694E-3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0.50958904109589043</v>
      </c>
      <c r="M4" s="138">
        <f>L4-K4</f>
        <v>0.50684931506849318</v>
      </c>
      <c r="N4" s="138">
        <f>(L4^2-K4^2)/2</f>
        <v>0.12983674235316195</v>
      </c>
      <c r="O4" s="138">
        <f>(L4^3-K4^3)/3</f>
        <v>4.4110188843503845E-2</v>
      </c>
      <c r="P4" s="279" t="b">
        <f>IF(D12="fixing",FALSE,TRUE)</f>
        <v>1</v>
      </c>
      <c r="R4" s="467"/>
      <c r="S4" s="270">
        <v>0.3003025780364354</v>
      </c>
      <c r="T4" s="271">
        <v>0.38117845749671608</v>
      </c>
      <c r="U4" s="272">
        <v>0.50136986301369857</v>
      </c>
      <c r="V4" s="280" t="s">
        <v>32</v>
      </c>
      <c r="W4" s="274" t="e">
        <v>#N/A</v>
      </c>
      <c r="X4" s="280" t="s">
        <v>33</v>
      </c>
      <c r="Y4" s="318">
        <v>1.7230993843942721E-3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42279</v>
      </c>
      <c r="AG4" s="138">
        <f>_xll.qlDayCounterYearFraction(DayCounter,SettlementDate,AF4,,,Trigger)</f>
        <v>2.7397260273972603E-3</v>
      </c>
      <c r="AH4" s="133">
        <f t="shared" si="0"/>
        <v>3.5125944127267503E-3</v>
      </c>
      <c r="AI4" s="133">
        <f t="shared" si="1"/>
        <v>3.5507061659882269E-3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42464</v>
      </c>
      <c r="E5" s="129">
        <f>_xll.qlInterestRateIndexMaturity($D$10,D5)</f>
        <v>42647</v>
      </c>
      <c r="F5" s="226">
        <f>_xll.qlYieldTSDiscount(Discounting,D5,,AllTriggers)</f>
        <v>0.99056902445741002</v>
      </c>
      <c r="G5" s="226">
        <f>_xll.qlYieldTSDiscount(Discounting,E5,,AllTriggers)</f>
        <v>0.98238433414625481</v>
      </c>
      <c r="H5" s="228">
        <f>_xll.qlDayCounterYearFraction(DayCounter,D5,E5,,,Trigger)</f>
        <v>0.50136986301369868</v>
      </c>
      <c r="I5" s="130">
        <f t="shared" si="3"/>
        <v>1.6617381783505126E-2</v>
      </c>
      <c r="J5" s="220">
        <v>1.7230993843942721E-3</v>
      </c>
      <c r="K5" s="138">
        <f>_xll.qlDayCounterYearFraction(DayCounter,SettlementDate,D5,,,Trigger)</f>
        <v>0.50958904109589043</v>
      </c>
      <c r="L5" s="138">
        <f>_xll.qlDayCounterYearFraction(DayCounter,SettlementDate,E5,,,Trigger)</f>
        <v>1.010958904109589</v>
      </c>
      <c r="M5" s="138">
        <f>L5-K5</f>
        <v>0.50136986301369857</v>
      </c>
      <c r="N5" s="138">
        <f>(L5^2-K5^2)/2</f>
        <v>0.38117845749671608</v>
      </c>
      <c r="O5" s="138">
        <f>(L5^3-K5^3)/3</f>
        <v>0.3003025780364354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42283</v>
      </c>
      <c r="AG5" s="138">
        <f>_xll.qlDayCounterYearFraction(DayCounter,SettlementDate,AF5,,,Trigger)</f>
        <v>1.3698630136986301E-2</v>
      </c>
      <c r="AH5" s="133">
        <f t="shared" si="0"/>
        <v>3.5125944127267503E-3</v>
      </c>
      <c r="AI5" s="133">
        <f t="shared" si="1"/>
        <v>3.5490580901715143E-3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42647</v>
      </c>
      <c r="E6" s="129">
        <f>_xll.qlInterestRateIndexMaturity($D$10,D6)</f>
        <v>42829</v>
      </c>
      <c r="F6" s="226">
        <f>_xll.qlYieldTSDiscount(Discounting,D6,,AllTriggers)</f>
        <v>0.98238433414625481</v>
      </c>
      <c r="G6" s="226">
        <f>_xll.qlYieldTSDiscount(Discounting,E6,,AllTriggers)</f>
        <v>0.97418397611291985</v>
      </c>
      <c r="H6" s="228">
        <f>_xll.qlDayCounterYearFraction(DayCounter,D6,E6,,,Trigger)</f>
        <v>0.49863013698630138</v>
      </c>
      <c r="I6" s="130">
        <f t="shared" si="3"/>
        <v>1.6881588470137963E-2</v>
      </c>
      <c r="J6" s="220">
        <v>1.9597330260882556E-3</v>
      </c>
      <c r="K6" s="138">
        <f>_xll.qlDayCounterYearFraction(DayCounter,SettlementDate,D6,,,Trigger)</f>
        <v>1.010958904109589</v>
      </c>
      <c r="L6" s="138">
        <f>_xll.qlDayCounterYearFraction(DayCounter,SettlementDate,E6,,,Trigger)</f>
        <v>1.5095890410958903</v>
      </c>
      <c r="M6" s="138">
        <f>L6-K6</f>
        <v>0.49863013698630132</v>
      </c>
      <c r="N6" s="138">
        <f>(L6^2-K6^2)/2</f>
        <v>0.62841058359917423</v>
      </c>
      <c r="O6" s="138">
        <f>(L6^3-K6^3)/3</f>
        <v>0.80230078719781728</v>
      </c>
      <c r="P6" s="279" t="b">
        <v>0</v>
      </c>
      <c r="W6" s="283"/>
      <c r="X6" s="284"/>
      <c r="Y6" s="285"/>
      <c r="AF6" s="321">
        <f>_xll.qlCalendarAdvance(Calendar,AF5,"1d","mf",,Trigger)</f>
        <v>42284</v>
      </c>
      <c r="AG6" s="138">
        <f>_xll.qlDayCounterYearFraction(DayCounter,SettlementDate,AF6,,,Trigger)</f>
        <v>1.643835616438356E-2</v>
      </c>
      <c r="AH6" s="133">
        <f t="shared" si="0"/>
        <v>3.5125944127267503E-3</v>
      </c>
      <c r="AI6" s="133">
        <f t="shared" si="1"/>
        <v>3.5486460712173362E-3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42828</v>
      </c>
      <c r="E7" s="287">
        <f>_xll.qlInterestRateIndexMaturity($D$10,D7)</f>
        <v>43011</v>
      </c>
      <c r="F7" s="312">
        <f>_xll.qlYieldTSDiscount(Discounting,D7,,AllTriggers)</f>
        <v>0.97423031646035485</v>
      </c>
      <c r="G7" s="312">
        <f>_xll.qlYieldTSDiscount(Discounting,E7,,AllTriggers)</f>
        <v>0.96546971675591831</v>
      </c>
      <c r="H7" s="313">
        <f>_xll.qlDayCounterYearFraction(DayCounter,D7,E7,,,Trigger)</f>
        <v>0.50136986301369868</v>
      </c>
      <c r="I7" s="314">
        <f t="shared" si="3"/>
        <v>1.8098265513757227E-2</v>
      </c>
      <c r="J7" s="288">
        <v>1.3624907713074026E-3</v>
      </c>
      <c r="K7" s="289">
        <f>_xll.qlDayCounterYearFraction(DayCounter,SettlementDate,D7,,,Trigger)</f>
        <v>1.5068493150684932</v>
      </c>
      <c r="L7" s="289">
        <f>_xll.qlDayCounterYearFraction(DayCounter,SettlementDate,E7,,,Trigger)</f>
        <v>2.0082191780821916</v>
      </c>
      <c r="M7" s="289">
        <f>L7-K7</f>
        <v>0.50136986301369846</v>
      </c>
      <c r="N7" s="289">
        <f>(L7^2-K7^2)/2</f>
        <v>0.88117470444736301</v>
      </c>
      <c r="O7" s="289">
        <f>(L7^3-K7^3)/3</f>
        <v>1.5591972381669688</v>
      </c>
      <c r="P7" s="290" t="b">
        <v>0</v>
      </c>
      <c r="W7" s="283"/>
      <c r="X7" s="284"/>
      <c r="Y7" s="285"/>
      <c r="AF7" s="321">
        <f>_xll.qlCalendarAdvance(Calendar,AF6,"1d","mf",,Trigger)</f>
        <v>42285</v>
      </c>
      <c r="AG7" s="138">
        <f>_xll.qlDayCounterYearFraction(DayCounter,SettlementDate,AF7,,,Trigger)</f>
        <v>1.9178082191780823E-2</v>
      </c>
      <c r="AH7" s="133">
        <f t="shared" si="0"/>
        <v>3.5125944127267503E-3</v>
      </c>
      <c r="AI7" s="133">
        <f t="shared" si="1"/>
        <v>3.5482340522631581E-3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42286</v>
      </c>
      <c r="AG8" s="138">
        <f>_xll.qlDayCounterYearFraction(DayCounter,SettlementDate,AF8,,,Trigger)</f>
        <v>2.1917808219178082E-2</v>
      </c>
      <c r="AH8" s="133">
        <f t="shared" si="0"/>
        <v>3.5125944127267503E-3</v>
      </c>
      <c r="AI8" s="133">
        <f t="shared" si="1"/>
        <v>3.5478220333089801E-3</v>
      </c>
      <c r="AJ8" s="133" t="e">
        <f t="shared" si="2"/>
        <v>#N/A</v>
      </c>
    </row>
    <row r="9" spans="1:36" ht="12" customHeight="1" x14ac:dyDescent="0.2">
      <c r="C9" s="265" t="s">
        <v>137</v>
      </c>
      <c r="D9" s="296" t="s">
        <v>37</v>
      </c>
      <c r="R9" s="464" t="s">
        <v>93</v>
      </c>
      <c r="S9" s="297"/>
      <c r="T9" s="270">
        <f t="array" ref="T9:T10">_xll.ohFilter(N3:N7,P3:P7)</f>
        <v>0.12983674235316195</v>
      </c>
      <c r="U9" s="272">
        <f t="array" ref="U9:U10">_xll.ohFilter(M3:M7,P3:P7)</f>
        <v>0.50684931506849318</v>
      </c>
      <c r="V9" s="466" t="s">
        <v>32</v>
      </c>
      <c r="W9" s="274">
        <f t="array" ref="W9:W10">MMULT(AA9:AB10,Y9:Y10)</f>
        <v>-1.5038691827501654E-4</v>
      </c>
      <c r="X9" s="466" t="s">
        <v>33</v>
      </c>
      <c r="Y9" s="318">
        <f t="array" ref="Y9:Y10">_xll.ohFilter(J3:J7,P3:P7)</f>
        <v>1.7803560722039694E-3</v>
      </c>
      <c r="AA9" s="270">
        <f t="array" ref="AA9:AB10">MINVERSE(T9:U10)</f>
        <v>-3.9137779083431248</v>
      </c>
      <c r="AB9" s="272">
        <v>3.956551437396056</v>
      </c>
      <c r="AF9" s="321">
        <f>_xll.qlCalendarAdvance(Calendar,AF8,"1d","mf",,Trigger)</f>
        <v>42289</v>
      </c>
      <c r="AG9" s="138">
        <f>_xll.qlDayCounterYearFraction(DayCounter,SettlementDate,AF9,,,Trigger)</f>
        <v>3.0136986301369864E-2</v>
      </c>
      <c r="AH9" s="133">
        <f t="shared" si="0"/>
        <v>3.5125944127267503E-3</v>
      </c>
      <c r="AI9" s="133">
        <f t="shared" si="1"/>
        <v>3.5465859764464455E-3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0.38117845749671608</v>
      </c>
      <c r="U10" s="272">
        <v>0.50136986301369857</v>
      </c>
      <c r="V10" s="466"/>
      <c r="W10" s="274">
        <v>3.5511181849424049E-3</v>
      </c>
      <c r="X10" s="466"/>
      <c r="Y10" s="318">
        <v>1.7230993843942721E-3</v>
      </c>
      <c r="AA10" s="270">
        <v>2.9755434782608692</v>
      </c>
      <c r="AB10" s="272">
        <v>-1.0135275599904965</v>
      </c>
      <c r="AF10" s="321">
        <f>_xll.qlCalendarAdvance(Calendar,AF9,"1d","mf",,Trigger)</f>
        <v>42290</v>
      </c>
      <c r="AG10" s="138">
        <f>_xll.qlDayCounterYearFraction(DayCounter,SettlementDate,AF10,,,Trigger)</f>
        <v>3.287671232876712E-2</v>
      </c>
      <c r="AH10" s="133">
        <f t="shared" si="0"/>
        <v>3.5125944127267503E-3</v>
      </c>
      <c r="AI10" s="133">
        <f t="shared" si="1"/>
        <v>3.5461739574922675E-3</v>
      </c>
      <c r="AJ10" s="133" t="e">
        <f t="shared" si="2"/>
        <v>#N/A</v>
      </c>
    </row>
    <row r="11" spans="1:36" ht="12" customHeight="1" x14ac:dyDescent="0.2">
      <c r="C11" s="265" t="s">
        <v>129</v>
      </c>
      <c r="D11" s="298" t="s">
        <v>85</v>
      </c>
      <c r="W11" s="283"/>
      <c r="X11" s="284"/>
      <c r="Y11" s="285"/>
      <c r="AF11" s="321">
        <f>_xll.qlCalendarAdvance(Calendar,AF10,"1d","mf",,Trigger)</f>
        <v>42291</v>
      </c>
      <c r="AG11" s="138">
        <f>_xll.qlDayCounterYearFraction(DayCounter,SettlementDate,AF11,,,Trigger)</f>
        <v>3.5616438356164383E-2</v>
      </c>
      <c r="AH11" s="133">
        <f t="shared" si="0"/>
        <v>3.5125944127267503E-3</v>
      </c>
      <c r="AI11" s="133">
        <f t="shared" si="1"/>
        <v>3.5457619385380894E-3</v>
      </c>
      <c r="AJ11" s="133" t="e">
        <f t="shared" si="2"/>
        <v>#N/A</v>
      </c>
    </row>
    <row r="12" spans="1:36" ht="12" customHeight="1" x14ac:dyDescent="0.2">
      <c r="C12" s="265" t="s">
        <v>128</v>
      </c>
      <c r="D12" s="296" t="s">
        <v>133</v>
      </c>
      <c r="Q12" s="309"/>
      <c r="W12" s="267" t="s">
        <v>30</v>
      </c>
      <c r="X12" s="284"/>
      <c r="Y12" s="285"/>
      <c r="AF12" s="321">
        <f>_xll.qlCalendarAdvance(Calendar,AF11,"1d","mf",,Trigger)</f>
        <v>42292</v>
      </c>
      <c r="AG12" s="138">
        <f>_xll.qlDayCounterYearFraction(DayCounter,SettlementDate,AF12,,,Trigger)</f>
        <v>3.8356164383561646E-2</v>
      </c>
      <c r="AH12" s="133">
        <f t="shared" si="0"/>
        <v>3.5125944127267503E-3</v>
      </c>
      <c r="AI12" s="133">
        <f t="shared" si="1"/>
        <v>3.5453499195839113E-3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0.50684931506849318</v>
      </c>
      <c r="V13" s="300" t="s">
        <v>32</v>
      </c>
      <c r="W13" s="274">
        <f>MMULT(AA13,Y13)</f>
        <v>3.5125944127267503E-3</v>
      </c>
      <c r="X13" s="300" t="s">
        <v>33</v>
      </c>
      <c r="Y13" s="318">
        <f t="array" ref="Y13">_xll.ohFilter(J3:J7,P3:P7)</f>
        <v>1.7803560722039694E-3</v>
      </c>
      <c r="AA13" s="301">
        <f>MINVERSE(U13)</f>
        <v>1.9729729729729728</v>
      </c>
      <c r="AF13" s="321">
        <f>_xll.qlCalendarAdvance(Calendar,AF12,"1d","mf",,Trigger)</f>
        <v>42293</v>
      </c>
      <c r="AG13" s="138">
        <f>_xll.qlDayCounterYearFraction(DayCounter,SettlementDate,AF13,,,Trigger)</f>
        <v>4.1095890410958902E-2</v>
      </c>
      <c r="AH13" s="133">
        <f t="shared" si="0"/>
        <v>3.5125944127267503E-3</v>
      </c>
      <c r="AI13" s="133">
        <f t="shared" si="1"/>
        <v>3.5449379006297329E-3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122</v>
      </c>
      <c r="K14" s="266" t="s">
        <v>123</v>
      </c>
      <c r="L14" s="266" t="s">
        <v>124</v>
      </c>
      <c r="M14" s="266" t="s">
        <v>125</v>
      </c>
      <c r="N14" s="302" t="s">
        <v>94</v>
      </c>
      <c r="O14" s="302" t="s">
        <v>93</v>
      </c>
      <c r="P14" s="302" t="s">
        <v>116</v>
      </c>
      <c r="Q14" s="309"/>
      <c r="AF14" s="321">
        <f>_xll.qlCalendarAdvance(Calendar,AF13,"1d","mf",,Trigger)</f>
        <v>42296</v>
      </c>
      <c r="AG14" s="138">
        <f>_xll.qlDayCounterYearFraction(DayCounter,SettlementDate,AF14,,,Trigger)</f>
        <v>4.9315068493150684E-2</v>
      </c>
      <c r="AH14" s="133">
        <f t="shared" si="0"/>
        <v>3.5125944127267503E-3</v>
      </c>
      <c r="AI14" s="133">
        <f t="shared" si="1"/>
        <v>3.5437018437671987E-3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42278</v>
      </c>
      <c r="E15" s="136">
        <f>_xll.qlCalendarAdvance(Calendar,SettlementDate,C15,"Following",,Trigger)</f>
        <v>42279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0.99994516735706029</v>
      </c>
      <c r="M15" s="322">
        <f>(K15/L15-1)/J15</f>
        <v>2.0015012149047218E-2</v>
      </c>
      <c r="N15" s="132">
        <f t="shared" ref="N15:N24" si="6">((1+M15*J15)*EXP($W$13*J15)-1)/J15</f>
        <v>2.3527816079955688E-2</v>
      </c>
      <c r="O15" s="132">
        <f>((1+J15*M15)*EXP($W$10*J15+0.5*$W$9*J15^2)-1)/J15</f>
        <v>2.3566136314606689E-2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42297</v>
      </c>
      <c r="AG15" s="138">
        <f>_xll.qlDayCounterYearFraction(DayCounter,SettlementDate,AF15,,,Trigger)</f>
        <v>5.2054794520547946E-2</v>
      </c>
      <c r="AH15" s="133">
        <f t="shared" si="0"/>
        <v>3.5125944127267503E-3</v>
      </c>
      <c r="AI15" s="133">
        <f t="shared" si="1"/>
        <v>3.5432898248130206E-3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42278</v>
      </c>
      <c r="E16" s="137">
        <f>_xll.qlCalendarAdvance(Calendar,SettlementDate,C16,"Following",,Trigger)</f>
        <v>42285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0.99961646849008545</v>
      </c>
      <c r="M16" s="323">
        <f t="shared" ref="M16:M24" si="7">(K16/L16-1)/J16</f>
        <v>2.0006101701648245E-2</v>
      </c>
      <c r="N16" s="133">
        <f t="shared" si="6"/>
        <v>2.3520162182604061E-2</v>
      </c>
      <c r="O16" s="133">
        <f t="shared" ref="O16:O24" si="8">((1+J16*M16)*EXP($W$10*J16+0.5*$W$9*J16^2)-1)/J16</f>
        <v>2.3557260628177534E-2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42298</v>
      </c>
      <c r="AG16" s="138">
        <f>_xll.qlDayCounterYearFraction(DayCounter,SettlementDate,AF16,,,Trigger)</f>
        <v>5.4794520547945202E-2</v>
      </c>
      <c r="AH16" s="133">
        <f t="shared" si="0"/>
        <v>3.5125944127267503E-3</v>
      </c>
      <c r="AI16" s="133">
        <f t="shared" si="1"/>
        <v>3.5428778058588426E-3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42278</v>
      </c>
      <c r="E17" s="137">
        <f>_xll.qlCalendarAdvance(Calendar,SettlementDate,C17,"Following",,Trigger)</f>
        <v>42292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0.99923440028291222</v>
      </c>
      <c r="M17" s="323">
        <f t="shared" si="7"/>
        <v>1.9975571630349496E-2</v>
      </c>
      <c r="N17" s="133">
        <f t="shared" si="6"/>
        <v>2.3491094162064897E-2</v>
      </c>
      <c r="O17" s="133">
        <f t="shared" si="8"/>
        <v>2.3526765938304193E-2</v>
      </c>
      <c r="P17" s="133" t="e">
        <f t="shared" si="9"/>
        <v>#N/A</v>
      </c>
      <c r="Q17" s="309"/>
      <c r="AF17" s="321">
        <f>_xll.qlCalendarAdvance(Calendar,AF16,"1d","mf",,Trigger)</f>
        <v>42299</v>
      </c>
      <c r="AG17" s="138">
        <f>_xll.qlDayCounterYearFraction(DayCounter,SettlementDate,AF17,,,Trigger)</f>
        <v>5.7534246575342465E-2</v>
      </c>
      <c r="AH17" s="133">
        <f t="shared" si="0"/>
        <v>3.5125944127267503E-3</v>
      </c>
      <c r="AI17" s="133">
        <f t="shared" si="1"/>
        <v>3.5424657869046641E-3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42278</v>
      </c>
      <c r="E18" s="137">
        <f>_xll.qlCalendarAdvance(Calendar,SettlementDate,C18,"Following",,Trigger)</f>
        <v>42299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0.99885439625104611</v>
      </c>
      <c r="M18" s="323">
        <f t="shared" si="7"/>
        <v>1.9934521270307259E-2</v>
      </c>
      <c r="N18" s="133">
        <f t="shared" si="6"/>
        <v>2.3451499708586517E-2</v>
      </c>
      <c r="O18" s="133">
        <f t="shared" si="8"/>
        <v>2.3485743457036325E-2</v>
      </c>
      <c r="P18" s="133" t="e">
        <f t="shared" si="9"/>
        <v>#N/A</v>
      </c>
      <c r="Q18" s="309"/>
      <c r="AF18" s="321">
        <f>_xll.qlCalendarAdvance(Calendar,AF17,"1d","mf",,Trigger)</f>
        <v>42300</v>
      </c>
      <c r="AG18" s="138">
        <f>_xll.qlDayCounterYearFraction(DayCounter,SettlementDate,AF18,,,Trigger)</f>
        <v>6.0273972602739728E-2</v>
      </c>
      <c r="AH18" s="133">
        <f t="shared" si="0"/>
        <v>3.5125944127267503E-3</v>
      </c>
      <c r="AI18" s="133">
        <f t="shared" si="1"/>
        <v>3.5420537679504861E-3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42278</v>
      </c>
      <c r="E19" s="137">
        <f>_xll.qlCalendarAdvance(Calendar,SettlementDate,C19,"mf",TRUE,Trigger)</f>
        <v>42310</v>
      </c>
      <c r="F19" s="281"/>
      <c r="G19" s="281"/>
      <c r="H19" s="281"/>
      <c r="I19" s="28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199">
        <f>_xll.qlYieldTSDiscount(Discounting,E19,,AllTriggers)</f>
        <v>0.9982622066752449</v>
      </c>
      <c r="M19" s="323">
        <f t="shared" si="7"/>
        <v>1.9856211101595689E-2</v>
      </c>
      <c r="N19" s="133">
        <f t="shared" si="6"/>
        <v>2.3375462158682671E-2</v>
      </c>
      <c r="O19" s="133">
        <f t="shared" si="8"/>
        <v>2.3407459111352974E-2</v>
      </c>
      <c r="P19" s="133" t="e">
        <f t="shared" si="9"/>
        <v>#N/A</v>
      </c>
      <c r="Q19" s="309"/>
      <c r="AF19" s="321">
        <f>_xll.qlCalendarAdvance(Calendar,AF18,"1d","mf",,Trigger)</f>
        <v>42303</v>
      </c>
      <c r="AG19" s="138">
        <f>_xll.qlDayCounterYearFraction(DayCounter,SettlementDate,AF19,,,Trigger)</f>
        <v>6.8493150684931503E-2</v>
      </c>
      <c r="AH19" s="133">
        <f t="shared" si="0"/>
        <v>3.5125944127267503E-3</v>
      </c>
      <c r="AI19" s="133">
        <f t="shared" si="1"/>
        <v>3.5408177110879519E-3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42278</v>
      </c>
      <c r="E20" s="137">
        <f>_xll.qlCalendarAdvance(Calendar,SettlementDate,C20,"mf",TRUE,Trigger)</f>
        <v>42339</v>
      </c>
      <c r="F20" s="281"/>
      <c r="G20" s="281"/>
      <c r="H20" s="281"/>
      <c r="I20" s="28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199">
        <f>_xll.qlYieldTSDiscount(Discounting,E20,,AllTriggers)</f>
        <v>0.99673620604569801</v>
      </c>
      <c r="M20" s="323">
        <f t="shared" si="7"/>
        <v>1.9593207097759385E-2</v>
      </c>
      <c r="N20" s="133">
        <f t="shared" si="6"/>
        <v>2.3118338023526131E-2</v>
      </c>
      <c r="O20" s="133">
        <f t="shared" si="8"/>
        <v>2.3144395562703726E-2</v>
      </c>
      <c r="P20" s="133" t="e">
        <f t="shared" si="9"/>
        <v>#N/A</v>
      </c>
      <c r="Q20" s="309"/>
      <c r="AF20" s="321">
        <f>_xll.qlCalendarAdvance(Calendar,AF19,"1d","mf",,Trigger)</f>
        <v>42304</v>
      </c>
      <c r="AG20" s="138">
        <f>_xll.qlDayCounterYearFraction(DayCounter,SettlementDate,AF20,,,Trigger)</f>
        <v>7.1232876712328766E-2</v>
      </c>
      <c r="AH20" s="133">
        <f t="shared" si="0"/>
        <v>3.5125944127267503E-3</v>
      </c>
      <c r="AI20" s="133">
        <f t="shared" si="1"/>
        <v>3.5404056921337738E-3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42278</v>
      </c>
      <c r="E21" s="137">
        <f>_xll.qlCalendarAdvance(Calendar,SettlementDate,C21,"mf",TRUE,Trigger)</f>
        <v>42373</v>
      </c>
      <c r="F21" s="281"/>
      <c r="G21" s="281"/>
      <c r="H21" s="281"/>
      <c r="I21" s="281"/>
      <c r="J21" s="138">
        <f>_xll.qlDayCounterYearFraction(DayCounter,D21,E21,,,Trigger)</f>
        <v>0.26027397260273971</v>
      </c>
      <c r="K21" s="199">
        <f>_xll.qlYieldTSDiscount(Discounting,D21,,AllTriggers)</f>
        <v>1</v>
      </c>
      <c r="L21" s="199">
        <f>_xll.qlYieldTSDiscount(Discounting,E21,,AllTriggers)</f>
        <v>0.9950021601872524</v>
      </c>
      <c r="M21" s="323">
        <f t="shared" si="7"/>
        <v>1.9298678351978453E-2</v>
      </c>
      <c r="N21" s="133">
        <f t="shared" si="6"/>
        <v>2.2830530557421132E-2</v>
      </c>
      <c r="O21" s="133">
        <f t="shared" si="8"/>
        <v>2.2849596097957746E-2</v>
      </c>
      <c r="P21" s="133" t="e">
        <f t="shared" si="9"/>
        <v>#N/A</v>
      </c>
      <c r="Q21" s="309"/>
      <c r="AF21" s="321">
        <f>_xll.qlCalendarAdvance(Calendar,AF20,"1d","mf",,Trigger)</f>
        <v>42305</v>
      </c>
      <c r="AG21" s="138">
        <f>_xll.qlDayCounterYearFraction(DayCounter,SettlementDate,AF21,,,Trigger)</f>
        <v>7.3972602739726029E-2</v>
      </c>
      <c r="AH21" s="133">
        <f t="shared" si="0"/>
        <v>3.5125944127267503E-3</v>
      </c>
      <c r="AI21" s="133">
        <f t="shared" si="1"/>
        <v>3.5399936731795954E-3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42278</v>
      </c>
      <c r="E22" s="137">
        <f>_xll.qlCalendarAdvance(Calendar,SettlementDate,C22,"mf",TRUE,Trigger)</f>
        <v>42401</v>
      </c>
      <c r="F22" s="281"/>
      <c r="G22" s="281"/>
      <c r="H22" s="281"/>
      <c r="I22" s="281"/>
      <c r="J22" s="138">
        <f>_xll.qlDayCounterYearFraction(DayCounter,D22,E22,,,Trigger)</f>
        <v>0.33698630136986302</v>
      </c>
      <c r="K22" s="199">
        <f>_xll.qlYieldTSDiscount(Discounting,D22,,AllTriggers)</f>
        <v>1</v>
      </c>
      <c r="L22" s="199">
        <f>_xll.qlYieldTSDiscount(Discounting,E22,,AllTriggers)</f>
        <v>0.99358338750065867</v>
      </c>
      <c r="M22" s="323">
        <f t="shared" si="7"/>
        <v>1.9164136007486732E-2</v>
      </c>
      <c r="N22" s="133">
        <f t="shared" si="6"/>
        <v>2.2701508109097619E-2</v>
      </c>
      <c r="O22" s="133">
        <f t="shared" si="8"/>
        <v>2.2714793608667367E-2</v>
      </c>
      <c r="P22" s="133" t="e">
        <f t="shared" si="9"/>
        <v>#N/A</v>
      </c>
      <c r="Q22" s="309"/>
      <c r="AF22" s="321">
        <f>_xll.qlCalendarAdvance(Calendar,AF21,"1d","mf",,Trigger)</f>
        <v>42306</v>
      </c>
      <c r="AG22" s="138">
        <f>_xll.qlDayCounterYearFraction(DayCounter,SettlementDate,AF22,,,Trigger)</f>
        <v>7.6712328767123292E-2</v>
      </c>
      <c r="AH22" s="133">
        <f t="shared" si="0"/>
        <v>3.5125944127267503E-3</v>
      </c>
      <c r="AI22" s="133">
        <f t="shared" si="1"/>
        <v>3.5395816542254173E-3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42278</v>
      </c>
      <c r="E23" s="137">
        <f>_xll.qlCalendarAdvance(Calendar,SettlementDate,C23,"mf",TRUE,Trigger)</f>
        <v>42430</v>
      </c>
      <c r="F23" s="281"/>
      <c r="G23" s="281"/>
      <c r="H23" s="281"/>
      <c r="I23" s="281"/>
      <c r="J23" s="138">
        <f>_xll.qlDayCounterYearFraction(DayCounter,D23,E23,,,Trigger)</f>
        <v>0.41643835616438357</v>
      </c>
      <c r="K23" s="199">
        <f>_xll.qlYieldTSDiscount(Discounting,D23,,AllTriggers)</f>
        <v>1</v>
      </c>
      <c r="L23" s="199">
        <f>_xll.qlYieldTSDiscount(Discounting,E23,,AllTriggers)</f>
        <v>0.99217386063315971</v>
      </c>
      <c r="M23" s="323">
        <f t="shared" si="7"/>
        <v>1.8941269043534888E-2</v>
      </c>
      <c r="N23" s="133">
        <f t="shared" si="6"/>
        <v>2.2484160949950639E-2</v>
      </c>
      <c r="O23" s="133">
        <f t="shared" si="8"/>
        <v>2.2491438804836502E-2</v>
      </c>
      <c r="P23" s="133" t="e">
        <f t="shared" si="9"/>
        <v>#N/A</v>
      </c>
      <c r="Q23" s="309"/>
      <c r="AF23" s="321">
        <f>_xll.qlCalendarAdvance(Calendar,AF22,"1d","mf",,Trigger)</f>
        <v>42307</v>
      </c>
      <c r="AG23" s="138">
        <f>_xll.qlDayCounterYearFraction(DayCounter,SettlementDate,AF23,,,Trigger)</f>
        <v>7.9452054794520555E-2</v>
      </c>
      <c r="AH23" s="133">
        <f t="shared" si="0"/>
        <v>3.5125944127267503E-3</v>
      </c>
      <c r="AI23" s="133">
        <f t="shared" si="1"/>
        <v>3.5391696352712393E-3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42278</v>
      </c>
      <c r="E24" s="305">
        <f>_xll.qlCalendarAdvance(Calendar,SettlementDate,C24,"mf",TRUE,Trigger)</f>
        <v>42461</v>
      </c>
      <c r="F24" s="324"/>
      <c r="G24" s="324"/>
      <c r="H24" s="324"/>
      <c r="I24" s="324"/>
      <c r="J24" s="289">
        <f>_xll.qlDayCounterYearFraction(DayCounter,D24,E24,,,Trigger)</f>
        <v>0.50136986301369868</v>
      </c>
      <c r="K24" s="306">
        <f>_xll.qlYieldTSDiscount(Discounting,D24,,AllTriggers)</f>
        <v>1</v>
      </c>
      <c r="L24" s="306">
        <f>_xll.qlYieldTSDiscount(Discounting,E24,,AllTriggers)</f>
        <v>0.99070903955841838</v>
      </c>
      <c r="M24" s="325">
        <f t="shared" si="7"/>
        <v>1.870493744135605E-2</v>
      </c>
      <c r="N24" s="140">
        <f t="shared" si="6"/>
        <v>2.2253597158436847E-2</v>
      </c>
      <c r="O24" s="140">
        <f t="shared" si="8"/>
        <v>2.225443039054107E-2</v>
      </c>
      <c r="P24" s="140" t="e">
        <f t="shared" si="9"/>
        <v>#N/A</v>
      </c>
      <c r="AF24" s="321">
        <f>_xll.qlCalendarAdvance(Calendar,AF23,"1d","mf",,Trigger)</f>
        <v>42310</v>
      </c>
      <c r="AG24" s="138">
        <f>_xll.qlDayCounterYearFraction(DayCounter,SettlementDate,AF24,,,Trigger)</f>
        <v>8.7671232876712329E-2</v>
      </c>
      <c r="AH24" s="133">
        <f t="shared" si="0"/>
        <v>3.5125944127267503E-3</v>
      </c>
      <c r="AI24" s="133">
        <f t="shared" si="1"/>
        <v>3.5379335784087047E-3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42311</v>
      </c>
      <c r="AG25" s="138">
        <f>_xll.qlDayCounterYearFraction(DayCounter,SettlementDate,AF25,,,Trigger)</f>
        <v>9.0410958904109592E-2</v>
      </c>
      <c r="AH25" s="133">
        <f t="shared" si="0"/>
        <v>3.5125944127267503E-3</v>
      </c>
      <c r="AI25" s="133">
        <f t="shared" si="1"/>
        <v>3.5375215594545266E-3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42312</v>
      </c>
      <c r="AG26" s="138">
        <f>_xll.qlDayCounterYearFraction(DayCounter,SettlementDate,AF26,,,Trigger)</f>
        <v>9.3150684931506855E-2</v>
      </c>
      <c r="AH26" s="133">
        <f t="shared" si="0"/>
        <v>3.5125944127267503E-3</v>
      </c>
      <c r="AI26" s="133">
        <f t="shared" si="1"/>
        <v>3.5371095405003486E-3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42313</v>
      </c>
      <c r="AG27" s="138">
        <f>_xll.qlDayCounterYearFraction(DayCounter,SettlementDate,AF27,,,Trigger)</f>
        <v>9.5890410958904104E-2</v>
      </c>
      <c r="AH27" s="133">
        <f t="shared" si="0"/>
        <v>3.5125944127267503E-3</v>
      </c>
      <c r="AI27" s="133">
        <f t="shared" si="1"/>
        <v>3.5366975215461705E-3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2.3566136314606689E-2</v>
      </c>
      <c r="AF28" s="321">
        <f>_xll.qlCalendarAdvance(Calendar,AF27,"1d","mf",,Trigger)</f>
        <v>42314</v>
      </c>
      <c r="AG28" s="138">
        <f>_xll.qlDayCounterYearFraction(DayCounter,SettlementDate,AF28,,,Trigger)</f>
        <v>9.8630136986301367E-2</v>
      </c>
      <c r="AH28" s="133">
        <f t="shared" si="0"/>
        <v>3.5125944127267503E-3</v>
      </c>
      <c r="AI28" s="133">
        <f t="shared" si="1"/>
        <v>3.5362855025919925E-3</v>
      </c>
      <c r="AJ28" s="133" t="e">
        <f t="shared" si="2"/>
        <v>#N/A</v>
      </c>
    </row>
    <row r="29" spans="3:36" ht="12" customHeight="1" x14ac:dyDescent="0.2">
      <c r="C29" s="133">
        <f t="shared" si="10"/>
        <v>2.3557260628177534E-2</v>
      </c>
      <c r="AF29" s="321">
        <f>_xll.qlCalendarAdvance(Calendar,AF28,"1d","mf",,Trigger)</f>
        <v>42317</v>
      </c>
      <c r="AG29" s="138">
        <f>_xll.qlDayCounterYearFraction(DayCounter,SettlementDate,AF29,,,Trigger)</f>
        <v>0.10684931506849316</v>
      </c>
      <c r="AH29" s="133">
        <f t="shared" si="0"/>
        <v>3.5125944127267503E-3</v>
      </c>
      <c r="AI29" s="133">
        <f t="shared" si="1"/>
        <v>3.5350494457294579E-3</v>
      </c>
      <c r="AJ29" s="133" t="e">
        <f t="shared" si="2"/>
        <v>#N/A</v>
      </c>
    </row>
    <row r="30" spans="3:36" ht="12" customHeight="1" x14ac:dyDescent="0.2">
      <c r="C30" s="133">
        <f t="shared" si="10"/>
        <v>2.3526765938304193E-2</v>
      </c>
      <c r="AF30" s="321">
        <f>_xll.qlCalendarAdvance(Calendar,AF29,"1d","mf",,Trigger)</f>
        <v>42318</v>
      </c>
      <c r="AG30" s="138">
        <f>_xll.qlDayCounterYearFraction(DayCounter,SettlementDate,AF30,,,Trigger)</f>
        <v>0.1095890410958904</v>
      </c>
      <c r="AH30" s="133">
        <f t="shared" si="0"/>
        <v>3.5125944127267503E-3</v>
      </c>
      <c r="AI30" s="133">
        <f t="shared" si="1"/>
        <v>3.5346374267752798E-3</v>
      </c>
      <c r="AJ30" s="133" t="e">
        <f t="shared" si="2"/>
        <v>#N/A</v>
      </c>
    </row>
    <row r="31" spans="3:36" ht="12" customHeight="1" x14ac:dyDescent="0.2">
      <c r="C31" s="133">
        <f t="shared" si="10"/>
        <v>2.3485743457036325E-2</v>
      </c>
      <c r="AF31" s="321">
        <f>_xll.qlCalendarAdvance(Calendar,AF30,"1d","mf",,Trigger)</f>
        <v>42319</v>
      </c>
      <c r="AG31" s="138">
        <f>_xll.qlDayCounterYearFraction(DayCounter,SettlementDate,AF31,,,Trigger)</f>
        <v>0.11232876712328767</v>
      </c>
      <c r="AH31" s="133">
        <f t="shared" si="0"/>
        <v>3.5125944127267503E-3</v>
      </c>
      <c r="AI31" s="133">
        <f t="shared" si="1"/>
        <v>3.5342254078211018E-3</v>
      </c>
      <c r="AJ31" s="133" t="e">
        <f t="shared" si="2"/>
        <v>#N/A</v>
      </c>
    </row>
    <row r="32" spans="3:36" ht="12" customHeight="1" x14ac:dyDescent="0.2">
      <c r="C32" s="133">
        <f t="shared" si="10"/>
        <v>2.3407459111352974E-2</v>
      </c>
      <c r="AF32" s="321">
        <f>_xll.qlCalendarAdvance(Calendar,AF31,"1d","mf",,Trigger)</f>
        <v>42320</v>
      </c>
      <c r="AG32" s="138">
        <f>_xll.qlDayCounterYearFraction(DayCounter,SettlementDate,AF32,,,Trigger)</f>
        <v>0.11506849315068493</v>
      </c>
      <c r="AH32" s="133">
        <f t="shared" si="0"/>
        <v>3.5125944127267503E-3</v>
      </c>
      <c r="AI32" s="133">
        <f t="shared" si="1"/>
        <v>3.5338133888669237E-3</v>
      </c>
      <c r="AJ32" s="133" t="e">
        <f t="shared" si="2"/>
        <v>#N/A</v>
      </c>
    </row>
    <row r="33" spans="3:36" ht="12" customHeight="1" x14ac:dyDescent="0.2">
      <c r="C33" s="133">
        <f t="shared" si="10"/>
        <v>2.3144395562703726E-2</v>
      </c>
      <c r="AF33" s="321">
        <f>_xll.qlCalendarAdvance(Calendar,AF32,"1d","mf",,Trigger)</f>
        <v>42321</v>
      </c>
      <c r="AG33" s="138">
        <f>_xll.qlDayCounterYearFraction(DayCounter,SettlementDate,AF33,,,Trigger)</f>
        <v>0.11780821917808219</v>
      </c>
      <c r="AH33" s="133">
        <f t="shared" si="0"/>
        <v>3.5125944127267503E-3</v>
      </c>
      <c r="AI33" s="133">
        <f t="shared" si="1"/>
        <v>3.5334013699127457E-3</v>
      </c>
      <c r="AJ33" s="133" t="e">
        <f t="shared" si="2"/>
        <v>#N/A</v>
      </c>
    </row>
    <row r="34" spans="3:36" ht="12" customHeight="1" x14ac:dyDescent="0.2">
      <c r="C34" s="133">
        <f t="shared" si="10"/>
        <v>2.2849596097957746E-2</v>
      </c>
      <c r="AF34" s="321">
        <f>_xll.qlCalendarAdvance(Calendar,AF33,"1d","mf",,Trigger)</f>
        <v>42324</v>
      </c>
      <c r="AG34" s="138">
        <f>_xll.qlDayCounterYearFraction(DayCounter,SettlementDate,AF34,,,Trigger)</f>
        <v>0.12602739726027398</v>
      </c>
      <c r="AH34" s="133">
        <f t="shared" si="0"/>
        <v>3.5125944127267503E-3</v>
      </c>
      <c r="AI34" s="133">
        <f t="shared" si="1"/>
        <v>3.5321653130502111E-3</v>
      </c>
      <c r="AJ34" s="133" t="e">
        <f t="shared" si="2"/>
        <v>#N/A</v>
      </c>
    </row>
    <row r="35" spans="3:36" ht="12" customHeight="1" x14ac:dyDescent="0.2">
      <c r="C35" s="133">
        <f t="shared" si="10"/>
        <v>2.2714793608667367E-2</v>
      </c>
      <c r="AF35" s="321">
        <f>_xll.qlCalendarAdvance(Calendar,AF34,"1d","mf",,Trigger)</f>
        <v>42325</v>
      </c>
      <c r="AG35" s="138">
        <f>_xll.qlDayCounterYearFraction(DayCounter,SettlementDate,AF35,,,Trigger)</f>
        <v>0.12876712328767123</v>
      </c>
      <c r="AH35" s="133">
        <f t="shared" ref="AH35:AH66" si="11">$W$13</f>
        <v>3.5125944127267503E-3</v>
      </c>
      <c r="AI35" s="133">
        <f t="shared" ref="AI35:AI66" si="12">$W$10+$W$9*AG35</f>
        <v>3.531753294096033E-3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2.2491438804836502E-2</v>
      </c>
      <c r="AF36" s="321">
        <f>_xll.qlCalendarAdvance(Calendar,AF35,"1d","mf",,Trigger)</f>
        <v>42326</v>
      </c>
      <c r="AG36" s="138">
        <f>_xll.qlDayCounterYearFraction(DayCounter,SettlementDate,AF36,,,Trigger)</f>
        <v>0.13150684931506848</v>
      </c>
      <c r="AH36" s="133">
        <f t="shared" si="11"/>
        <v>3.5125944127267503E-3</v>
      </c>
      <c r="AI36" s="133">
        <f t="shared" si="12"/>
        <v>3.531341275141855E-3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2.225443039054107E-2</v>
      </c>
      <c r="AF37" s="321">
        <f>_xll.qlCalendarAdvance(Calendar,AF36,"1d","mf",,Trigger)</f>
        <v>42327</v>
      </c>
      <c r="AG37" s="138">
        <f>_xll.qlDayCounterYearFraction(DayCounter,SettlementDate,AF37,,,Trigger)</f>
        <v>0.13424657534246576</v>
      </c>
      <c r="AH37" s="133">
        <f t="shared" si="11"/>
        <v>3.5125944127267503E-3</v>
      </c>
      <c r="AI37" s="133">
        <f t="shared" si="12"/>
        <v>3.5309292561876769E-3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42328</v>
      </c>
      <c r="AG38" s="138">
        <f>_xll.qlDayCounterYearFraction(DayCounter,SettlementDate,AF38,,,Trigger)</f>
        <v>0.13698630136986301</v>
      </c>
      <c r="AH38" s="133">
        <f t="shared" si="11"/>
        <v>3.5125944127267503E-3</v>
      </c>
      <c r="AI38" s="133">
        <f t="shared" si="12"/>
        <v>3.5305172372334984E-3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42331</v>
      </c>
      <c r="AG39" s="138">
        <f>_xll.qlDayCounterYearFraction(DayCounter,SettlementDate,AF39,,,Trigger)</f>
        <v>0.14520547945205478</v>
      </c>
      <c r="AH39" s="133">
        <f t="shared" si="11"/>
        <v>3.5125944127267503E-3</v>
      </c>
      <c r="AI39" s="133">
        <f t="shared" si="12"/>
        <v>3.5292811803709643E-3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42332</v>
      </c>
      <c r="AG40" s="138">
        <f>_xll.qlDayCounterYearFraction(DayCounter,SettlementDate,AF40,,,Trigger)</f>
        <v>0.14794520547945206</v>
      </c>
      <c r="AH40" s="133">
        <f t="shared" si="11"/>
        <v>3.5125944127267503E-3</v>
      </c>
      <c r="AI40" s="133">
        <f t="shared" si="12"/>
        <v>3.5288691614167862E-3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42333</v>
      </c>
      <c r="AG41" s="138">
        <f>_xll.qlDayCounterYearFraction(DayCounter,SettlementDate,AF41,,,Trigger)</f>
        <v>0.15068493150684931</v>
      </c>
      <c r="AH41" s="133">
        <f t="shared" si="11"/>
        <v>3.5125944127267503E-3</v>
      </c>
      <c r="AI41" s="133">
        <f t="shared" si="12"/>
        <v>3.5284571424626082E-3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42334</v>
      </c>
      <c r="AG42" s="138">
        <f>_xll.qlDayCounterYearFraction(DayCounter,SettlementDate,AF42,,,Trigger)</f>
        <v>0.15342465753424658</v>
      </c>
      <c r="AH42" s="133">
        <f t="shared" si="11"/>
        <v>3.5125944127267503E-3</v>
      </c>
      <c r="AI42" s="133">
        <f t="shared" si="12"/>
        <v>3.5280451235084297E-3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42335</v>
      </c>
      <c r="AG43" s="138">
        <f>_xll.qlDayCounterYearFraction(DayCounter,SettlementDate,AF43,,,Trigger)</f>
        <v>0.15616438356164383</v>
      </c>
      <c r="AH43" s="133">
        <f t="shared" si="11"/>
        <v>3.5125944127267503E-3</v>
      </c>
      <c r="AI43" s="133">
        <f t="shared" si="12"/>
        <v>3.5276331045542516E-3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42338</v>
      </c>
      <c r="AG44" s="138">
        <f>_xll.qlDayCounterYearFraction(DayCounter,SettlementDate,AF44,,,Trigger)</f>
        <v>0.16438356164383561</v>
      </c>
      <c r="AH44" s="133">
        <f t="shared" si="11"/>
        <v>3.5125944127267503E-3</v>
      </c>
      <c r="AI44" s="133">
        <f t="shared" si="12"/>
        <v>3.5263970476917175E-3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42339</v>
      </c>
      <c r="AG45" s="138">
        <f>_xll.qlDayCounterYearFraction(DayCounter,SettlementDate,AF45,,,Trigger)</f>
        <v>0.16712328767123288</v>
      </c>
      <c r="AH45" s="133">
        <f t="shared" si="11"/>
        <v>3.5125944127267503E-3</v>
      </c>
      <c r="AI45" s="133">
        <f t="shared" si="12"/>
        <v>3.525985028737539E-3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42340</v>
      </c>
      <c r="AG46" s="138">
        <f>_xll.qlDayCounterYearFraction(DayCounter,SettlementDate,AF46,,,Trigger)</f>
        <v>0.16986301369863013</v>
      </c>
      <c r="AH46" s="133">
        <f t="shared" si="11"/>
        <v>3.5125944127267503E-3</v>
      </c>
      <c r="AI46" s="133">
        <f t="shared" si="12"/>
        <v>3.5255730097833609E-3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42341</v>
      </c>
      <c r="AG47" s="138">
        <f>_xll.qlDayCounterYearFraction(DayCounter,SettlementDate,AF47,,,Trigger)</f>
        <v>0.17260273972602741</v>
      </c>
      <c r="AH47" s="133">
        <f t="shared" si="11"/>
        <v>3.5125944127267503E-3</v>
      </c>
      <c r="AI47" s="133">
        <f t="shared" si="12"/>
        <v>3.5251609908291829E-3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42342</v>
      </c>
      <c r="AG48" s="138">
        <f>_xll.qlDayCounterYearFraction(DayCounter,SettlementDate,AF48,,,Trigger)</f>
        <v>0.17534246575342466</v>
      </c>
      <c r="AH48" s="133">
        <f t="shared" si="11"/>
        <v>3.5125944127267503E-3</v>
      </c>
      <c r="AI48" s="133">
        <f t="shared" si="12"/>
        <v>3.5247489718750048E-3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42345</v>
      </c>
      <c r="AG49" s="138">
        <f>_xll.qlDayCounterYearFraction(DayCounter,SettlementDate,AF49,,,Trigger)</f>
        <v>0.18356164383561643</v>
      </c>
      <c r="AH49" s="133">
        <f t="shared" si="11"/>
        <v>3.5125944127267503E-3</v>
      </c>
      <c r="AI49" s="133">
        <f t="shared" si="12"/>
        <v>3.5235129150124702E-3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42346</v>
      </c>
      <c r="AG50" s="138">
        <f>_xll.qlDayCounterYearFraction(DayCounter,SettlementDate,AF50,,,Trigger)</f>
        <v>0.18630136986301371</v>
      </c>
      <c r="AH50" s="133">
        <f t="shared" si="11"/>
        <v>3.5125944127267503E-3</v>
      </c>
      <c r="AI50" s="133">
        <f t="shared" si="12"/>
        <v>3.5231008960582922E-3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42347</v>
      </c>
      <c r="AG51" s="138">
        <f>_xll.qlDayCounterYearFraction(DayCounter,SettlementDate,AF51,,,Trigger)</f>
        <v>0.18904109589041096</v>
      </c>
      <c r="AH51" s="133">
        <f t="shared" si="11"/>
        <v>3.5125944127267503E-3</v>
      </c>
      <c r="AI51" s="133">
        <f t="shared" si="12"/>
        <v>3.5226888771041141E-3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42348</v>
      </c>
      <c r="AG52" s="138">
        <f>_xll.qlDayCounterYearFraction(DayCounter,SettlementDate,AF52,,,Trigger)</f>
        <v>0.19178082191780821</v>
      </c>
      <c r="AH52" s="133">
        <f t="shared" si="11"/>
        <v>3.5125944127267503E-3</v>
      </c>
      <c r="AI52" s="133">
        <f t="shared" si="12"/>
        <v>3.5222768581499361E-3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42349</v>
      </c>
      <c r="AG53" s="138">
        <f>_xll.qlDayCounterYearFraction(DayCounter,SettlementDate,AF53,,,Trigger)</f>
        <v>0.19452054794520549</v>
      </c>
      <c r="AH53" s="133">
        <f t="shared" si="11"/>
        <v>3.5125944127267503E-3</v>
      </c>
      <c r="AI53" s="133">
        <f t="shared" si="12"/>
        <v>3.521864839195758E-3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42352</v>
      </c>
      <c r="AG54" s="138">
        <f>_xll.qlDayCounterYearFraction(DayCounter,SettlementDate,AF54,,,Trigger)</f>
        <v>0.20273972602739726</v>
      </c>
      <c r="AH54" s="133">
        <f t="shared" si="11"/>
        <v>3.5125944127267503E-3</v>
      </c>
      <c r="AI54" s="133">
        <f t="shared" si="12"/>
        <v>3.5206287823332234E-3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42353</v>
      </c>
      <c r="AG55" s="138">
        <f>_xll.qlDayCounterYearFraction(DayCounter,SettlementDate,AF55,,,Trigger)</f>
        <v>0.20547945205479451</v>
      </c>
      <c r="AH55" s="133">
        <f t="shared" si="11"/>
        <v>3.5125944127267503E-3</v>
      </c>
      <c r="AI55" s="133">
        <f t="shared" si="12"/>
        <v>3.5202167633790454E-3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42354</v>
      </c>
      <c r="AG56" s="138">
        <f>_xll.qlDayCounterYearFraction(DayCounter,SettlementDate,AF56,,,Trigger)</f>
        <v>0.20821917808219179</v>
      </c>
      <c r="AH56" s="133">
        <f t="shared" si="11"/>
        <v>3.5125944127267503E-3</v>
      </c>
      <c r="AI56" s="133">
        <f t="shared" si="12"/>
        <v>3.5198047444248673E-3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42355</v>
      </c>
      <c r="AG57" s="138">
        <f>_xll.qlDayCounterYearFraction(DayCounter,SettlementDate,AF57,,,Trigger)</f>
        <v>0.21095890410958903</v>
      </c>
      <c r="AH57" s="133">
        <f t="shared" si="11"/>
        <v>3.5125944127267503E-3</v>
      </c>
      <c r="AI57" s="133">
        <f t="shared" si="12"/>
        <v>3.5193927254706893E-3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42356</v>
      </c>
      <c r="AG58" s="138">
        <f>_xll.qlDayCounterYearFraction(DayCounter,SettlementDate,AF58,,,Trigger)</f>
        <v>0.21369863013698631</v>
      </c>
      <c r="AH58" s="133">
        <f t="shared" si="11"/>
        <v>3.5125944127267503E-3</v>
      </c>
      <c r="AI58" s="133">
        <f t="shared" si="12"/>
        <v>3.5189807065165112E-3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42359</v>
      </c>
      <c r="AG59" s="138">
        <f>_xll.qlDayCounterYearFraction(DayCounter,SettlementDate,AF59,,,Trigger)</f>
        <v>0.22191780821917809</v>
      </c>
      <c r="AH59" s="133">
        <f t="shared" si="11"/>
        <v>3.5125944127267503E-3</v>
      </c>
      <c r="AI59" s="133">
        <f t="shared" si="12"/>
        <v>3.5177446496539766E-3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42360</v>
      </c>
      <c r="AG60" s="138">
        <f>_xll.qlDayCounterYearFraction(DayCounter,SettlementDate,AF60,,,Trigger)</f>
        <v>0.22465753424657534</v>
      </c>
      <c r="AH60" s="133">
        <f t="shared" si="11"/>
        <v>3.5125944127267503E-3</v>
      </c>
      <c r="AI60" s="133">
        <f t="shared" si="12"/>
        <v>3.5173326306997986E-3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42361</v>
      </c>
      <c r="AG61" s="138">
        <f>_xll.qlDayCounterYearFraction(DayCounter,SettlementDate,AF61,,,Trigger)</f>
        <v>0.22739726027397261</v>
      </c>
      <c r="AH61" s="133">
        <f t="shared" si="11"/>
        <v>3.5125944127267503E-3</v>
      </c>
      <c r="AI61" s="133">
        <f t="shared" si="12"/>
        <v>3.5169206117456205E-3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42362</v>
      </c>
      <c r="AG62" s="138">
        <f>_xll.qlDayCounterYearFraction(DayCounter,SettlementDate,AF62,,,Trigger)</f>
        <v>0.23013698630136986</v>
      </c>
      <c r="AH62" s="133">
        <f t="shared" si="11"/>
        <v>3.5125944127267503E-3</v>
      </c>
      <c r="AI62" s="133">
        <f t="shared" si="12"/>
        <v>3.5165085927914425E-3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42367</v>
      </c>
      <c r="AG63" s="138">
        <f>_xll.qlDayCounterYearFraction(DayCounter,SettlementDate,AF63,,,Trigger)</f>
        <v>0.24383561643835616</v>
      </c>
      <c r="AH63" s="133">
        <f t="shared" si="11"/>
        <v>3.5125944127267503E-3</v>
      </c>
      <c r="AI63" s="133">
        <f t="shared" si="12"/>
        <v>3.5144484980205518E-3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42368</v>
      </c>
      <c r="AG64" s="138">
        <f>_xll.qlDayCounterYearFraction(DayCounter,SettlementDate,AF64,,,Trigger)</f>
        <v>0.24657534246575341</v>
      </c>
      <c r="AH64" s="133">
        <f t="shared" si="11"/>
        <v>3.5125944127267503E-3</v>
      </c>
      <c r="AI64" s="133">
        <f t="shared" si="12"/>
        <v>3.5140364790663733E-3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42369</v>
      </c>
      <c r="AG65" s="138">
        <f>_xll.qlDayCounterYearFraction(DayCounter,SettlementDate,AF65,,,Trigger)</f>
        <v>0.24931506849315069</v>
      </c>
      <c r="AH65" s="133">
        <f t="shared" si="11"/>
        <v>3.5125944127267503E-3</v>
      </c>
      <c r="AI65" s="133">
        <f t="shared" si="12"/>
        <v>3.5136244601121952E-3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42373</v>
      </c>
      <c r="AG66" s="138">
        <f>_xll.qlDayCounterYearFraction(DayCounter,SettlementDate,AF66,,,Trigger)</f>
        <v>0.26027397260273971</v>
      </c>
      <c r="AH66" s="133">
        <f t="shared" si="11"/>
        <v>3.5125944127267503E-3</v>
      </c>
      <c r="AI66" s="133">
        <f t="shared" si="12"/>
        <v>3.511976384295483E-3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42374</v>
      </c>
      <c r="AG67" s="138">
        <f>_xll.qlDayCounterYearFraction(DayCounter,SettlementDate,AF67,,,Trigger)</f>
        <v>0.26301369863013696</v>
      </c>
      <c r="AH67" s="133">
        <f t="shared" ref="AH67:AH98" si="14">$W$13</f>
        <v>3.5125944127267503E-3</v>
      </c>
      <c r="AI67" s="133">
        <f t="shared" ref="AI67:AI98" si="15">$W$10+$W$9*AG67</f>
        <v>3.5115643653413045E-3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42375</v>
      </c>
      <c r="AG68" s="138">
        <f>_xll.qlDayCounterYearFraction(DayCounter,SettlementDate,AF68,,,Trigger)</f>
        <v>0.26575342465753427</v>
      </c>
      <c r="AH68" s="133">
        <f t="shared" si="14"/>
        <v>3.5125944127267503E-3</v>
      </c>
      <c r="AI68" s="133">
        <f t="shared" si="15"/>
        <v>3.5111523463871265E-3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42376</v>
      </c>
      <c r="AG69" s="138">
        <f>_xll.qlDayCounterYearFraction(DayCounter,SettlementDate,AF69,,,Trigger)</f>
        <v>0.26849315068493151</v>
      </c>
      <c r="AH69" s="133">
        <f t="shared" si="14"/>
        <v>3.5125944127267503E-3</v>
      </c>
      <c r="AI69" s="133">
        <f t="shared" si="15"/>
        <v>3.5107403274329484E-3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42377</v>
      </c>
      <c r="AG70" s="138">
        <f>_xll.qlDayCounterYearFraction(DayCounter,SettlementDate,AF70,,,Trigger)</f>
        <v>0.27123287671232876</v>
      </c>
      <c r="AH70" s="133">
        <f t="shared" si="14"/>
        <v>3.5125944127267503E-3</v>
      </c>
      <c r="AI70" s="133">
        <f t="shared" si="15"/>
        <v>3.5103283084787704E-3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42380</v>
      </c>
      <c r="AG71" s="138">
        <f>_xll.qlDayCounterYearFraction(DayCounter,SettlementDate,AF71,,,Trigger)</f>
        <v>0.27945205479452057</v>
      </c>
      <c r="AH71" s="133">
        <f t="shared" si="14"/>
        <v>3.5125944127267503E-3</v>
      </c>
      <c r="AI71" s="133">
        <f t="shared" si="15"/>
        <v>3.5090922516162358E-3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42381</v>
      </c>
      <c r="AG72" s="138">
        <f>_xll.qlDayCounterYearFraction(DayCounter,SettlementDate,AF72,,,Trigger)</f>
        <v>0.28219178082191781</v>
      </c>
      <c r="AH72" s="133">
        <f t="shared" si="14"/>
        <v>3.5125944127267503E-3</v>
      </c>
      <c r="AI72" s="133">
        <f t="shared" si="15"/>
        <v>3.5086802326620577E-3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42382</v>
      </c>
      <c r="AG73" s="138">
        <f>_xll.qlDayCounterYearFraction(DayCounter,SettlementDate,AF73,,,Trigger)</f>
        <v>0.28493150684931506</v>
      </c>
      <c r="AH73" s="133">
        <f t="shared" si="14"/>
        <v>3.5125944127267503E-3</v>
      </c>
      <c r="AI73" s="133">
        <f t="shared" si="15"/>
        <v>3.5082682137078797E-3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42383</v>
      </c>
      <c r="AG74" s="138">
        <f>_xll.qlDayCounterYearFraction(DayCounter,SettlementDate,AF74,,,Trigger)</f>
        <v>0.28767123287671231</v>
      </c>
      <c r="AH74" s="133">
        <f t="shared" si="14"/>
        <v>3.5125944127267503E-3</v>
      </c>
      <c r="AI74" s="133">
        <f t="shared" si="15"/>
        <v>3.5078561947537016E-3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42384</v>
      </c>
      <c r="AG75" s="138">
        <f>_xll.qlDayCounterYearFraction(DayCounter,SettlementDate,AF75,,,Trigger)</f>
        <v>0.29041095890410956</v>
      </c>
      <c r="AH75" s="133">
        <f t="shared" si="14"/>
        <v>3.5125944127267503E-3</v>
      </c>
      <c r="AI75" s="133">
        <f t="shared" si="15"/>
        <v>3.5074441757995236E-3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42387</v>
      </c>
      <c r="AG76" s="138">
        <f>_xll.qlDayCounterYearFraction(DayCounter,SettlementDate,AF76,,,Trigger)</f>
        <v>0.29863013698630136</v>
      </c>
      <c r="AH76" s="133">
        <f t="shared" si="14"/>
        <v>3.5125944127267503E-3</v>
      </c>
      <c r="AI76" s="133">
        <f t="shared" si="15"/>
        <v>3.506208118936989E-3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42388</v>
      </c>
      <c r="AG77" s="138">
        <f>_xll.qlDayCounterYearFraction(DayCounter,SettlementDate,AF77,,,Trigger)</f>
        <v>0.30136986301369861</v>
      </c>
      <c r="AH77" s="133">
        <f t="shared" si="14"/>
        <v>3.5125944127267503E-3</v>
      </c>
      <c r="AI77" s="133">
        <f t="shared" si="15"/>
        <v>3.5057960999828109E-3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42389</v>
      </c>
      <c r="AG78" s="138">
        <f>_xll.qlDayCounterYearFraction(DayCounter,SettlementDate,AF78,,,Trigger)</f>
        <v>0.30410958904109592</v>
      </c>
      <c r="AH78" s="133">
        <f t="shared" si="14"/>
        <v>3.5125944127267503E-3</v>
      </c>
      <c r="AI78" s="133">
        <f t="shared" si="15"/>
        <v>3.5053840810286329E-3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42390</v>
      </c>
      <c r="AG79" s="138">
        <f>_xll.qlDayCounterYearFraction(DayCounter,SettlementDate,AF79,,,Trigger)</f>
        <v>0.30684931506849317</v>
      </c>
      <c r="AH79" s="133">
        <f t="shared" si="14"/>
        <v>3.5125944127267503E-3</v>
      </c>
      <c r="AI79" s="133">
        <f t="shared" si="15"/>
        <v>3.5049720620744548E-3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42391</v>
      </c>
      <c r="AG80" s="138">
        <f>_xll.qlDayCounterYearFraction(DayCounter,SettlementDate,AF80,,,Trigger)</f>
        <v>0.30958904109589042</v>
      </c>
      <c r="AH80" s="133">
        <f t="shared" si="14"/>
        <v>3.5125944127267503E-3</v>
      </c>
      <c r="AI80" s="133">
        <f t="shared" si="15"/>
        <v>3.5045600431202768E-3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42394</v>
      </c>
      <c r="AG81" s="138">
        <f>_xll.qlDayCounterYearFraction(DayCounter,SettlementDate,AF81,,,Trigger)</f>
        <v>0.31780821917808222</v>
      </c>
      <c r="AH81" s="133">
        <f t="shared" si="14"/>
        <v>3.5125944127267503E-3</v>
      </c>
      <c r="AI81" s="133">
        <f t="shared" si="15"/>
        <v>3.5033239862577422E-3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42396</v>
      </c>
      <c r="AG82" s="138">
        <f>_xll.qlDayCounterYearFraction(DayCounter,SettlementDate,AF82,,,Trigger)</f>
        <v>0.32328767123287672</v>
      </c>
      <c r="AH82" s="133">
        <f t="shared" si="14"/>
        <v>3.5125944127267503E-3</v>
      </c>
      <c r="AI82" s="133">
        <f t="shared" si="15"/>
        <v>3.5024999483493861E-3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42397</v>
      </c>
      <c r="AG83" s="138">
        <f>_xll.qlDayCounterYearFraction(DayCounter,SettlementDate,AF83,,,Trigger)</f>
        <v>0.32602739726027397</v>
      </c>
      <c r="AH83" s="133">
        <f t="shared" si="14"/>
        <v>3.5125944127267503E-3</v>
      </c>
      <c r="AI83" s="133">
        <f t="shared" si="15"/>
        <v>3.5020879293952076E-3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42398</v>
      </c>
      <c r="AG84" s="138">
        <f>_xll.qlDayCounterYearFraction(DayCounter,SettlementDate,AF84,,,Trigger)</f>
        <v>0.32876712328767121</v>
      </c>
      <c r="AH84" s="133">
        <f t="shared" si="14"/>
        <v>3.5125944127267503E-3</v>
      </c>
      <c r="AI84" s="133">
        <f t="shared" si="15"/>
        <v>3.5016759104410295E-3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42401</v>
      </c>
      <c r="AG85" s="138">
        <f>_xll.qlDayCounterYearFraction(DayCounter,SettlementDate,AF85,,,Trigger)</f>
        <v>0.33698630136986302</v>
      </c>
      <c r="AH85" s="133">
        <f t="shared" si="14"/>
        <v>3.5125944127267503E-3</v>
      </c>
      <c r="AI85" s="133">
        <f t="shared" si="15"/>
        <v>3.5004398535784954E-3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42402</v>
      </c>
      <c r="AG86" s="138">
        <f>_xll.qlDayCounterYearFraction(DayCounter,SettlementDate,AF86,,,Trigger)</f>
        <v>0.33972602739726027</v>
      </c>
      <c r="AH86" s="133">
        <f t="shared" si="14"/>
        <v>3.5125944127267503E-3</v>
      </c>
      <c r="AI86" s="133">
        <f t="shared" si="15"/>
        <v>3.5000278346243173E-3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42403</v>
      </c>
      <c r="AG87" s="138">
        <f>_xll.qlDayCounterYearFraction(DayCounter,SettlementDate,AF87,,,Trigger)</f>
        <v>0.34246575342465752</v>
      </c>
      <c r="AH87" s="133">
        <f t="shared" si="14"/>
        <v>3.5125944127267503E-3</v>
      </c>
      <c r="AI87" s="133">
        <f t="shared" si="15"/>
        <v>3.4996158156701388E-3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42404</v>
      </c>
      <c r="AG88" s="138">
        <f>_xll.qlDayCounterYearFraction(DayCounter,SettlementDate,AF88,,,Trigger)</f>
        <v>0.34520547945205482</v>
      </c>
      <c r="AH88" s="133">
        <f t="shared" si="14"/>
        <v>3.5125944127267503E-3</v>
      </c>
      <c r="AI88" s="133">
        <f t="shared" si="15"/>
        <v>3.4992037967159608E-3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42405</v>
      </c>
      <c r="AG89" s="138">
        <f>_xll.qlDayCounterYearFraction(DayCounter,SettlementDate,AF89,,,Trigger)</f>
        <v>0.34794520547945207</v>
      </c>
      <c r="AH89" s="133">
        <f t="shared" si="14"/>
        <v>3.5125944127267503E-3</v>
      </c>
      <c r="AI89" s="133">
        <f t="shared" si="15"/>
        <v>3.4987917777617827E-3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42408</v>
      </c>
      <c r="AG90" s="138">
        <f>_xll.qlDayCounterYearFraction(DayCounter,SettlementDate,AF90,,,Trigger)</f>
        <v>0.35616438356164382</v>
      </c>
      <c r="AH90" s="133">
        <f t="shared" si="14"/>
        <v>3.5125944127267503E-3</v>
      </c>
      <c r="AI90" s="133">
        <f t="shared" si="15"/>
        <v>3.4975557208992486E-3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42409</v>
      </c>
      <c r="AG91" s="138">
        <f>_xll.qlDayCounterYearFraction(DayCounter,SettlementDate,AF91,,,Trigger)</f>
        <v>0.35890410958904112</v>
      </c>
      <c r="AH91" s="133">
        <f t="shared" si="14"/>
        <v>3.5125944127267503E-3</v>
      </c>
      <c r="AI91" s="133">
        <f t="shared" si="15"/>
        <v>3.4971437019450701E-3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42410</v>
      </c>
      <c r="AG92" s="138">
        <f>_xll.qlDayCounterYearFraction(DayCounter,SettlementDate,AF92,,,Trigger)</f>
        <v>0.36164383561643837</v>
      </c>
      <c r="AH92" s="133">
        <f t="shared" si="14"/>
        <v>3.5125944127267503E-3</v>
      </c>
      <c r="AI92" s="133">
        <f t="shared" si="15"/>
        <v>3.496731682990892E-3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42411</v>
      </c>
      <c r="AG93" s="138">
        <f>_xll.qlDayCounterYearFraction(DayCounter,SettlementDate,AF93,,,Trigger)</f>
        <v>0.36438356164383562</v>
      </c>
      <c r="AH93" s="133">
        <f t="shared" si="14"/>
        <v>3.5125944127267503E-3</v>
      </c>
      <c r="AI93" s="133">
        <f t="shared" si="15"/>
        <v>3.496319664036714E-3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42412</v>
      </c>
      <c r="AG94" s="138">
        <f>_xll.qlDayCounterYearFraction(DayCounter,SettlementDate,AF94,,,Trigger)</f>
        <v>0.36712328767123287</v>
      </c>
      <c r="AH94" s="133">
        <f t="shared" si="14"/>
        <v>3.5125944127267503E-3</v>
      </c>
      <c r="AI94" s="133">
        <f t="shared" si="15"/>
        <v>3.4959076450825359E-3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42415</v>
      </c>
      <c r="AG95" s="138">
        <f>_xll.qlDayCounterYearFraction(DayCounter,SettlementDate,AF95,,,Trigger)</f>
        <v>0.37534246575342467</v>
      </c>
      <c r="AH95" s="133">
        <f t="shared" si="14"/>
        <v>3.5125944127267503E-3</v>
      </c>
      <c r="AI95" s="133">
        <f t="shared" si="15"/>
        <v>3.4946715882200013E-3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42416</v>
      </c>
      <c r="AG96" s="138">
        <f>_xll.qlDayCounterYearFraction(DayCounter,SettlementDate,AF96,,,Trigger)</f>
        <v>0.37808219178082192</v>
      </c>
      <c r="AH96" s="133">
        <f t="shared" si="14"/>
        <v>3.5125944127267503E-3</v>
      </c>
      <c r="AI96" s="133">
        <f t="shared" si="15"/>
        <v>3.4942595692658233E-3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42417</v>
      </c>
      <c r="AG97" s="138">
        <f>_xll.qlDayCounterYearFraction(DayCounter,SettlementDate,AF97,,,Trigger)</f>
        <v>0.38082191780821917</v>
      </c>
      <c r="AH97" s="133">
        <f t="shared" si="14"/>
        <v>3.5125944127267503E-3</v>
      </c>
      <c r="AI97" s="133">
        <f t="shared" si="15"/>
        <v>3.4938475503116452E-3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42418</v>
      </c>
      <c r="AG98" s="138">
        <f>_xll.qlDayCounterYearFraction(DayCounter,SettlementDate,AF98,,,Trigger)</f>
        <v>0.38356164383561642</v>
      </c>
      <c r="AH98" s="133">
        <f t="shared" si="14"/>
        <v>3.5125944127267503E-3</v>
      </c>
      <c r="AI98" s="133">
        <f t="shared" si="15"/>
        <v>3.4934355313574672E-3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42419</v>
      </c>
      <c r="AG99" s="138">
        <f>_xll.qlDayCounterYearFraction(DayCounter,SettlementDate,AF99,,,Trigger)</f>
        <v>0.38630136986301372</v>
      </c>
      <c r="AH99" s="133">
        <f t="shared" ref="AH99:AH132" si="17">$W$13</f>
        <v>3.5125944127267503E-3</v>
      </c>
      <c r="AI99" s="133">
        <f t="shared" ref="AI99:AI132" si="18">$W$10+$W$9*AG99</f>
        <v>3.4930235124032891E-3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42422</v>
      </c>
      <c r="AG100" s="138">
        <f>_xll.qlDayCounterYearFraction(DayCounter,SettlementDate,AF100,,,Trigger)</f>
        <v>0.39452054794520547</v>
      </c>
      <c r="AH100" s="133">
        <f t="shared" si="17"/>
        <v>3.5125944127267503E-3</v>
      </c>
      <c r="AI100" s="133">
        <f t="shared" si="18"/>
        <v>3.4917874555407545E-3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42423</v>
      </c>
      <c r="AG101" s="138">
        <f>_xll.qlDayCounterYearFraction(DayCounter,SettlementDate,AF101,,,Trigger)</f>
        <v>0.39726027397260272</v>
      </c>
      <c r="AH101" s="133">
        <f t="shared" si="17"/>
        <v>3.5125944127267503E-3</v>
      </c>
      <c r="AI101" s="133">
        <f t="shared" si="18"/>
        <v>3.4913754365865765E-3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42424</v>
      </c>
      <c r="AG102" s="138">
        <f>_xll.qlDayCounterYearFraction(DayCounter,SettlementDate,AF102,,,Trigger)</f>
        <v>0.4</v>
      </c>
      <c r="AH102" s="133">
        <f t="shared" si="17"/>
        <v>3.5125944127267503E-3</v>
      </c>
      <c r="AI102" s="133">
        <f t="shared" si="18"/>
        <v>3.4909634176323984E-3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42425</v>
      </c>
      <c r="AG103" s="138">
        <f>_xll.qlDayCounterYearFraction(DayCounter,SettlementDate,AF103,,,Trigger)</f>
        <v>0.40273972602739727</v>
      </c>
      <c r="AH103" s="133">
        <f t="shared" si="17"/>
        <v>3.5125944127267503E-3</v>
      </c>
      <c r="AI103" s="133">
        <f t="shared" si="18"/>
        <v>3.4905513986782204E-3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42426</v>
      </c>
      <c r="AG104" s="138">
        <f>_xll.qlDayCounterYearFraction(DayCounter,SettlementDate,AF104,,,Trigger)</f>
        <v>0.40547945205479452</v>
      </c>
      <c r="AH104" s="133">
        <f t="shared" si="17"/>
        <v>3.5125944127267503E-3</v>
      </c>
      <c r="AI104" s="133">
        <f t="shared" si="18"/>
        <v>3.4901393797240419E-3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42429</v>
      </c>
      <c r="AG105" s="138">
        <f>_xll.qlDayCounterYearFraction(DayCounter,SettlementDate,AF105,,,Trigger)</f>
        <v>0.41369863013698632</v>
      </c>
      <c r="AH105" s="133">
        <f t="shared" si="17"/>
        <v>3.5125944127267503E-3</v>
      </c>
      <c r="AI105" s="133">
        <f t="shared" si="18"/>
        <v>3.4889033228615077E-3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42430</v>
      </c>
      <c r="AG106" s="138">
        <f>_xll.qlDayCounterYearFraction(DayCounter,SettlementDate,AF106,,,Trigger)</f>
        <v>0.41643835616438357</v>
      </c>
      <c r="AH106" s="133">
        <f t="shared" si="17"/>
        <v>3.5125944127267503E-3</v>
      </c>
      <c r="AI106" s="133">
        <f t="shared" si="18"/>
        <v>3.4884913039073297E-3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42431</v>
      </c>
      <c r="AG107" s="138">
        <f>_xll.qlDayCounterYearFraction(DayCounter,SettlementDate,AF107,,,Trigger)</f>
        <v>0.41917808219178082</v>
      </c>
      <c r="AH107" s="133">
        <f t="shared" si="17"/>
        <v>3.5125944127267503E-3</v>
      </c>
      <c r="AI107" s="133">
        <f t="shared" si="18"/>
        <v>3.4880792849531516E-3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42432</v>
      </c>
      <c r="AG108" s="138">
        <f>_xll.qlDayCounterYearFraction(DayCounter,SettlementDate,AF108,,,Trigger)</f>
        <v>0.42191780821917807</v>
      </c>
      <c r="AH108" s="133">
        <f t="shared" si="17"/>
        <v>3.5125944127267503E-3</v>
      </c>
      <c r="AI108" s="133">
        <f t="shared" si="18"/>
        <v>3.4876672659989731E-3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42433</v>
      </c>
      <c r="AG109" s="138">
        <f>_xll.qlDayCounterYearFraction(DayCounter,SettlementDate,AF109,,,Trigger)</f>
        <v>0.42465753424657532</v>
      </c>
      <c r="AH109" s="133">
        <f t="shared" si="17"/>
        <v>3.5125944127267503E-3</v>
      </c>
      <c r="AI109" s="133">
        <f t="shared" si="18"/>
        <v>3.4872552470447951E-3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42436</v>
      </c>
      <c r="AG110" s="138">
        <f>_xll.qlDayCounterYearFraction(DayCounter,SettlementDate,AF110,,,Trigger)</f>
        <v>0.43287671232876712</v>
      </c>
      <c r="AH110" s="133">
        <f t="shared" si="17"/>
        <v>3.5125944127267503E-3</v>
      </c>
      <c r="AI110" s="133">
        <f t="shared" si="18"/>
        <v>3.4860191901822609E-3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42437</v>
      </c>
      <c r="AG111" s="138">
        <f>_xll.qlDayCounterYearFraction(DayCounter,SettlementDate,AF111,,,Trigger)</f>
        <v>0.43561643835616437</v>
      </c>
      <c r="AH111" s="133">
        <f t="shared" si="17"/>
        <v>3.5125944127267503E-3</v>
      </c>
      <c r="AI111" s="133">
        <f t="shared" si="18"/>
        <v>3.4856071712280829E-3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42438</v>
      </c>
      <c r="AG112" s="138">
        <f>_xll.qlDayCounterYearFraction(DayCounter,SettlementDate,AF112,,,Trigger)</f>
        <v>0.43835616438356162</v>
      </c>
      <c r="AH112" s="133">
        <f t="shared" si="17"/>
        <v>3.5125944127267503E-3</v>
      </c>
      <c r="AI112" s="133">
        <f t="shared" si="18"/>
        <v>3.4851951522739044E-3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42439</v>
      </c>
      <c r="AG113" s="138">
        <f>_xll.qlDayCounterYearFraction(DayCounter,SettlementDate,AF113,,,Trigger)</f>
        <v>0.44109589041095892</v>
      </c>
      <c r="AH113" s="133">
        <f t="shared" si="17"/>
        <v>3.5125944127267503E-3</v>
      </c>
      <c r="AI113" s="133">
        <f t="shared" si="18"/>
        <v>3.4847831333197263E-3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42440</v>
      </c>
      <c r="AG114" s="138">
        <f>_xll.qlDayCounterYearFraction(DayCounter,SettlementDate,AF114,,,Trigger)</f>
        <v>0.44383561643835617</v>
      </c>
      <c r="AH114" s="133">
        <f t="shared" si="17"/>
        <v>3.5125944127267503E-3</v>
      </c>
      <c r="AI114" s="133">
        <f t="shared" si="18"/>
        <v>3.4843711143655483E-3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42443</v>
      </c>
      <c r="AG115" s="138">
        <f>_xll.qlDayCounterYearFraction(DayCounter,SettlementDate,AF115,,,Trigger)</f>
        <v>0.45205479452054792</v>
      </c>
      <c r="AH115" s="133">
        <f t="shared" si="17"/>
        <v>3.5125944127267503E-3</v>
      </c>
      <c r="AI115" s="133">
        <f t="shared" si="18"/>
        <v>3.4831350575030141E-3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42444</v>
      </c>
      <c r="AG116" s="138">
        <f>_xll.qlDayCounterYearFraction(DayCounter,SettlementDate,AF116,,,Trigger)</f>
        <v>0.45479452054794522</v>
      </c>
      <c r="AH116" s="133">
        <f t="shared" si="17"/>
        <v>3.5125944127267503E-3</v>
      </c>
      <c r="AI116" s="133">
        <f t="shared" si="18"/>
        <v>3.4827230385488356E-3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42445</v>
      </c>
      <c r="AG117" s="138">
        <f>_xll.qlDayCounterYearFraction(DayCounter,SettlementDate,AF117,,,Trigger)</f>
        <v>0.45753424657534247</v>
      </c>
      <c r="AH117" s="133">
        <f t="shared" si="17"/>
        <v>3.5125944127267503E-3</v>
      </c>
      <c r="AI117" s="133">
        <f t="shared" si="18"/>
        <v>3.4823110195946576E-3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42446</v>
      </c>
      <c r="AG118" s="138">
        <f>_xll.qlDayCounterYearFraction(DayCounter,SettlementDate,AF118,,,Trigger)</f>
        <v>0.46027397260273972</v>
      </c>
      <c r="AH118" s="133">
        <f t="shared" si="17"/>
        <v>3.5125944127267503E-3</v>
      </c>
      <c r="AI118" s="133">
        <f t="shared" si="18"/>
        <v>3.4818990006404795E-3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42447</v>
      </c>
      <c r="AG119" s="138">
        <f>_xll.qlDayCounterYearFraction(DayCounter,SettlementDate,AF119,,,Trigger)</f>
        <v>0.46301369863013697</v>
      </c>
      <c r="AH119" s="133">
        <f t="shared" si="17"/>
        <v>3.5125944127267503E-3</v>
      </c>
      <c r="AI119" s="133">
        <f t="shared" si="18"/>
        <v>3.4814869816863015E-3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42450</v>
      </c>
      <c r="AG120" s="138">
        <f>_xll.qlDayCounterYearFraction(DayCounter,SettlementDate,AF120,,,Trigger)</f>
        <v>0.47123287671232877</v>
      </c>
      <c r="AH120" s="133">
        <f t="shared" si="17"/>
        <v>3.5125944127267503E-3</v>
      </c>
      <c r="AI120" s="133">
        <f t="shared" si="18"/>
        <v>3.4802509248237669E-3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42451</v>
      </c>
      <c r="AG121" s="138">
        <f>_xll.qlDayCounterYearFraction(DayCounter,SettlementDate,AF121,,,Trigger)</f>
        <v>0.47397260273972602</v>
      </c>
      <c r="AH121" s="133">
        <f t="shared" si="17"/>
        <v>3.5125944127267503E-3</v>
      </c>
      <c r="AI121" s="133">
        <f t="shared" si="18"/>
        <v>3.4798389058695888E-3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42452</v>
      </c>
      <c r="AG122" s="138">
        <f>_xll.qlDayCounterYearFraction(DayCounter,SettlementDate,AF122,,,Trigger)</f>
        <v>0.47671232876712327</v>
      </c>
      <c r="AH122" s="133">
        <f t="shared" si="17"/>
        <v>3.5125944127267503E-3</v>
      </c>
      <c r="AI122" s="133">
        <f t="shared" si="18"/>
        <v>3.4794268869154108E-3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42453</v>
      </c>
      <c r="AG123" s="138">
        <f>_xll.qlDayCounterYearFraction(DayCounter,SettlementDate,AF123,,,Trigger)</f>
        <v>0.47945205479452052</v>
      </c>
      <c r="AH123" s="133">
        <f t="shared" si="17"/>
        <v>3.5125944127267503E-3</v>
      </c>
      <c r="AI123" s="133">
        <f t="shared" si="18"/>
        <v>3.4790148679612327E-3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42458</v>
      </c>
      <c r="AG124" s="138">
        <f>_xll.qlDayCounterYearFraction(DayCounter,SettlementDate,AF124,,,Trigger)</f>
        <v>0.49315068493150682</v>
      </c>
      <c r="AH124" s="133">
        <f t="shared" si="17"/>
        <v>3.5125944127267503E-3</v>
      </c>
      <c r="AI124" s="133">
        <f t="shared" si="18"/>
        <v>3.476954773190342E-3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42459</v>
      </c>
      <c r="AG125" s="138">
        <f>_xll.qlDayCounterYearFraction(DayCounter,SettlementDate,AF125,,,Trigger)</f>
        <v>0.49589041095890413</v>
      </c>
      <c r="AH125" s="133">
        <f t="shared" si="17"/>
        <v>3.5125944127267503E-3</v>
      </c>
      <c r="AI125" s="133">
        <f t="shared" si="18"/>
        <v>3.476542754236164E-3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42460</v>
      </c>
      <c r="AG126" s="138">
        <f>_xll.qlDayCounterYearFraction(DayCounter,SettlementDate,AF126,,,Trigger)</f>
        <v>0.49863013698630138</v>
      </c>
      <c r="AH126" s="133">
        <f t="shared" si="17"/>
        <v>3.5125944127267503E-3</v>
      </c>
      <c r="AI126" s="133">
        <f t="shared" si="18"/>
        <v>3.4761307352819859E-3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42461</v>
      </c>
      <c r="AG127" s="138">
        <f>_xll.qlDayCounterYearFraction(DayCounter,SettlementDate,AF127,,,Trigger)</f>
        <v>0.50136986301369868</v>
      </c>
      <c r="AH127" s="133">
        <f t="shared" si="17"/>
        <v>3.5125944127267503E-3</v>
      </c>
      <c r="AI127" s="133">
        <f t="shared" si="18"/>
        <v>3.4757187163278074E-3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42464</v>
      </c>
      <c r="AG128" s="138">
        <f>_xll.qlDayCounterYearFraction(DayCounter,SettlementDate,AF128,,,Trigger)</f>
        <v>0.50958904109589043</v>
      </c>
      <c r="AH128" s="133">
        <f t="shared" si="17"/>
        <v>3.5125944127267503E-3</v>
      </c>
      <c r="AI128" s="133">
        <f t="shared" si="18"/>
        <v>3.4744826594652733E-3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42465</v>
      </c>
      <c r="AG129" s="138">
        <f>_xll.qlDayCounterYearFraction(DayCounter,SettlementDate,AF129,,,Trigger)</f>
        <v>0.51232876712328768</v>
      </c>
      <c r="AH129" s="133">
        <f t="shared" si="17"/>
        <v>3.5125944127267503E-3</v>
      </c>
      <c r="AI129" s="133">
        <f t="shared" si="18"/>
        <v>3.4740706405110952E-3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42466</v>
      </c>
      <c r="AG130" s="138">
        <f>_xll.qlDayCounterYearFraction(DayCounter,SettlementDate,AF130,,,Trigger)</f>
        <v>0.51506849315068493</v>
      </c>
      <c r="AH130" s="133">
        <f t="shared" si="17"/>
        <v>3.5125944127267503E-3</v>
      </c>
      <c r="AI130" s="133">
        <f t="shared" si="18"/>
        <v>3.4736586215569172E-3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42467</v>
      </c>
      <c r="AG131" s="138">
        <f>_xll.qlDayCounterYearFraction(DayCounter,SettlementDate,AF131,,,Trigger)</f>
        <v>0.51780821917808217</v>
      </c>
      <c r="AH131" s="133">
        <f t="shared" si="17"/>
        <v>3.5125944127267503E-3</v>
      </c>
      <c r="AI131" s="133">
        <f t="shared" si="18"/>
        <v>3.4732466026027387E-3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42468</v>
      </c>
      <c r="AG132" s="289">
        <f>_xll.qlDayCounterYearFraction(DayCounter,SettlementDate,AF132,,,Trigger)</f>
        <v>0.52054794520547942</v>
      </c>
      <c r="AH132" s="140">
        <f t="shared" si="17"/>
        <v>3.5125944127267503E-3</v>
      </c>
      <c r="AI132" s="140">
        <f t="shared" si="18"/>
        <v>3.4728345836485606E-3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/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16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AUDSND_SYNTH1M_Quote#0004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2.0755611569455157E-2</v>
      </c>
      <c r="I3" s="30" t="s">
        <v>51</v>
      </c>
      <c r="J3" s="66">
        <v>2.0468015848924548E-2</v>
      </c>
      <c r="K3" s="28"/>
      <c r="L3" s="69">
        <f t="array" ref="L3:L86">QuoteLive</f>
        <v>2.0755611569455157E-2</v>
      </c>
      <c r="M3" s="70" t="e">
        <f>_xll.qlSimpleQuoteSetValue(D3,ROUND($L3,6),EvaluationDate)</f>
        <v>#N/A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AUDSWD_SYNTH1M_Quote#0004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2.0752695968093069E-2</v>
      </c>
      <c r="I4" s="30" t="s">
        <v>51</v>
      </c>
      <c r="J4" s="66">
        <v>2.0482027270170487E-2</v>
      </c>
      <c r="K4" s="28"/>
      <c r="L4" s="69">
        <v>2.0752695968093069E-2</v>
      </c>
      <c r="M4" s="70" t="e">
        <f>_xll.qlSimpleQuoteSetValue(D4,ROUND($L4,6),EvaluationDate)</f>
        <v>#N/A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AUD2WD_SYNTH1M_Quote#0004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2.0728869148978438E-2</v>
      </c>
      <c r="I5" s="30" t="s">
        <v>51</v>
      </c>
      <c r="J5" s="66">
        <v>2.0490876462124694E-2</v>
      </c>
      <c r="K5" s="28"/>
      <c r="L5" s="69">
        <v>2.0728869148978438E-2</v>
      </c>
      <c r="M5" s="70" t="e">
        <f>_xll.qlSimpleQuoteSetValue(D5,ROUND($L5,6),EvaluationDate)</f>
        <v>#N/A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AUD3WD_SYNTH1M_Quote#0004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2.0694208147894518E-2</v>
      </c>
      <c r="I6" s="30" t="s">
        <v>51</v>
      </c>
      <c r="J6" s="67">
        <v>2.0492580999385161E-2</v>
      </c>
      <c r="K6" s="28"/>
      <c r="L6" s="71">
        <v>2.0694208147894518E-2</v>
      </c>
      <c r="M6" s="72" t="e">
        <f>_xll.qlSimpleQuoteSetValue(D6,ROUND($L6,6),EvaluationDate)</f>
        <v>#N/A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AUD1MD_SYNTH1M_Quote#0004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2.0625302614900864E-2</v>
      </c>
      <c r="I7" s="30" t="s">
        <v>51</v>
      </c>
      <c r="J7" s="66">
        <v>2.0481431920652826E-2</v>
      </c>
      <c r="K7" s="28"/>
      <c r="L7" s="69">
        <v>2.0625302614900864E-2</v>
      </c>
      <c r="M7" s="70" t="e">
        <f>_xll.qlSimpleQuoteSetValue(D7,ROUND($L7,6),EvaluationDate)</f>
        <v>#N/A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AUD2MD_SYNTH1M_Quote#0004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2.0383352086366938E-2</v>
      </c>
      <c r="I8" s="30" t="s">
        <v>51</v>
      </c>
      <c r="J8" s="66">
        <v>2.0409554808716392E-2</v>
      </c>
      <c r="K8" s="28"/>
      <c r="L8" s="69">
        <v>2.0383352086366938E-2</v>
      </c>
      <c r="M8" s="70" t="e">
        <f>_xll.qlSimpleQuoteSetValue(D8,ROUND($L8,6),EvaluationDate)</f>
        <v>#N/A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AUD3MD_SYNTH1M_Quote#0004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2.0106576448528941E-2</v>
      </c>
      <c r="I9" s="79" t="s">
        <v>51</v>
      </c>
      <c r="J9" s="68">
        <v>2.0330175118150676E-2</v>
      </c>
      <c r="K9" s="78"/>
      <c r="L9" s="73">
        <v>2.0106576448528941E-2</v>
      </c>
      <c r="M9" s="74" t="e">
        <f>_xll.qlSimpleQuoteSetValue(D9,ROUND($L9,6),EvaluationDate)</f>
        <v>#N/A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AUDSND_SYNTH3M_Quote#0004</v>
      </c>
      <c r="E10" s="189"/>
      <c r="F10" s="35"/>
      <c r="G10" s="80" t="s">
        <v>50</v>
      </c>
      <c r="H10" s="81">
        <f>'3MSynthDepo'!C25</f>
        <v>2.2254095955366315E-2</v>
      </c>
      <c r="I10" s="36"/>
      <c r="J10" s="82">
        <v>2.2049635040521931E-2</v>
      </c>
      <c r="K10" s="34"/>
      <c r="L10" s="83">
        <v>2.2254095955366315E-2</v>
      </c>
      <c r="M10" s="84" t="e">
        <f>_xll.qlSimpleQuoteSetValue(D10,ROUND($L10,6),EvaluationDate)</f>
        <v>#N/A</v>
      </c>
      <c r="N10" s="120">
        <f>_xll.ohTrigger(M10:M16)</f>
        <v>16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AUDSWD_SYNTH3M_Quote#0004</v>
      </c>
      <c r="E11" s="190"/>
      <c r="F11" s="35"/>
      <c r="G11" s="75" t="s">
        <v>52</v>
      </c>
      <c r="H11" s="63">
        <f>'3MSynthDepo'!C26</f>
        <v>2.2243266918813127E-2</v>
      </c>
      <c r="I11" s="36"/>
      <c r="J11" s="66">
        <v>2.2038412360538828E-2</v>
      </c>
      <c r="K11" s="34"/>
      <c r="L11" s="69">
        <v>2.2243266918813127E-2</v>
      </c>
      <c r="M11" s="70" t="e">
        <f>_xll.qlSimpleQuoteSetValue(D11,ROUND($L11,6),EvaluationDate)</f>
        <v>#N/A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AUD2WD_SYNTH3M_Quote#0004</v>
      </c>
      <c r="E12" s="190"/>
      <c r="F12" s="35"/>
      <c r="G12" s="75" t="s">
        <v>53</v>
      </c>
      <c r="H12" s="63">
        <f>'3MSynthDepo'!C27</f>
        <v>2.2210502932047006E-2</v>
      </c>
      <c r="I12" s="36"/>
      <c r="J12" s="66">
        <v>2.2019344259663978E-2</v>
      </c>
      <c r="K12" s="34"/>
      <c r="L12" s="69">
        <v>2.2210502932047006E-2</v>
      </c>
      <c r="M12" s="70" t="e">
        <f>_xll.qlSimpleQuoteSetValue(D12,ROUND($L12,6),EvaluationDate)</f>
        <v>#N/A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AUD3WD_SYNTH3M_Quote#0004</v>
      </c>
      <c r="E13" s="190"/>
      <c r="F13" s="35"/>
      <c r="G13" s="76" t="s">
        <v>54</v>
      </c>
      <c r="H13" s="64">
        <f>'3MSynthDepo'!C28</f>
        <v>2.2167222242572889E-2</v>
      </c>
      <c r="I13" s="36"/>
      <c r="J13" s="67">
        <v>2.1994772548632364E-2</v>
      </c>
      <c r="K13" s="34"/>
      <c r="L13" s="71">
        <v>2.2167222242572889E-2</v>
      </c>
      <c r="M13" s="72" t="e">
        <f>_xll.qlSimpleQuoteSetValue(D13,ROUND($L13,6),EvaluationDate)</f>
        <v>#N/A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AUD1MD_SYNTH3M_Quote#0004</v>
      </c>
      <c r="E14" s="190"/>
      <c r="F14" s="35"/>
      <c r="G14" s="75" t="s">
        <v>55</v>
      </c>
      <c r="H14" s="63">
        <f>'3MSynthDepo'!C29</f>
        <v>2.2085412801039067E-2</v>
      </c>
      <c r="I14" s="36"/>
      <c r="J14" s="66">
        <v>2.1945651591989239E-2</v>
      </c>
      <c r="K14" s="34"/>
      <c r="L14" s="69">
        <v>2.2085412801039067E-2</v>
      </c>
      <c r="M14" s="70" t="e">
        <f>_xll.qlSimpleQuoteSetValue(D14,ROUND($L14,6),EvaluationDate)</f>
        <v>#N/A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AUD2MD_SYNTH3M_Quote#0004</v>
      </c>
      <c r="E15" s="190"/>
      <c r="F15" s="35"/>
      <c r="G15" s="75" t="s">
        <v>56</v>
      </c>
      <c r="H15" s="63">
        <f>'3MSynthDepo'!C30</f>
        <v>2.1813202666328069E-2</v>
      </c>
      <c r="I15" s="36"/>
      <c r="J15" s="66">
        <v>2.1793165166623989E-2</v>
      </c>
      <c r="K15" s="34"/>
      <c r="L15" s="69">
        <v>2.1813202666328069E-2</v>
      </c>
      <c r="M15" s="70" t="e">
        <f>_xll.qlSimpleQuoteSetValue(D15,ROUND($L15,6),EvaluationDate)</f>
        <v>#N/A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AUD3MD_SYNTH3M_Quote#0004</v>
      </c>
      <c r="E16" s="191"/>
      <c r="F16" s="35"/>
      <c r="G16" s="77" t="s">
        <v>57</v>
      </c>
      <c r="H16" s="65">
        <f>'3MSynthDepo'!C31</f>
        <v>2.1507940017316679E-2</v>
      </c>
      <c r="I16" s="36"/>
      <c r="J16" s="68">
        <v>2.1659022755934811E-2</v>
      </c>
      <c r="K16" s="34"/>
      <c r="L16" s="73">
        <v>2.1507940017316679E-2</v>
      </c>
      <c r="M16" s="74" t="e">
        <f>_xll.qlSimpleQuoteSetValue(D16,ROUND($L16,6),EvaluationDate)</f>
        <v>#N/A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AUDSND_SYNTH6M_Quote#0004</v>
      </c>
      <c r="E17" s="189" t="str">
        <f>_xll.ohRangeRetrieveError(D17)</f>
        <v/>
      </c>
      <c r="F17" s="35"/>
      <c r="G17" s="80" t="s">
        <v>50</v>
      </c>
      <c r="H17" s="81">
        <f>'6MSynthDepo'!C28</f>
        <v>2.3566136314606689E-2</v>
      </c>
      <c r="I17" s="36"/>
      <c r="J17" s="82">
        <v>2.3144859496242454E-2</v>
      </c>
      <c r="K17" s="34"/>
      <c r="L17" s="83">
        <v>2.3566136314606689E-2</v>
      </c>
      <c r="M17" s="84" t="e">
        <f>_xll.qlSimpleQuoteSetValue(D17,ROUND($L17,6),EvaluationDate)</f>
        <v>#N/A</v>
      </c>
      <c r="N17" s="121">
        <f>_xll.ohTrigger(M17:M26)</f>
        <v>16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AUDSWD_SYNTH6M_Quote#0004</v>
      </c>
      <c r="E18" s="190" t="str">
        <f>_xll.ohRangeRetrieveError(D18)</f>
        <v/>
      </c>
      <c r="F18" s="35"/>
      <c r="G18" s="75" t="s">
        <v>52</v>
      </c>
      <c r="H18" s="63">
        <f>'6MSynthDepo'!C29</f>
        <v>2.3557260628177534E-2</v>
      </c>
      <c r="I18" s="36"/>
      <c r="J18" s="66">
        <v>2.3148398450809151E-2</v>
      </c>
      <c r="K18" s="34"/>
      <c r="L18" s="69">
        <v>2.3557260628177534E-2</v>
      </c>
      <c r="M18" s="70" t="e">
        <f>_xll.qlSimpleQuoteSetValue(D18,ROUND($L18,6),EvaluationDate)</f>
        <v>#N/A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AUD2WD_SYNTH6M_Quote#0004</v>
      </c>
      <c r="E19" s="190" t="str">
        <f>_xll.ohRangeRetrieveError(D19)</f>
        <v/>
      </c>
      <c r="F19" s="33"/>
      <c r="G19" s="75" t="s">
        <v>53</v>
      </c>
      <c r="H19" s="63">
        <f>'6MSynthDepo'!C30</f>
        <v>2.3526765938304193E-2</v>
      </c>
      <c r="I19" s="36"/>
      <c r="J19" s="66">
        <v>2.3145344124444387E-2</v>
      </c>
      <c r="K19" s="34"/>
      <c r="L19" s="69">
        <v>2.3526765938304193E-2</v>
      </c>
      <c r="M19" s="70" t="e">
        <f>_xll.qlSimpleQuoteSetValue(D19,ROUND($L19,6),EvaluationDate)</f>
        <v>#N/A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AUD3WD_SYNTH6M_Quote#0004</v>
      </c>
      <c r="E20" s="190" t="str">
        <f>_xll.ohRangeRetrieveError(D20)</f>
        <v/>
      </c>
      <c r="F20" s="33"/>
      <c r="G20" s="75" t="s">
        <v>54</v>
      </c>
      <c r="H20" s="63">
        <f>'6MSynthDepo'!C31</f>
        <v>2.3485743457036325E-2</v>
      </c>
      <c r="I20" s="36"/>
      <c r="J20" s="66">
        <v>2.3135483096261462E-2</v>
      </c>
      <c r="K20" s="34"/>
      <c r="L20" s="69">
        <v>2.3485743457036325E-2</v>
      </c>
      <c r="M20" s="70" t="e">
        <f>_xll.qlSimpleQuoteSetValue(D20,ROUND($L20,6),EvaluationDate)</f>
        <v>#N/A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AUD1MD_SYNTH6M_Quote#0004</v>
      </c>
      <c r="E21" s="190" t="str">
        <f>_xll.ohRangeRetrieveError(D21)</f>
        <v/>
      </c>
      <c r="F21" s="33"/>
      <c r="G21" s="209" t="s">
        <v>55</v>
      </c>
      <c r="H21" s="210">
        <f>'6MSynthDepo'!C32</f>
        <v>2.3407459111352974E-2</v>
      </c>
      <c r="I21" s="207"/>
      <c r="J21" s="211">
        <v>2.3106841050243576E-2</v>
      </c>
      <c r="K21" s="208"/>
      <c r="L21" s="212">
        <v>2.3407459111352974E-2</v>
      </c>
      <c r="M21" s="213" t="e">
        <f>_xll.qlSimpleQuoteSetValue(D21,ROUND($L21,6),EvaluationDate)</f>
        <v>#N/A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AUD2MD_SYNTH6M_Quote#0004</v>
      </c>
      <c r="E22" s="190" t="str">
        <f>_xll.ohRangeRetrieveError(D22)</f>
        <v/>
      </c>
      <c r="F22" s="33"/>
      <c r="G22" s="75" t="s">
        <v>56</v>
      </c>
      <c r="H22" s="63">
        <f>'6MSynthDepo'!C33</f>
        <v>2.3144395562703726E-2</v>
      </c>
      <c r="I22" s="36"/>
      <c r="J22" s="66">
        <v>2.2992841350747233E-2</v>
      </c>
      <c r="K22" s="34"/>
      <c r="L22" s="69">
        <v>2.3144395562703726E-2</v>
      </c>
      <c r="M22" s="70" t="e">
        <f>_xll.qlSimpleQuoteSetValue(D22,ROUND($L22,6),EvaluationDate)</f>
        <v>#N/A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AUD3MD_SYNTH6M_Quote#0004</v>
      </c>
      <c r="E23" s="190" t="str">
        <f>_xll.ohRangeRetrieveError(D23)</f>
        <v/>
      </c>
      <c r="F23" s="33"/>
      <c r="G23" s="75" t="s">
        <v>57</v>
      </c>
      <c r="H23" s="63">
        <f>'6MSynthDepo'!C34</f>
        <v>2.2849596097957746E-2</v>
      </c>
      <c r="I23" s="36"/>
      <c r="J23" s="66">
        <v>2.2874880130079815E-2</v>
      </c>
      <c r="K23" s="34"/>
      <c r="L23" s="69">
        <v>2.2849596097957746E-2</v>
      </c>
      <c r="M23" s="70" t="e">
        <f>_xll.qlSimpleQuoteSetValue(D23,ROUND($L23,6),EvaluationDate)</f>
        <v>#N/A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AUD4MD_SYNTH6M_Quote#0004</v>
      </c>
      <c r="E24" s="190" t="str">
        <f>_xll.ohRangeRetrieveError(D24)</f>
        <v/>
      </c>
      <c r="F24" s="33"/>
      <c r="G24" s="75" t="s">
        <v>58</v>
      </c>
      <c r="H24" s="63">
        <f>'6MSynthDepo'!C35</f>
        <v>2.2714793608667367E-2</v>
      </c>
      <c r="I24" s="36"/>
      <c r="J24" s="66">
        <v>2.2756980390109934E-2</v>
      </c>
      <c r="K24" s="34"/>
      <c r="L24" s="69">
        <v>2.2714793608667367E-2</v>
      </c>
      <c r="M24" s="70" t="e">
        <f>_xll.qlSimpleQuoteSetValue(D24,ROUND($L24,6),EvaluationDate)</f>
        <v>#N/A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AUD5MD_SYNTH6M_Quote#0004</v>
      </c>
      <c r="E25" s="190" t="str">
        <f>_xll.ohRangeRetrieveError(D25)</f>
        <v/>
      </c>
      <c r="F25" s="33"/>
      <c r="G25" s="75" t="s">
        <v>59</v>
      </c>
      <c r="H25" s="63">
        <f>'6MSynthDepo'!C36</f>
        <v>2.2491438804836502E-2</v>
      </c>
      <c r="I25" s="36"/>
      <c r="J25" s="66">
        <v>2.2705135911978848E-2</v>
      </c>
      <c r="K25" s="34"/>
      <c r="L25" s="69">
        <v>2.2491438804836502E-2</v>
      </c>
      <c r="M25" s="70" t="e">
        <f>_xll.qlSimpleQuoteSetValue(D25,ROUND($L25,6),EvaluationDate)</f>
        <v>#N/A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AUD6MD_SYNTH6M_Quote#0004</v>
      </c>
      <c r="E26" s="191" t="str">
        <f>_xll.ohRangeRetrieveError(D26)</f>
        <v/>
      </c>
      <c r="F26" s="33"/>
      <c r="G26" s="77" t="s">
        <v>60</v>
      </c>
      <c r="H26" s="65">
        <f>'6MSynthDepo'!C37</f>
        <v>2.225443039054107E-2</v>
      </c>
      <c r="I26" s="36"/>
      <c r="J26" s="68">
        <v>2.2626148745181061E-2</v>
      </c>
      <c r="K26" s="34"/>
      <c r="L26" s="73">
        <v>2.225443039054107E-2</v>
      </c>
      <c r="M26" s="74" t="e">
        <f>_xll.qlSimpleQuoteSetValue(D26,ROUND($L26,6),EvaluationDate)</f>
        <v>#N/A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0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0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U2" sqref="U2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obj_001c2#0004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176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91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115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obj_0020c#0004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2.06E-2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42278</v>
      </c>
      <c r="U3" s="152">
        <f>_xll.qlRateHelperPillarDate(L3,Trigger)</f>
        <v>42310</v>
      </c>
    </row>
    <row r="4" spans="1:25" ht="11.25" customHeight="1" x14ac:dyDescent="0.2">
      <c r="A4" s="393"/>
      <c r="B4" s="177">
        <v>1</v>
      </c>
      <c r="C4" s="177" t="s">
        <v>115</v>
      </c>
      <c r="D4" s="178" t="s">
        <v>36</v>
      </c>
      <c r="E4" s="179" t="s">
        <v>145</v>
      </c>
      <c r="F4" s="179" t="s">
        <v>146</v>
      </c>
      <c r="G4" s="177" t="s">
        <v>174</v>
      </c>
      <c r="H4" s="180" t="s">
        <v>113</v>
      </c>
      <c r="I4" s="180" t="s">
        <v>173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AUDQM3AB3M_S1BR3BR_Quote#0004</v>
      </c>
      <c r="L4" s="183" t="str">
        <f>_xll.qlSwapRateHelper2(,$K4,B4,D4,Calendar,$G4,$H4,$I4,$L$1,$J4,C4,Discounting,,,Permanent,Trigger,ObjectOverwrite)</f>
        <v>obj_001eb#0005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2.1498753053758573E-2</v>
      </c>
      <c r="R4" s="192">
        <f>IF(ISBLANK(J4),"--",_xll.qlSwapRateHelperSpread(L4,AllTriggers))</f>
        <v>1.4E-3</v>
      </c>
      <c r="S4" s="149" t="b">
        <v>1</v>
      </c>
      <c r="T4" s="152">
        <f>_xll.qlRateHelperEarliestDate(L4,Trigger)</f>
        <v>42279</v>
      </c>
      <c r="U4" s="152">
        <f>_xll.qlRateHelperPillarDate(L4,Trigger)</f>
        <v>42373</v>
      </c>
    </row>
    <row r="5" spans="1:25" ht="11.25" customHeight="1" x14ac:dyDescent="0.2">
      <c r="A5" s="393"/>
      <c r="B5" s="142">
        <v>1</v>
      </c>
      <c r="C5" s="142" t="s">
        <v>115</v>
      </c>
      <c r="D5" s="143" t="s">
        <v>37</v>
      </c>
      <c r="E5" s="144" t="s">
        <v>145</v>
      </c>
      <c r="F5" s="144" t="s">
        <v>146</v>
      </c>
      <c r="G5" s="142" t="s">
        <v>174</v>
      </c>
      <c r="H5" s="145" t="s">
        <v>113</v>
      </c>
      <c r="I5" s="145" t="s">
        <v>173</v>
      </c>
      <c r="J5" s="146" t="str">
        <f t="shared" si="0"/>
        <v>AUD1BR3BR6M_Quote</v>
      </c>
      <c r="K5" s="147" t="str">
        <f>'1M BBSWSwapForBasisCalc'!K4</f>
        <v>AUDQM3AB6M_S1BR3BR_Quote#0004</v>
      </c>
      <c r="L5" s="148" t="str">
        <f>_xll.qlSwapRateHelper2(,$K5,B5,D5,Calendar,$G5,$H5,$I5,$L$1,$J5,C5,Discounting,,,Permanent,Trigger,ObjectOverwrite)</f>
        <v>obj_001ec#0005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2.082253240220042E-2</v>
      </c>
      <c r="R5" s="192">
        <f>IF(ISBLANK(J5),"--",_xll.qlSwapRateHelperSpread(L5,AllTriggers))</f>
        <v>1.3749999999999999E-3</v>
      </c>
      <c r="S5" s="149" t="b">
        <v>1</v>
      </c>
      <c r="T5" s="152">
        <f>_xll.qlRateHelperEarliestDate(L5,Trigger)</f>
        <v>42279</v>
      </c>
      <c r="U5" s="152">
        <f>_xll.qlRateHelperPillarDate(L5,Trigger)</f>
        <v>42464</v>
      </c>
    </row>
    <row r="6" spans="1:25" ht="11.25" customHeight="1" x14ac:dyDescent="0.2">
      <c r="A6" s="164"/>
      <c r="B6" s="142">
        <v>1</v>
      </c>
      <c r="C6" s="142" t="s">
        <v>115</v>
      </c>
      <c r="D6" s="143" t="s">
        <v>45</v>
      </c>
      <c r="E6" s="144" t="s">
        <v>145</v>
      </c>
      <c r="F6" s="144" t="s">
        <v>146</v>
      </c>
      <c r="G6" s="142" t="s">
        <v>174</v>
      </c>
      <c r="H6" s="145" t="s">
        <v>113</v>
      </c>
      <c r="I6" s="145" t="s">
        <v>173</v>
      </c>
      <c r="J6" s="146" t="str">
        <f t="shared" si="0"/>
        <v>AUD1BR3BR9M_Quote</v>
      </c>
      <c r="K6" s="147" t="str">
        <f>'1M BBSWSwapForBasisCalc'!K5</f>
        <v>AUDQM3AB9M_S1BR3BR_Quote#0004</v>
      </c>
      <c r="L6" s="148" t="str">
        <f>_xll.qlSwapRateHelper2(,$K6,B6,D6,Calendar,$G6,$H6,$I6,$L$1,$J6,C6,Discounting,,,Permanent,Trigger,ObjectOverwrite)</f>
        <v>obj_001ed#0005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2.0139593484383742E-2</v>
      </c>
      <c r="R6" s="192">
        <f>IF(ISBLANK(J6),"--",_xll.qlSwapRateHelperSpread(L6,AllTriggers))</f>
        <v>1.3500000000000001E-3</v>
      </c>
      <c r="S6" s="149" t="b">
        <v>1</v>
      </c>
      <c r="T6" s="152">
        <f>_xll.qlRateHelperEarliestDate(L6,Trigger)</f>
        <v>42279</v>
      </c>
      <c r="U6" s="152">
        <f>_xll.qlRateHelperPillarDate(L6,Trigger)</f>
        <v>42555</v>
      </c>
    </row>
    <row r="7" spans="1:25" ht="11.25" customHeight="1" x14ac:dyDescent="0.2">
      <c r="A7" s="164"/>
      <c r="B7" s="142">
        <v>1</v>
      </c>
      <c r="C7" s="142" t="s">
        <v>115</v>
      </c>
      <c r="D7" s="143" t="s">
        <v>23</v>
      </c>
      <c r="E7" s="144" t="s">
        <v>145</v>
      </c>
      <c r="F7" s="144" t="s">
        <v>146</v>
      </c>
      <c r="G7" s="142" t="s">
        <v>174</v>
      </c>
      <c r="H7" s="145" t="s">
        <v>113</v>
      </c>
      <c r="I7" s="145" t="s">
        <v>173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_xll.qlSwapRateHelper2(,$K7,B7,D7,Calendar,$G7,$H7,$I7,$L$1,$J7,C7,Discounting,,,Permanent,Trigger,ObjectOverwrite)</f>
        <v>obj_001c3#0005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1.9775000000000001E-2</v>
      </c>
      <c r="R7" s="192">
        <f>IF(ISBLANK(J7),"--",_xll.qlSwapRateHelperSpread(L7,AllTriggers))</f>
        <v>1.3500000000000001E-3</v>
      </c>
      <c r="S7" s="149" t="b">
        <v>1</v>
      </c>
      <c r="T7" s="152">
        <f>_xll.qlRateHelperEarliestDate(L7,Trigger)</f>
        <v>42279</v>
      </c>
      <c r="U7" s="152">
        <f>_xll.qlRateHelperPillarDate(L7,Trigger)</f>
        <v>42647</v>
      </c>
    </row>
    <row r="8" spans="1:25" ht="11.25" customHeight="1" x14ac:dyDescent="0.2">
      <c r="A8" s="164"/>
      <c r="B8" s="142">
        <v>1</v>
      </c>
      <c r="C8" s="142" t="s">
        <v>115</v>
      </c>
      <c r="D8" s="143" t="s">
        <v>149</v>
      </c>
      <c r="E8" s="144" t="s">
        <v>145</v>
      </c>
      <c r="F8" s="144" t="s">
        <v>146</v>
      </c>
      <c r="G8" s="142" t="s">
        <v>174</v>
      </c>
      <c r="H8" s="145" t="s">
        <v>113</v>
      </c>
      <c r="I8" s="145" t="s">
        <v>173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_xll.qlSwapRateHelper2(,$K8,B8,D8,Calendar,$G8,$H8,$I8,$L$1,$J8,C8,Discounting,,,Permanent,Trigger,ObjectOverwrite)</f>
        <v>obj_001c4#0005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1.9675000000000002E-2</v>
      </c>
      <c r="R8" s="192">
        <f>IF(ISBLANK(J8),"--",_xll.qlSwapRateHelperSpread(L8,AllTriggers))</f>
        <v>1.2875E-3</v>
      </c>
      <c r="S8" s="149" t="b">
        <v>0</v>
      </c>
      <c r="T8" s="152">
        <f>_xll.qlRateHelperEarliestDate(L8,Trigger)</f>
        <v>42279</v>
      </c>
      <c r="U8" s="152">
        <f>_xll.qlRateHelperPillarDate(L8,Trigger)</f>
        <v>43011</v>
      </c>
    </row>
    <row r="9" spans="1:25" ht="11.25" customHeight="1" x14ac:dyDescent="0.2">
      <c r="A9" s="164"/>
      <c r="B9" s="153">
        <v>1</v>
      </c>
      <c r="C9" s="153" t="s">
        <v>115</v>
      </c>
      <c r="D9" s="154" t="s">
        <v>73</v>
      </c>
      <c r="E9" s="155" t="s">
        <v>145</v>
      </c>
      <c r="F9" s="155" t="s">
        <v>146</v>
      </c>
      <c r="G9" s="153" t="s">
        <v>174</v>
      </c>
      <c r="H9" s="156" t="s">
        <v>113</v>
      </c>
      <c r="I9" s="156" t="s">
        <v>173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_xll.qlSwapRateHelper2(,$K9,B9,D9,Calendar,$G9,$H9,$I9,$L$1,$J9,C9,Discounting,,,Permanent,Trigger,ObjectOverwrite)</f>
        <v>obj_001c5#0005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2.0400000000000001E-2</v>
      </c>
      <c r="R9" s="193">
        <f>IF(ISBLANK(J9),"--",_xll.qlSwapRateHelperSpread(L9,AllTriggers))</f>
        <v>1.175E-3</v>
      </c>
      <c r="S9" s="158" t="b">
        <v>0</v>
      </c>
      <c r="T9" s="160">
        <f>_xll.qlRateHelperEarliestDate(L9,Trigger)</f>
        <v>42279</v>
      </c>
      <c r="U9" s="160">
        <f>_xll.qlRateHelperPillarDate(L9,Trigger)</f>
        <v>43375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136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114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obj_001eb#0005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2.1498753053758573E-2</v>
      </c>
      <c r="R13" s="187">
        <f t="array" ref="R13:R21">_xll.ohFilter(R3:R8,S3:S8)</f>
        <v>1.4E-3</v>
      </c>
      <c r="S13" s="152">
        <f t="array" ref="S13:S21">_xll.ohFilter(T3:T8,S3:S8)</f>
        <v>42279</v>
      </c>
      <c r="T13" s="152">
        <f t="array" ref="T13:T21">_xll.ohFilter(U3:U8,S3:S8)</f>
        <v>42373</v>
      </c>
      <c r="U13" s="162">
        <v>0.99479595600196102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obj_001ec#0005</v>
      </c>
      <c r="N14" s="394"/>
      <c r="P14" s="164" t="str">
        <v>AUDQM3AB6M_S1BR3BR_Quote</v>
      </c>
      <c r="Q14" s="151">
        <v>2.082253240220042E-2</v>
      </c>
      <c r="R14" s="187">
        <v>1.3749999999999999E-3</v>
      </c>
      <c r="S14" s="152">
        <v>42279</v>
      </c>
      <c r="T14" s="152">
        <v>42464</v>
      </c>
      <c r="U14" s="162">
        <v>0.99016191577421986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obj_001ed#0005</v>
      </c>
      <c r="N15" s="394"/>
      <c r="P15" s="164" t="str">
        <v>AUDQM3AB9M_S1BR3BR_Quote</v>
      </c>
      <c r="Q15" s="151">
        <v>2.0139593484383742E-2</v>
      </c>
      <c r="R15" s="187">
        <v>1.3500000000000001E-3</v>
      </c>
      <c r="S15" s="152">
        <v>42279</v>
      </c>
      <c r="T15" s="152">
        <v>42555</v>
      </c>
      <c r="U15" s="162">
        <v>0.98587459132046862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obj_001c3#0005</v>
      </c>
      <c r="N16" s="394"/>
      <c r="P16" s="164" t="str">
        <v>AUDQM3AB1Y_Quote</v>
      </c>
      <c r="Q16" s="151">
        <v>1.9775000000000001E-2</v>
      </c>
      <c r="R16" s="187">
        <v>1.3500000000000001E-3</v>
      </c>
      <c r="S16" s="152">
        <v>42279</v>
      </c>
      <c r="T16" s="152">
        <v>42647</v>
      </c>
      <c r="U16" s="162">
        <v>0.98158902133505854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obj_0020e#0006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122</v>
      </c>
      <c r="T25" s="265" t="str">
        <f>"F 3M"</f>
        <v>F 3M</v>
      </c>
      <c r="U25" s="265" t="s">
        <v>125</v>
      </c>
      <c r="V25" s="265" t="s">
        <v>123</v>
      </c>
      <c r="W25" s="265" t="s">
        <v>124</v>
      </c>
      <c r="X25" s="265" t="s">
        <v>126</v>
      </c>
    </row>
    <row r="26" spans="1:25" x14ac:dyDescent="0.2">
      <c r="J26" s="447"/>
      <c r="K26" s="447"/>
      <c r="P26" s="439" t="s">
        <v>175</v>
      </c>
      <c r="Q26" s="440">
        <f>SettlementDate</f>
        <v>42278</v>
      </c>
      <c r="R26" s="440">
        <f>_xll.qlInterestRateIndexMaturity($P$23,Q26,Trigger)</f>
        <v>42373</v>
      </c>
      <c r="S26" s="222">
        <f>_xll.qlDayCounterYearFraction(DayCounter,Q26,R26,,,Trigger)</f>
        <v>0.26027397260273971</v>
      </c>
      <c r="T26" s="205">
        <f>_xll.qlIndexFixing($P$23,_xll.qlInterestRateIndexFixingDate($P$23,Q26,Trigger),TRUE,AllTriggers)</f>
        <v>2.0099081338174941E-2</v>
      </c>
      <c r="U26" s="205">
        <f>(V26/W26-1)/S26</f>
        <v>1.9298678351978453E-2</v>
      </c>
      <c r="V26" s="206">
        <f>_xll.qlYieldTSDiscount(Discounting,Q26,,AllTriggers)</f>
        <v>1</v>
      </c>
      <c r="W26" s="206">
        <f>_xll.qlYieldTSDiscount(Discounting,R26,,AllTriggers)</f>
        <v>0.9950021601872524</v>
      </c>
      <c r="X26" s="441">
        <f>LN((1+T26*S26)/(1+U26*S26))</f>
        <v>2.0726141446399105E-4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42279</v>
      </c>
      <c r="R27" s="244">
        <f>_xll.qlInterestRateIndexMaturity($P$23,Q27,Trigger)</f>
        <v>42373</v>
      </c>
      <c r="S27" s="245">
        <f>_xll.qlDayCounterYearFraction(DayCounter,Q27,R27,,,Trigger)</f>
        <v>0.25753424657534246</v>
      </c>
      <c r="T27" s="246">
        <f>_xll.qlIndexFixing($P$23,_xll.qlInterestRateIndexFixingDate($P$23,Q27,Trigger),TRUE,AllTriggers)</f>
        <v>2.0098528922982011E-2</v>
      </c>
      <c r="U27" s="246">
        <f>(V27/W27-1)/S27</f>
        <v>1.9289999999986499E-2</v>
      </c>
      <c r="V27" s="247">
        <f>_xll.qlYieldTSDiscount(Discounting,Q27,,AllTriggers)</f>
        <v>0.99994516735706029</v>
      </c>
      <c r="W27" s="247">
        <f>_xll.qlYieldTSDiscount(Discounting,R27,,AllTriggers)</f>
        <v>0.9950021601872524</v>
      </c>
      <c r="X27" s="436">
        <f>LN((1+T27*S27)/(1+U27*S27))</f>
        <v>2.0717311657969962E-4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42373</v>
      </c>
      <c r="R28" s="169">
        <f>_xll.qlInterestRateIndexMaturity($P$23,Q28,Trigger)</f>
        <v>42464</v>
      </c>
      <c r="S28" s="196">
        <f>_xll.qlDayCounterYearFraction(DayCounter,Q28,R28,,,Trigger)</f>
        <v>0.24931506849315069</v>
      </c>
      <c r="T28" s="20">
        <f>_xll.qlIndexFixing($P$23,_xll.qlInterestRateIndexFixingDate($P$23,Q28,Trigger),TRUE,AllTriggers)</f>
        <v>1.8771762611589877E-2</v>
      </c>
      <c r="U28" s="20">
        <f>(V28/W28-1)/S28</f>
        <v>1.7950549893643291E-2</v>
      </c>
      <c r="V28" s="197">
        <f>_xll.qlYieldTSDiscount(Discounting,Q28,,AllTriggers)</f>
        <v>0.9950021601872524</v>
      </c>
      <c r="W28" s="197">
        <f>_xll.qlYieldTSDiscount(Discounting,R28,,AllTriggers)</f>
        <v>0.99056902445741002</v>
      </c>
      <c r="X28" s="438">
        <f>LN((1+T28*S28)/(1+U28*S28))</f>
        <v>2.0380773243929945E-4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42464</v>
      </c>
      <c r="R29" s="169">
        <f>_xll.qlInterestRateIndexMaturity($P$23,Q29,Trigger)</f>
        <v>42555</v>
      </c>
      <c r="S29" s="196">
        <f>_xll.qlDayCounterYearFraction(DayCounter,Q29,R29,,,Trigger)</f>
        <v>0.24931506849315069</v>
      </c>
      <c r="T29" s="20">
        <f>_xll.qlIndexFixing($P$23,_xll.qlInterestRateIndexFixingDate($P$23,Q29,Trigger),TRUE,AllTriggers)</f>
        <v>1.7442797919670208E-2</v>
      </c>
      <c r="U29" s="20">
        <f>(V29/W29-1)/S29</f>
        <v>1.6772287363427219E-2</v>
      </c>
      <c r="V29" s="197">
        <f>_xll.qlYieldTSDiscount(Discounting,Q29,,AllTriggers)</f>
        <v>0.99056902445741002</v>
      </c>
      <c r="W29" s="197">
        <f>_xll.qlYieldTSDiscount(Discounting,R29,,AllTriggers)</f>
        <v>0.98644412551210614</v>
      </c>
      <c r="X29" s="438">
        <f>LN((1+T29*S29)/(1+U29*S29))</f>
        <v>1.6645841251915078E-4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42555</v>
      </c>
      <c r="R30" s="440">
        <f>_xll.qlInterestRateIndexMaturity($P$23,Q30,Trigger)</f>
        <v>42647</v>
      </c>
      <c r="S30" s="222">
        <f>_xll.qlDayCounterYearFraction(DayCounter,Q30,R30,,,Trigger)</f>
        <v>0.25205479452054796</v>
      </c>
      <c r="T30" s="205">
        <f>_xll.qlIndexFixing($P$23,_xll.qlInterestRateIndexFixingDate($P$23,Q30,Trigger),TRUE,AllTriggers)</f>
        <v>1.7321437714497987E-2</v>
      </c>
      <c r="U30" s="205">
        <f>(V30/W30-1)/S30</f>
        <v>1.6395600380112632E-2</v>
      </c>
      <c r="V30" s="206">
        <f>_xll.qlYieldTSDiscount(Discounting,Q30,,AllTriggers)</f>
        <v>0.98644412551210614</v>
      </c>
      <c r="W30" s="206">
        <f>_xll.qlYieldTSDiscount(Discounting,R30,,AllTriggers)</f>
        <v>0.98238433414625481</v>
      </c>
      <c r="X30" s="441">
        <f>LN((1+T30*S30)/(1+U30*S30))</f>
        <v>2.3237431877755292E-4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M1" sqref="M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M1" s="264">
        <v>14</v>
      </c>
      <c r="N1" s="329" t="str">
        <f>_xll.qlInterpolation(,interpolator3M,_xll.ohFilter(E3:E15,M3:M15),_xll.ohFilter(L3:L15,M3:M15))</f>
        <v>obj_002c1#0009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122</v>
      </c>
      <c r="H2" s="265" t="str">
        <f>F1&amp;" Market quote"</f>
        <v>3M Market quote</v>
      </c>
      <c r="I2" s="265" t="s">
        <v>123</v>
      </c>
      <c r="J2" s="265" t="s">
        <v>124</v>
      </c>
      <c r="K2" s="265" t="s">
        <v>125</v>
      </c>
      <c r="L2" s="265" t="s">
        <v>135</v>
      </c>
      <c r="M2" s="265" t="s">
        <v>76</v>
      </c>
      <c r="N2" s="265" t="s">
        <v>129</v>
      </c>
      <c r="O2" s="265" t="s">
        <v>139</v>
      </c>
      <c r="P2" s="265" t="s">
        <v>126</v>
      </c>
      <c r="R2" s="265" t="s">
        <v>102</v>
      </c>
      <c r="S2" s="330" t="s">
        <v>103</v>
      </c>
      <c r="T2" s="330" t="s">
        <v>122</v>
      </c>
      <c r="U2" s="330" t="s">
        <v>129</v>
      </c>
      <c r="V2" s="330" t="s">
        <v>123</v>
      </c>
      <c r="W2" s="330" t="s">
        <v>124</v>
      </c>
      <c r="X2" s="265" t="s">
        <v>125</v>
      </c>
      <c r="Y2" s="265" t="s">
        <v>138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42278</v>
      </c>
      <c r="F3" s="332">
        <f>_xll.qlCalendarAdvance(Calendar,E3,F1,"mf",,Trigger)</f>
        <v>42373</v>
      </c>
      <c r="G3" s="333">
        <f>_xll.qlDayCounterYearFraction(DayCounter,E3,F3,,,Trigger)</f>
        <v>0.26027397260273971</v>
      </c>
      <c r="H3" s="334">
        <f>_xll.qlQuoteValue(D3,LastFixingsTrigger)</f>
        <v>2.1649999999999999E-2</v>
      </c>
      <c r="I3" s="335">
        <f>_xll.qlYieldTSDiscount(Discounting,E3,,AllTriggers)</f>
        <v>1</v>
      </c>
      <c r="J3" s="335">
        <f>_xll.qlYieldTSDiscount(Discounting,F3,,AllTriggers)</f>
        <v>0.9950021601872524</v>
      </c>
      <c r="K3" s="334">
        <f>(I3/J3-1)/G3</f>
        <v>1.9298678351978453E-2</v>
      </c>
      <c r="L3" s="334">
        <f>H3-K3</f>
        <v>2.3513216480215461E-3</v>
      </c>
      <c r="M3" s="336" t="b">
        <v>0</v>
      </c>
      <c r="N3" s="337">
        <f>_xll.qlInterpolationInterpolate(B3Minterpolation,E3,TRUE,Trigger)</f>
        <v>2.2092616653385747E-3</v>
      </c>
      <c r="O3" s="338">
        <f>(L3-N3)*10000</f>
        <v>1.420599826829714</v>
      </c>
      <c r="P3" s="339">
        <f>LN((1+H3*G3)/(1+K3*G3))</f>
        <v>6.0874388691214119E-4</v>
      </c>
      <c r="R3" s="340">
        <f>E3</f>
        <v>42278</v>
      </c>
      <c r="S3" s="340">
        <f>_xll.qlCalendarAdvance(Calendar,R3,$F$1,"mf",,Trigger)</f>
        <v>42373</v>
      </c>
      <c r="T3" s="245">
        <f>_xll.qlDayCounterYearFraction(DayCounter,R3,S3,,,Trigger)</f>
        <v>0.26027397260273971</v>
      </c>
      <c r="U3" s="246">
        <f>_xll.qlInterpolationInterpolate(B3Minterpolation,R3,TRUE)</f>
        <v>2.2092616653385747E-3</v>
      </c>
      <c r="V3" s="247">
        <f>_xll.qlYieldTSDiscount(Discounting,R3,,AllTriggers)</f>
        <v>1</v>
      </c>
      <c r="W3" s="247">
        <f>_xll.qlYieldTSDiscount(Discounting,S3,,AllTriggers)</f>
        <v>0.9950021601872524</v>
      </c>
      <c r="X3" s="246">
        <f>(V3/W3-1)/T3</f>
        <v>1.9298678351978453E-2</v>
      </c>
      <c r="Y3" s="341">
        <f>LN((1+(U3+X3)*T3)/(1+X3*T3))</f>
        <v>5.7197587634846717E-4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42310</v>
      </c>
      <c r="F4" s="141">
        <f>_xll.qlCalendarAdvance(Calendar,E4,$F$1,"mf",,Trigger)</f>
        <v>42402</v>
      </c>
      <c r="G4" s="196">
        <f>_xll.qlDayCounterYearFraction(DayCounter,E4,F4,,,Trigger)</f>
        <v>0.25205479452054796</v>
      </c>
      <c r="H4" s="20">
        <f>_xll.qlQuoteValue(D4,AllTriggers)</f>
        <v>2.1499999999999998E-2</v>
      </c>
      <c r="I4" s="197">
        <f>_xll.qlYieldTSDiscount(Discounting,E4,,AllTriggers)</f>
        <v>0.9982622066752449</v>
      </c>
      <c r="J4" s="197">
        <f>_xll.qlYieldTSDiscount(Discounting,F4,,AllTriggers)</f>
        <v>0.99353360916607236</v>
      </c>
      <c r="K4" s="20">
        <f t="shared" ref="K4:K6" si="0">(I4/J4-1)/G4</f>
        <v>1.8882296951582941E-2</v>
      </c>
      <c r="L4" s="20">
        <f t="shared" ref="L4:L15" si="1">H4-K4</f>
        <v>2.6177030484170576E-3</v>
      </c>
      <c r="M4" s="195" t="b">
        <v>0</v>
      </c>
      <c r="N4" s="20">
        <f>_xll.qlInterpolationInterpolate(B3Minterpolation,E4,TRUE,Trigger)</f>
        <v>2.1822500671337206E-3</v>
      </c>
      <c r="O4" s="224">
        <f t="shared" ref="O4:O15" si="2">(L4-N4)*10000</f>
        <v>4.3545298128333698</v>
      </c>
      <c r="P4" s="343">
        <f t="shared" ref="P4:P15" si="3">LN((1+H4*G4)/(1+K4*G4))</f>
        <v>6.5646370285592703E-4</v>
      </c>
      <c r="R4" s="141">
        <f>_xll.qlCalendarAdvance(Calendar,R3,"1D","f")</f>
        <v>42279</v>
      </c>
      <c r="S4" s="141">
        <f>_xll.qlCalendarAdvance(Calendar,R4,$F$1,"mf",,Trigger)</f>
        <v>42373</v>
      </c>
      <c r="T4" s="196">
        <f>_xll.qlDayCounterYearFraction(DayCounter,R4,S4,,,Trigger)</f>
        <v>0.25753424657534246</v>
      </c>
      <c r="U4" s="20">
        <f>_xll.qlInterpolationInterpolate(B3Minterpolation,R4,TRUE)</f>
        <v>2.2084180347344334E-3</v>
      </c>
      <c r="V4" s="197">
        <f>_xll.qlYieldTSDiscount(Discounting,R4,,AllTriggers)</f>
        <v>0.99994516735706029</v>
      </c>
      <c r="W4" s="197">
        <f>_xll.qlYieldTSDiscount(Discounting,S4,,AllTriggers)</f>
        <v>0.9950021601872524</v>
      </c>
      <c r="X4" s="20">
        <f t="shared" ref="X4:X67" si="4">(V4/W4-1)/T4</f>
        <v>1.9289999999986499E-2</v>
      </c>
      <c r="Y4" s="343">
        <f t="shared" ref="Y4:Y67" si="5">LN((1+(U4+X4)*T4)/(1+X4*T4))</f>
        <v>5.6577173943600219E-4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42339</v>
      </c>
      <c r="F5" s="141">
        <f>_xll.qlCalendarAdvance(Calendar,E5,$F$1,"mf",,Trigger)</f>
        <v>42430</v>
      </c>
      <c r="G5" s="196">
        <f>_xll.qlDayCounterYearFraction(DayCounter,E5,F5,,,Trigger)</f>
        <v>0.24931506849315069</v>
      </c>
      <c r="H5" s="20">
        <f>_xll.qlQuoteValue(D5,AllTriggers)</f>
        <v>2.0899999999999998E-2</v>
      </c>
      <c r="I5" s="197">
        <f>_xll.qlYieldTSDiscount(Discounting,E5,,AllTriggers)</f>
        <v>0.99673620604569801</v>
      </c>
      <c r="J5" s="197">
        <f>_xll.qlYieldTSDiscount(Discounting,F5,,AllTriggers)</f>
        <v>0.99217386063315971</v>
      </c>
      <c r="K5" s="20">
        <f t="shared" si="0"/>
        <v>1.8443861544940581E-2</v>
      </c>
      <c r="L5" s="20">
        <f t="shared" si="1"/>
        <v>2.4561384550594173E-3</v>
      </c>
      <c r="M5" s="195" t="b">
        <v>0</v>
      </c>
      <c r="N5" s="20">
        <f>_xll.qlInterpolationInterpolate(B3Minterpolation,E5,TRUE,Trigger)</f>
        <v>2.1577524756253856E-3</v>
      </c>
      <c r="O5" s="224">
        <f t="shared" si="2"/>
        <v>2.9838597943403169</v>
      </c>
      <c r="P5" s="343">
        <f t="shared" si="3"/>
        <v>6.0936371641019194E-4</v>
      </c>
      <c r="R5" s="141">
        <f>_xll.qlCalendarAdvance(Calendar,R4,"1D","f")</f>
        <v>42283</v>
      </c>
      <c r="S5" s="141">
        <f>_xll.qlCalendarAdvance(Calendar,R5,$F$1,"mf",,Trigger)</f>
        <v>42375</v>
      </c>
      <c r="T5" s="196">
        <f>_xll.qlDayCounterYearFraction(DayCounter,R5,S5,,,Trigger)</f>
        <v>0.25205479452054796</v>
      </c>
      <c r="U5" s="20">
        <f>_xll.qlInterpolationInterpolate(B3Minterpolation,R5,TRUE)</f>
        <v>2.2050431548238524E-3</v>
      </c>
      <c r="V5" s="197">
        <f>_xll.qlYieldTSDiscount(Discounting,R5,,AllTriggers)</f>
        <v>0.99972595037950818</v>
      </c>
      <c r="W5" s="197">
        <f>_xll.qlYieldTSDiscount(Discounting,S5,,AllTriggers)</f>
        <v>0.99490031152638081</v>
      </c>
      <c r="X5" s="20">
        <f t="shared" si="4"/>
        <v>1.9243332625404255E-2</v>
      </c>
      <c r="Y5" s="343">
        <f t="shared" si="5"/>
        <v>5.529560057086592E-4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42373</v>
      </c>
      <c r="F6" s="221">
        <f>_xll.qlCalendarAdvance(Calendar,E6,$F$1,"mf",,Trigger)</f>
        <v>42464</v>
      </c>
      <c r="G6" s="222">
        <f>_xll.qlDayCounterYearFraction(DayCounter,E6,F6,,,Trigger)</f>
        <v>0.24931506849315069</v>
      </c>
      <c r="H6" s="205">
        <f>_xll.qlQuoteValue(D6,AllTriggers)</f>
        <v>2.06E-2</v>
      </c>
      <c r="I6" s="206">
        <f>_xll.qlYieldTSDiscount(Discounting,E6,,AllTriggers)</f>
        <v>0.9950021601872524</v>
      </c>
      <c r="J6" s="206">
        <f>_xll.qlYieldTSDiscount(Discounting,F6,,AllTriggers)</f>
        <v>0.99056902445741002</v>
      </c>
      <c r="K6" s="205">
        <f t="shared" si="0"/>
        <v>1.7950549893643291E-2</v>
      </c>
      <c r="L6" s="205">
        <f t="shared" si="1"/>
        <v>2.6494501063567093E-3</v>
      </c>
      <c r="M6" s="223" t="b">
        <v>0</v>
      </c>
      <c r="N6" s="205">
        <f>_xll.qlInterpolationInterpolate(B3Minterpolation,E6,TRUE,Trigger)</f>
        <v>2.1290265373358225E-3</v>
      </c>
      <c r="O6" s="230">
        <f t="shared" si="2"/>
        <v>5.2042356902088676</v>
      </c>
      <c r="P6" s="345">
        <f t="shared" si="3"/>
        <v>6.573887005419547E-4</v>
      </c>
      <c r="R6" s="141">
        <f>_xll.qlCalendarAdvance(Calendar,R5,"1D","f")</f>
        <v>42284</v>
      </c>
      <c r="S6" s="141">
        <f>_xll.qlCalendarAdvance(Calendar,R6,$F$1,"mf",,Trigger)</f>
        <v>42376</v>
      </c>
      <c r="T6" s="196">
        <f>_xll.qlDayCounterYearFraction(DayCounter,R6,S6,,,Trigger)</f>
        <v>0.25205479452054796</v>
      </c>
      <c r="U6" s="20">
        <f>_xll.qlInterpolationInterpolate(B3Minterpolation,R6,TRUE)</f>
        <v>2.2041993480632397E-3</v>
      </c>
      <c r="V6" s="197">
        <f>_xll.qlYieldTSDiscount(Discounting,R6,,AllTriggers)</f>
        <v>0.99967119540725391</v>
      </c>
      <c r="W6" s="197">
        <f>_xll.qlYieldTSDiscount(Discounting,S6,,AllTriggers)</f>
        <v>0.99484935808395092</v>
      </c>
      <c r="X6" s="20">
        <f t="shared" si="4"/>
        <v>1.9229157974526335E-2</v>
      </c>
      <c r="Y6" s="343">
        <f t="shared" si="5"/>
        <v>5.5274642854787493E-4</v>
      </c>
      <c r="AD6" s="311"/>
      <c r="AE6" s="311"/>
    </row>
    <row r="7" spans="1:31" ht="11.25" customHeight="1" x14ac:dyDescent="0.2">
      <c r="C7" s="264" t="str">
        <f>_xll.qlASXNextCode(SettlementDate,TRUE)</f>
        <v>Z5</v>
      </c>
      <c r="D7" s="342" t="str">
        <f t="shared" ref="D7:D15" si="7">Currency&amp;"FUT"&amp;"3M"&amp;C7&amp;QuoteSuffix</f>
        <v>AUDFUT3MZ5_Quote</v>
      </c>
      <c r="E7" s="141">
        <f>_xll.qlASXdate(C7,$E$3,Trigger)</f>
        <v>42349</v>
      </c>
      <c r="F7" s="141">
        <f>_xll.qlCalendarAdvance(Calendar,E7,$F$1,"mf",,Trigger)</f>
        <v>42440</v>
      </c>
      <c r="G7" s="196">
        <f>_xll.qlDayCounterYearFraction(DayCounter,E7,F7,,,Trigger)</f>
        <v>0.24931506849315069</v>
      </c>
      <c r="H7" s="20">
        <f>1-_xll.qlQuoteValue(D7,AllTriggers)/100</f>
        <v>2.0449999999999968E-2</v>
      </c>
      <c r="I7" s="197">
        <f>_xll.qlYieldTSDiscount(Discounting,E7,,AllTriggers)</f>
        <v>0.99622266724185182</v>
      </c>
      <c r="J7" s="197">
        <f>_xll.qlYieldTSDiscount(Discounting,F7,,AllTriggers)</f>
        <v>0.9916979072662595</v>
      </c>
      <c r="K7" s="20">
        <f t="shared" ref="K7:K15" si="8">(I7/J7-1)/G7</f>
        <v>1.8300696619893937E-2</v>
      </c>
      <c r="L7" s="20">
        <f t="shared" si="1"/>
        <v>2.1493033801060317E-3</v>
      </c>
      <c r="M7" s="195" t="b">
        <v>1</v>
      </c>
      <c r="N7" s="20">
        <f>_xll.qlInterpolationInterpolate(B3Minterpolation,E7,TRUE,Trigger)</f>
        <v>2.1493033801060317E-3</v>
      </c>
      <c r="O7" s="224">
        <f t="shared" si="2"/>
        <v>0</v>
      </c>
      <c r="P7" s="343">
        <f t="shared" si="3"/>
        <v>5.3327769884698188E-4</v>
      </c>
      <c r="R7" s="141">
        <f>_xll.qlCalendarAdvance(Calendar,R6,"1D","f")</f>
        <v>42285</v>
      </c>
      <c r="S7" s="141">
        <f>_xll.qlCalendarAdvance(Calendar,R7,$F$1,"mf",,Trigger)</f>
        <v>42377</v>
      </c>
      <c r="T7" s="196">
        <f>_xll.qlDayCounterYearFraction(DayCounter,R7,S7,,,Trigger)</f>
        <v>0.25205479452054796</v>
      </c>
      <c r="U7" s="20">
        <f>_xll.qlInterpolationInterpolate(B3Minterpolation,R7,TRUE)</f>
        <v>2.2033555076256543E-3</v>
      </c>
      <c r="V7" s="197">
        <f>_xll.qlYieldTSDiscount(Discounting,R7,,AllTriggers)</f>
        <v>0.99961646849008545</v>
      </c>
      <c r="W7" s="197">
        <f>_xll.qlYieldTSDiscount(Discounting,S7,,AllTriggers)</f>
        <v>0.99479839147109694</v>
      </c>
      <c r="X7" s="20">
        <f t="shared" si="4"/>
        <v>1.9215146538934452E-2</v>
      </c>
      <c r="Y7" s="343">
        <f t="shared" si="5"/>
        <v>5.5253681879520705E-4</v>
      </c>
      <c r="AD7" s="311"/>
      <c r="AE7" s="311"/>
    </row>
    <row r="8" spans="1:31" ht="11.25" customHeight="1" x14ac:dyDescent="0.2">
      <c r="C8" s="264" t="str">
        <f>_xll.qlASXNextCode($E7,TRUE)</f>
        <v>H6</v>
      </c>
      <c r="D8" s="342" t="str">
        <f t="shared" si="7"/>
        <v>AUDFUT3MH6_Quote</v>
      </c>
      <c r="E8" s="141">
        <f>_xll.qlASXdate(C8,$E$3,Trigger)</f>
        <v>42440</v>
      </c>
      <c r="F8" s="141">
        <f>_xll.qlCalendarAdvance(Calendar,E8,$F$1,"mf",,Trigger)</f>
        <v>42535</v>
      </c>
      <c r="G8" s="196">
        <f>_xll.qlDayCounterYearFraction(DayCounter,E8,F8,,,Trigger)</f>
        <v>0.26027397260273971</v>
      </c>
      <c r="H8" s="20">
        <f>1-_xll.qlQuoteValue(D8,AllTriggers)/100</f>
        <v>1.9050000000000011E-2</v>
      </c>
      <c r="I8" s="197">
        <f>_xll.qlYieldTSDiscount(Discounting,E8,,AllTriggers)</f>
        <v>0.9916979072662595</v>
      </c>
      <c r="J8" s="197">
        <f>_xll.qlYieldTSDiscount(Discounting,F8,,AllTriggers)</f>
        <v>0.98733506482023681</v>
      </c>
      <c r="K8" s="20">
        <f t="shared" si="8"/>
        <v>1.6977519103147296E-2</v>
      </c>
      <c r="L8" s="20">
        <f t="shared" si="1"/>
        <v>2.0724808968527152E-3</v>
      </c>
      <c r="M8" s="195" t="b">
        <v>1</v>
      </c>
      <c r="N8" s="20">
        <f>_xll.qlInterpolationInterpolate(B3Minterpolation,E8,TRUE,Trigger)</f>
        <v>2.0724808968527152E-3</v>
      </c>
      <c r="O8" s="224">
        <f t="shared" si="2"/>
        <v>0</v>
      </c>
      <c r="P8" s="343">
        <f t="shared" si="3"/>
        <v>5.3689560721927791E-4</v>
      </c>
      <c r="R8" s="141">
        <f>_xll.qlCalendarAdvance(Calendar,R7,"1D","f")</f>
        <v>42286</v>
      </c>
      <c r="S8" s="141">
        <f>_xll.qlCalendarAdvance(Calendar,R8,$F$1,"mf",,Trigger)</f>
        <v>42380</v>
      </c>
      <c r="T8" s="196">
        <f>_xll.qlDayCounterYearFraction(DayCounter,R8,S8,,,Trigger)</f>
        <v>0.25753424657534246</v>
      </c>
      <c r="U8" s="20">
        <f>_xll.qlInterpolationInterpolate(B3Minterpolation,R8,TRUE)</f>
        <v>2.2025116340292036E-3</v>
      </c>
      <c r="V8" s="197">
        <f>_xll.qlYieldTSDiscount(Discounting,R8,,AllTriggers)</f>
        <v>0.99956177379952105</v>
      </c>
      <c r="W8" s="197">
        <f>_xll.qlYieldTSDiscount(Discounting,S8,,AllTriggers)</f>
        <v>0.99464545937502546</v>
      </c>
      <c r="X8" s="20">
        <f t="shared" si="4"/>
        <v>1.9192712466487065E-2</v>
      </c>
      <c r="Y8" s="343">
        <f t="shared" si="5"/>
        <v>5.6427307709261941E-4</v>
      </c>
      <c r="AD8" s="311"/>
      <c r="AE8" s="311"/>
    </row>
    <row r="9" spans="1:31" ht="11.25" customHeight="1" x14ac:dyDescent="0.2">
      <c r="C9" s="264" t="str">
        <f>_xll.qlASXNextCode($E8,TRUE)</f>
        <v>M6</v>
      </c>
      <c r="D9" s="342" t="str">
        <f t="shared" si="7"/>
        <v>AUDFUT3MM6_Quote</v>
      </c>
      <c r="E9" s="141">
        <f>_xll.qlASXdate(C9,$E$3,Trigger)</f>
        <v>42531</v>
      </c>
      <c r="F9" s="141">
        <f>_xll.qlCalendarAdvance(Calendar,E9,$F$1,"mf",,Trigger)</f>
        <v>42625</v>
      </c>
      <c r="G9" s="196">
        <f>_xll.qlDayCounterYearFraction(DayCounter,E9,F9,,,Trigger)</f>
        <v>0.25753424657534246</v>
      </c>
      <c r="H9" s="20">
        <f>1-_xll.qlQuoteValue(D9,AllTriggers)/100</f>
        <v>1.8449999999999966E-2</v>
      </c>
      <c r="I9" s="197">
        <f>_xll.qlYieldTSDiscount(Discounting,E9,,AllTriggers)</f>
        <v>0.98751402467036531</v>
      </c>
      <c r="J9" s="197">
        <f>_xll.qlYieldTSDiscount(Discounting,F9,,AllTriggers)</f>
        <v>0.98335406529733871</v>
      </c>
      <c r="K9" s="20">
        <f t="shared" si="8"/>
        <v>1.6426467643477251E-2</v>
      </c>
      <c r="L9" s="20">
        <f t="shared" si="1"/>
        <v>2.0235323565227156E-3</v>
      </c>
      <c r="M9" s="195" t="b">
        <v>1</v>
      </c>
      <c r="N9" s="20">
        <f>_xll.qlInterpolationInterpolate(B3Minterpolation,E9,TRUE,Trigger)</f>
        <v>2.0235323565227156E-3</v>
      </c>
      <c r="O9" s="224">
        <f t="shared" si="2"/>
        <v>0</v>
      </c>
      <c r="P9" s="343">
        <f t="shared" si="3"/>
        <v>5.187989961330723E-4</v>
      </c>
      <c r="R9" s="141">
        <f>_xll.qlCalendarAdvance(Calendar,R8,"1D","f")</f>
        <v>42289</v>
      </c>
      <c r="S9" s="141">
        <f>_xll.qlCalendarAdvance(Calendar,R9,$F$1,"mf",,Trigger)</f>
        <v>42381</v>
      </c>
      <c r="T9" s="196">
        <f>_xll.qlDayCounterYearFraction(DayCounter,R9,S9,,,Trigger)</f>
        <v>0.25205479452054796</v>
      </c>
      <c r="U9" s="20">
        <f>_xll.qlInterpolationInterpolate(B3Minterpolation,R9,TRUE)</f>
        <v>2.1999798194677332E-3</v>
      </c>
      <c r="V9" s="197">
        <f>_xll.qlYieldTSDiscount(Discounting,R9,,AllTriggers)</f>
        <v>0.99939791033382253</v>
      </c>
      <c r="W9" s="197">
        <f>_xll.qlYieldTSDiscount(Discounting,S9,,AllTriggers)</f>
        <v>0.99459448684071949</v>
      </c>
      <c r="X9" s="20">
        <f t="shared" si="4"/>
        <v>1.9160633654999301E-2</v>
      </c>
      <c r="Y9" s="343">
        <f t="shared" si="5"/>
        <v>5.5169807070407583E-4</v>
      </c>
      <c r="AD9" s="311"/>
      <c r="AE9" s="311"/>
    </row>
    <row r="10" spans="1:31" ht="11.25" customHeight="1" x14ac:dyDescent="0.2">
      <c r="C10" s="264" t="str">
        <f>_xll.qlASXNextCode($E9,TRUE)</f>
        <v>U6</v>
      </c>
      <c r="D10" s="342" t="str">
        <f t="shared" si="7"/>
        <v>AUDFUT3MU6_Quote</v>
      </c>
      <c r="E10" s="141">
        <f>_xll.qlASXdate(C10,$E$3,Trigger)</f>
        <v>42622</v>
      </c>
      <c r="F10" s="141">
        <f>_xll.qlCalendarAdvance(Calendar,E10,$F$1,"mf",,Trigger)</f>
        <v>42713</v>
      </c>
      <c r="G10" s="196">
        <f>_xll.qlDayCounterYearFraction(DayCounter,E10,F10,,,Trigger)</f>
        <v>0.24931506849315069</v>
      </c>
      <c r="H10" s="20">
        <f>1-_xll.qlQuoteValue(D10,AllTriggers)/100</f>
        <v>1.8549999999999844E-2</v>
      </c>
      <c r="I10" s="197">
        <f>_xll.qlYieldTSDiscount(Discounting,E10,,AllTriggers)</f>
        <v>0.98348618781534725</v>
      </c>
      <c r="J10" s="197">
        <f>_xll.qlYieldTSDiscount(Discounting,F10,,AllTriggers)</f>
        <v>0.97945517436330887</v>
      </c>
      <c r="K10" s="20">
        <f t="shared" si="8"/>
        <v>1.65074942503469E-2</v>
      </c>
      <c r="L10" s="20">
        <f t="shared" si="1"/>
        <v>2.0425057496529439E-3</v>
      </c>
      <c r="M10" s="195" t="b">
        <v>1</v>
      </c>
      <c r="N10" s="20">
        <f>_xll.qlInterpolationInterpolate(B3Minterpolation,E10,TRUE,Trigger)</f>
        <v>2.0425057496529439E-3</v>
      </c>
      <c r="O10" s="224">
        <f t="shared" si="2"/>
        <v>0</v>
      </c>
      <c r="P10" s="343">
        <f t="shared" si="3"/>
        <v>5.0701173881963527E-4</v>
      </c>
      <c r="R10" s="141">
        <f>_xll.qlCalendarAdvance(Calendar,R9,"1D","f")</f>
        <v>42290</v>
      </c>
      <c r="S10" s="141">
        <f>_xll.qlCalendarAdvance(Calendar,R10,$F$1,"mf",,Trigger)</f>
        <v>42382</v>
      </c>
      <c r="T10" s="196">
        <f>_xll.qlDayCounterYearFraction(DayCounter,R10,S10,,,Trigger)</f>
        <v>0.25205479452054796</v>
      </c>
      <c r="U10" s="20">
        <f>_xll.qlInterpolationInterpolate(B3Minterpolation,R10,TRUE)</f>
        <v>2.1991358184168942E-3</v>
      </c>
      <c r="V10" s="197">
        <f>_xll.qlYieldTSDiscount(Discounting,R10,,AllTriggers)</f>
        <v>0.99934336643961097</v>
      </c>
      <c r="W10" s="197">
        <f>_xll.qlYieldTSDiscount(Discounting,S10,,AllTriggers)</f>
        <v>0.99454352451132089</v>
      </c>
      <c r="X10" s="20">
        <f t="shared" si="4"/>
        <v>1.9147328054746615E-2</v>
      </c>
      <c r="Y10" s="343">
        <f t="shared" si="5"/>
        <v>5.5148831556015574E-4</v>
      </c>
      <c r="AD10" s="311"/>
      <c r="AE10" s="311"/>
    </row>
    <row r="11" spans="1:31" ht="11.25" customHeight="1" x14ac:dyDescent="0.2">
      <c r="C11" s="264" t="str">
        <f>_xll.qlASXNextCode($E10,TRUE)</f>
        <v>Z6</v>
      </c>
      <c r="D11" s="342" t="str">
        <f t="shared" si="7"/>
        <v>AUDFUT3MZ6_Quote</v>
      </c>
      <c r="E11" s="141">
        <f>_xll.qlASXdate(C11,$E$3,Trigger)</f>
        <v>42713</v>
      </c>
      <c r="F11" s="141">
        <f>_xll.qlCalendarAdvance(Calendar,E11,$F$1,"mf",,Trigger)</f>
        <v>42803</v>
      </c>
      <c r="G11" s="196">
        <f>_xll.qlDayCounterYearFraction(DayCounter,E11,F11,,,Trigger)</f>
        <v>0.24657534246575341</v>
      </c>
      <c r="H11" s="20">
        <f>1-_xll.qlQuoteValue(D11,AllTriggers)/100</f>
        <v>1.8849999999999922E-2</v>
      </c>
      <c r="I11" s="197">
        <f>_xll.qlYieldTSDiscount(Discounting,E11,,AllTriggers)</f>
        <v>0.97945517436330887</v>
      </c>
      <c r="J11" s="197">
        <f>_xll.qlYieldTSDiscount(Discounting,F11,,AllTriggers)</f>
        <v>0.97538310531233807</v>
      </c>
      <c r="K11" s="20">
        <f t="shared" si="8"/>
        <v>1.6931298248171054E-2</v>
      </c>
      <c r="L11" s="20">
        <f t="shared" si="1"/>
        <v>1.9187017518288683E-3</v>
      </c>
      <c r="M11" s="195" t="b">
        <v>1</v>
      </c>
      <c r="N11" s="20">
        <f>_xll.qlInterpolationInterpolate(B3Minterpolation,E11,TRUE,Trigger)</f>
        <v>1.9187017518288683E-3</v>
      </c>
      <c r="O11" s="224">
        <f t="shared" si="2"/>
        <v>0</v>
      </c>
      <c r="P11" s="343">
        <f t="shared" si="3"/>
        <v>4.7102666658512015E-4</v>
      </c>
      <c r="R11" s="141">
        <f>_xll.qlCalendarAdvance(Calendar,R10,"1D","f")</f>
        <v>42291</v>
      </c>
      <c r="S11" s="141">
        <f>_xll.qlCalendarAdvance(Calendar,R11,$F$1,"mf",,Trigger)</f>
        <v>42383</v>
      </c>
      <c r="T11" s="196">
        <f>_xll.qlDayCounterYearFraction(DayCounter,R11,S11,,,Trigger)</f>
        <v>0.25205479452054796</v>
      </c>
      <c r="U11" s="20">
        <f>_xll.qlInterpolationInterpolate(B3Minterpolation,R11,TRUE)</f>
        <v>2.1982917867977266E-3</v>
      </c>
      <c r="V11" s="197">
        <f>_xll.qlYieldTSDiscount(Discounting,R11,,AllTriggers)</f>
        <v>0.99928886277049367</v>
      </c>
      <c r="W11" s="197">
        <f>_xll.qlYieldTSDiscount(Discounting,S11,,AllTriggers)</f>
        <v>0.99449257705902183</v>
      </c>
      <c r="X11" s="20">
        <f t="shared" si="4"/>
        <v>1.913412192691711E-2</v>
      </c>
      <c r="Y11" s="343">
        <f t="shared" si="5"/>
        <v>5.5127853755685774E-4</v>
      </c>
      <c r="AD11" s="311"/>
      <c r="AE11" s="311"/>
    </row>
    <row r="12" spans="1:31" ht="11.25" customHeight="1" x14ac:dyDescent="0.2">
      <c r="C12" s="264" t="str">
        <f>_xll.qlASXNextCode($E11,TRUE)</f>
        <v>H7</v>
      </c>
      <c r="D12" s="342" t="str">
        <f t="shared" si="7"/>
        <v>AUDFUT3MH7_Quote</v>
      </c>
      <c r="E12" s="141">
        <f>_xll.qlASXdate(C12,$E$3,Trigger)</f>
        <v>42804</v>
      </c>
      <c r="F12" s="141">
        <f>_xll.qlCalendarAdvance(Calendar,E12,$F$1,"mf",,Trigger)</f>
        <v>42899</v>
      </c>
      <c r="G12" s="196">
        <f>_xll.qlDayCounterYearFraction(DayCounter,E12,F12,,,Trigger)</f>
        <v>0.26027397260273971</v>
      </c>
      <c r="H12" s="20">
        <f>1-_xll.qlQuoteValue(D12,AllTriggers)/100</f>
        <v>1.9449999999999967E-2</v>
      </c>
      <c r="I12" s="197">
        <f>_xll.qlYieldTSDiscount(Discounting,E12,,AllTriggers)</f>
        <v>0.97533719844332645</v>
      </c>
      <c r="J12" s="197">
        <f>_xll.qlYieldTSDiscount(Discounting,F12,,AllTriggers)</f>
        <v>0.97089637712794263</v>
      </c>
      <c r="K12" s="20">
        <f t="shared" si="8"/>
        <v>1.7573557127746327E-2</v>
      </c>
      <c r="L12" s="20">
        <f t="shared" si="1"/>
        <v>1.8764428722536398E-3</v>
      </c>
      <c r="M12" s="195" t="b">
        <v>0</v>
      </c>
      <c r="N12" s="20">
        <f>_xll.qlInterpolationInterpolate(B3Minterpolation,E12,TRUE,Trigger)</f>
        <v>1.7948977540047928E-3</v>
      </c>
      <c r="O12" s="224">
        <f t="shared" si="2"/>
        <v>0.81545118248847048</v>
      </c>
      <c r="P12" s="343">
        <f t="shared" si="3"/>
        <v>4.8604740872145352E-4</v>
      </c>
      <c r="R12" s="141">
        <f>_xll.qlCalendarAdvance(Calendar,R11,"1D","f")</f>
        <v>42292</v>
      </c>
      <c r="S12" s="141">
        <f>_xll.qlCalendarAdvance(Calendar,R12,$F$1,"mf",,Trigger)</f>
        <v>42384</v>
      </c>
      <c r="T12" s="196">
        <f>_xll.qlDayCounterYearFraction(DayCounter,R12,S12,,,Trigger)</f>
        <v>0.25205479452054796</v>
      </c>
      <c r="U12" s="20">
        <f>_xll.qlInterpolationInterpolate(B3Minterpolation,R12,TRUE)</f>
        <v>2.1974477251283375E-3</v>
      </c>
      <c r="V12" s="197">
        <f>_xll.qlYieldTSDiscount(Discounting,R12,,AllTriggers)</f>
        <v>0.99923440028291222</v>
      </c>
      <c r="W12" s="197">
        <f>_xll.qlYieldTSDiscount(Discounting,S12,,AllTriggers)</f>
        <v>0.99444164915505762</v>
      </c>
      <c r="X12" s="20">
        <f t="shared" si="4"/>
        <v>1.912100037715566E-2</v>
      </c>
      <c r="Y12" s="343">
        <f t="shared" si="5"/>
        <v>5.5106873889741194E-4</v>
      </c>
      <c r="AD12" s="311"/>
      <c r="AE12" s="311"/>
    </row>
    <row r="13" spans="1:31" ht="11.25" customHeight="1" x14ac:dyDescent="0.2">
      <c r="C13" s="264" t="str">
        <f>_xll.qlASXNextCode($E12,TRUE)</f>
        <v>M7</v>
      </c>
      <c r="D13" s="342" t="str">
        <f t="shared" si="7"/>
        <v>AUDFUT3MM7_Quote</v>
      </c>
      <c r="E13" s="141">
        <f>_xll.qlASXdate(C13,$E$3,Trigger)</f>
        <v>42895</v>
      </c>
      <c r="F13" s="141">
        <f>_xll.qlCalendarAdvance(Calendar,E13,$F$1,"mf",,Trigger)</f>
        <v>42989</v>
      </c>
      <c r="G13" s="196">
        <f>_xll.qlDayCounterYearFraction(DayCounter,E13,F13,,,Trigger)</f>
        <v>0.25753424657534246</v>
      </c>
      <c r="H13" s="20">
        <f>1-_xll.qlQuoteValue(D13,AllTriggers)/100</f>
        <v>2.0150000000000001E-2</v>
      </c>
      <c r="I13" s="197">
        <f>_xll.qlYieldTSDiscount(Discounting,E13,,AllTriggers)</f>
        <v>0.97108650313645573</v>
      </c>
      <c r="J13" s="197">
        <f>_xll.qlYieldTSDiscount(Discounting,F13,,AllTriggers)</f>
        <v>0.96655073988843387</v>
      </c>
      <c r="K13" s="20">
        <f t="shared" si="8"/>
        <v>1.8221777150055234E-2</v>
      </c>
      <c r="L13" s="20">
        <f t="shared" si="1"/>
        <v>1.9282228499447676E-3</v>
      </c>
      <c r="M13" s="195" t="b">
        <v>0</v>
      </c>
      <c r="N13" s="20">
        <f>_xll.qlInterpolationInterpolate(B3Minterpolation,E13,TRUE,Trigger)</f>
        <v>1.9266803263841624E-3</v>
      </c>
      <c r="O13" s="224">
        <f t="shared" si="2"/>
        <v>1.5425235606052363E-2</v>
      </c>
      <c r="P13" s="343">
        <f t="shared" si="3"/>
        <v>4.9414186250904533E-4</v>
      </c>
      <c r="R13" s="141">
        <f>_xll.qlCalendarAdvance(Calendar,R12,"1D","f")</f>
        <v>42293</v>
      </c>
      <c r="S13" s="141">
        <f>_xll.qlCalendarAdvance(Calendar,R13,$F$1,"mf",,Trigger)</f>
        <v>42387</v>
      </c>
      <c r="T13" s="196">
        <f>_xll.qlDayCounterYearFraction(DayCounter,R13,S13,,,Trigger)</f>
        <v>0.25753424657534246</v>
      </c>
      <c r="U13" s="20">
        <f>_xll.qlInterpolationInterpolate(B3Minterpolation,R13,TRUE)</f>
        <v>2.1966036339268339E-3</v>
      </c>
      <c r="V13" s="197">
        <f>_xll.qlYieldTSDiscount(Discounting,R13,,AllTriggers)</f>
        <v>0.99917997993310381</v>
      </c>
      <c r="W13" s="197">
        <f>_xll.qlYieldTSDiscount(Discounting,S13,,AllTriggers)</f>
        <v>0.99428902943118547</v>
      </c>
      <c r="X13" s="20">
        <f t="shared" si="4"/>
        <v>1.9100539354272951E-2</v>
      </c>
      <c r="Y13" s="343">
        <f t="shared" si="5"/>
        <v>5.6277319070425591E-4</v>
      </c>
      <c r="AD13" s="311"/>
      <c r="AE13" s="311"/>
    </row>
    <row r="14" spans="1:31" ht="11.25" customHeight="1" x14ac:dyDescent="0.2">
      <c r="C14" s="264" t="str">
        <f>_xll.qlASXNextCode($E13,TRUE)</f>
        <v>U7</v>
      </c>
      <c r="D14" s="342" t="str">
        <f t="shared" si="7"/>
        <v>AUDFUT3MU7_Quote</v>
      </c>
      <c r="E14" s="141">
        <f>_xll.qlASXdate(C14,$E$3,Trigger)</f>
        <v>42986</v>
      </c>
      <c r="F14" s="141">
        <f>_xll.qlCalendarAdvance(Calendar,E14,$F$1,"mf",,Trigger)</f>
        <v>43077</v>
      </c>
      <c r="G14" s="196">
        <f>_xll.qlDayCounterYearFraction(DayCounter,E14,F14,,,Trigger)</f>
        <v>0.24931506849315069</v>
      </c>
      <c r="H14" s="20">
        <f>1-_xll.qlQuoteValue(D14,AllTriggers)/100</f>
        <v>2.0850000000000035E-2</v>
      </c>
      <c r="I14" s="197">
        <f>_xll.qlYieldTSDiscount(Discounting,E14,,AllTriggers)</f>
        <v>0.96669760378282688</v>
      </c>
      <c r="J14" s="197">
        <f>_xll.qlYieldTSDiscount(Discounting,F14,,AllTriggers)</f>
        <v>0.96218448501624032</v>
      </c>
      <c r="K14" s="20">
        <f t="shared" si="8"/>
        <v>1.8813512439624556E-2</v>
      </c>
      <c r="L14" s="20">
        <f t="shared" si="1"/>
        <v>2.0364875603754787E-3</v>
      </c>
      <c r="M14" s="195" t="b">
        <v>0</v>
      </c>
      <c r="N14" s="20">
        <f>_xll.qlInterpolationInterpolate(B3Minterpolation,E14,TRUE,Trigger)</f>
        <v>2.5696360391704218E-3</v>
      </c>
      <c r="O14" s="224">
        <f t="shared" si="2"/>
        <v>-5.3314847879494316</v>
      </c>
      <c r="P14" s="343">
        <f t="shared" si="3"/>
        <v>5.0522901446313885E-4</v>
      </c>
      <c r="R14" s="141">
        <f>_xll.qlCalendarAdvance(Calendar,R13,"1D","f")</f>
        <v>42296</v>
      </c>
      <c r="S14" s="141">
        <f>_xll.qlCalendarAdvance(Calendar,R14,$F$1,"mf",,Trigger)</f>
        <v>42388</v>
      </c>
      <c r="T14" s="196">
        <f>_xll.qlDayCounterYearFraction(DayCounter,R14,S14,,,Trigger)</f>
        <v>0.25205479452054796</v>
      </c>
      <c r="U14" s="20">
        <f>_xll.qlInterpolationInterpolate(B3Minterpolation,R14,TRUE)</f>
        <v>2.1940711883107092E-3</v>
      </c>
      <c r="V14" s="197">
        <f>_xll.qlYieldTSDiscount(Discounting,R14,,AllTriggers)</f>
        <v>0.99901698126962202</v>
      </c>
      <c r="W14" s="197">
        <f>_xll.qlYieldTSDiscount(Discounting,S14,,AllTriggers)</f>
        <v>0.994238226413801</v>
      </c>
      <c r="X14" s="20">
        <f t="shared" si="4"/>
        <v>1.9069062078793348E-2</v>
      </c>
      <c r="Y14" s="343">
        <f t="shared" si="5"/>
        <v>5.5022938166450247E-4</v>
      </c>
      <c r="AD14" s="311"/>
      <c r="AE14" s="311"/>
    </row>
    <row r="15" spans="1:31" ht="11.25" customHeight="1" x14ac:dyDescent="0.2">
      <c r="C15" s="264" t="str">
        <f>_xll.qlASXNextCode($E14,TRUE)</f>
        <v>Z7</v>
      </c>
      <c r="D15" s="344" t="str">
        <f t="shared" si="7"/>
        <v>AUDFUT3MZ7_Quote</v>
      </c>
      <c r="E15" s="221">
        <f>_xll.qlASXdate(C15,$E$3,Trigger)</f>
        <v>43077</v>
      </c>
      <c r="F15" s="221">
        <f>_xll.qlCalendarAdvance(Calendar,E15,$F$1,"mf",,Trigger)</f>
        <v>43167</v>
      </c>
      <c r="G15" s="222">
        <f>_xll.qlDayCounterYearFraction(DayCounter,E15,F15,,,Trigger)</f>
        <v>0.24657534246575341</v>
      </c>
      <c r="H15" s="205">
        <f>1-_xll.qlQuoteValue(D15,AllTriggers)/100</f>
        <v>2.1599999999999953E-2</v>
      </c>
      <c r="I15" s="206">
        <f>_xll.qlYieldTSDiscount(Discounting,E15,,AllTriggers)</f>
        <v>0.96218448501624032</v>
      </c>
      <c r="J15" s="206">
        <f>_xll.qlYieldTSDiscount(Discounting,F15,,AllTriggers)</f>
        <v>0.95759857218723743</v>
      </c>
      <c r="K15" s="205">
        <f t="shared" si="8"/>
        <v>1.9421942336939342E-2</v>
      </c>
      <c r="L15" s="205">
        <f t="shared" si="1"/>
        <v>2.1780576630606105E-3</v>
      </c>
      <c r="M15" s="223" t="b">
        <v>0</v>
      </c>
      <c r="N15" s="205">
        <f>_xll.qlInterpolationInterpolate(B3Minterpolation,E15,TRUE,Trigger)</f>
        <v>3.979351462567015E-3</v>
      </c>
      <c r="O15" s="230">
        <f t="shared" si="2"/>
        <v>-18.012937995064046</v>
      </c>
      <c r="P15" s="345">
        <f t="shared" si="3"/>
        <v>5.3435283762062638E-4</v>
      </c>
      <c r="R15" s="141">
        <f>_xll.qlCalendarAdvance(Calendar,R14,"1D","f")</f>
        <v>42297</v>
      </c>
      <c r="S15" s="141">
        <f>_xll.qlCalendarAdvance(Calendar,R15,$F$1,"mf",,Trigger)</f>
        <v>42389</v>
      </c>
      <c r="T15" s="196">
        <f>_xll.qlDayCounterYearFraction(DayCounter,R15,S15,,,Trigger)</f>
        <v>0.25205479452054796</v>
      </c>
      <c r="U15" s="20">
        <f>_xll.qlInterpolationInterpolate(B3Minterpolation,R15,TRUE)</f>
        <v>2.193226984161821E-3</v>
      </c>
      <c r="V15" s="197">
        <f>_xll.qlYieldTSDiscount(Discounting,R15,,AllTriggers)</f>
        <v>0.99896273902919219</v>
      </c>
      <c r="W15" s="197">
        <f>_xll.qlYieldTSDiscount(Discounting,S15,,AllTriggers)</f>
        <v>0.99418746628660559</v>
      </c>
      <c r="X15" s="20">
        <f t="shared" si="4"/>
        <v>1.9056140011089136E-2</v>
      </c>
      <c r="Y15" s="343">
        <f t="shared" si="5"/>
        <v>5.5001951267096927E-4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42298</v>
      </c>
      <c r="S16" s="141">
        <f>_xll.qlCalendarAdvance(Calendar,R16,$F$1,"mf",,Trigger)</f>
        <v>42390</v>
      </c>
      <c r="T16" s="196">
        <f>_xll.qlDayCounterYearFraction(DayCounter,R16,S16,,,Trigger)</f>
        <v>0.25205479452054796</v>
      </c>
      <c r="U16" s="20">
        <f>_xll.qlInterpolationInterpolate(B3Minterpolation,R16,TRUE)</f>
        <v>2.1923827530713545E-3</v>
      </c>
      <c r="V16" s="197">
        <f>_xll.qlYieldTSDiscount(Discounting,R16,,AllTriggers)</f>
        <v>0.99890854370466142</v>
      </c>
      <c r="W16" s="197">
        <f>_xll.qlYieldTSDiscount(Discounting,S16,,AllTriggers)</f>
        <v>0.99413675371511601</v>
      </c>
      <c r="X16" s="20">
        <f t="shared" si="4"/>
        <v>1.9043213159506626E-2</v>
      </c>
      <c r="Y16" s="343">
        <f t="shared" si="5"/>
        <v>5.498096361776808E-4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42299</v>
      </c>
      <c r="S17" s="141">
        <f>_xll.qlCalendarAdvance(Calendar,R17,$F$1,"mf",,Trigger)</f>
        <v>42391</v>
      </c>
      <c r="T17" s="196">
        <f>_xll.qlDayCounterYearFraction(DayCounter,R17,S17,,,Trigger)</f>
        <v>0.25205479452054796</v>
      </c>
      <c r="U17" s="20">
        <f>_xll.qlInterpolationInterpolate(B3Minterpolation,R17,TRUE)</f>
        <v>2.1915384955574174E-3</v>
      </c>
      <c r="V17" s="197">
        <f>_xll.qlYieldTSDiscount(Discounting,R17,,AllTriggers)</f>
        <v>0.99885439625104611</v>
      </c>
      <c r="W17" s="197">
        <f>_xll.qlYieldTSDiscount(Discounting,S17,,AllTriggers)</f>
        <v>0.9940860933639023</v>
      </c>
      <c r="X17" s="20">
        <f t="shared" si="4"/>
        <v>1.9030266631066717E-2</v>
      </c>
      <c r="Y17" s="343">
        <f t="shared" si="5"/>
        <v>5.4959975436679744E-4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42300</v>
      </c>
      <c r="S18" s="141">
        <f>_xll.qlCalendarAdvance(Calendar,R18,$F$1,"mf",,Trigger)</f>
        <v>42394</v>
      </c>
      <c r="T18" s="196">
        <f>_xll.qlDayCounterYearFraction(DayCounter,R18,S18,,,Trigger)</f>
        <v>0.25753424657534246</v>
      </c>
      <c r="U18" s="20">
        <f>_xll.qlInterpolationInterpolate(B3Minterpolation,R18,TRUE)</f>
        <v>2.1906942121381169E-3</v>
      </c>
      <c r="V18" s="197">
        <f>_xll.qlYieldTSDiscount(Discounting,R18,,AllTriggers)</f>
        <v>0.99880029762316069</v>
      </c>
      <c r="W18" s="197">
        <f>_xll.qlYieldTSDiscount(Discounting,S18,,AllTriggers)</f>
        <v>0.99393447226346365</v>
      </c>
      <c r="X18" s="20">
        <f t="shared" si="4"/>
        <v>1.9009197156104277E-2</v>
      </c>
      <c r="Y18" s="343">
        <f t="shared" si="5"/>
        <v>5.612727475726709E-4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42303</v>
      </c>
      <c r="S19" s="141">
        <f>_xll.qlCalendarAdvance(Calendar,R19,$F$1,"mf",,Trigger)</f>
        <v>42396</v>
      </c>
      <c r="T19" s="196">
        <f>_xll.qlDayCounterYearFraction(DayCounter,R19,S19,,,Trigger)</f>
        <v>0.25479452054794521</v>
      </c>
      <c r="U19" s="20">
        <f>_xll.qlInterpolationInterpolate(B3Minterpolation,R19,TRUE)</f>
        <v>2.1881612116291076E-3</v>
      </c>
      <c r="V19" s="197">
        <f>_xll.qlYieldTSDiscount(Discounting,R19,,AllTriggers)</f>
        <v>0.99863830423901068</v>
      </c>
      <c r="W19" s="197">
        <f>_xll.qlYieldTSDiscount(Discounting,S19,,AllTriggers)</f>
        <v>0.99383373810595266</v>
      </c>
      <c r="X19" s="20">
        <f t="shared" si="4"/>
        <v>1.8973626874606121E-2</v>
      </c>
      <c r="Y19" s="343">
        <f t="shared" si="5"/>
        <v>5.5469526548713489E-4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42304</v>
      </c>
      <c r="S20" s="141">
        <f>_xll.qlCalendarAdvance(Calendar,R20,$F$1,"mf",,Trigger)</f>
        <v>42396</v>
      </c>
      <c r="T20" s="196">
        <f>_xll.qlDayCounterYearFraction(DayCounter,R20,S20,,,Trigger)</f>
        <v>0.25205479452054796</v>
      </c>
      <c r="U20" s="20">
        <f>_xll.qlInterpolationInterpolate(B3Minterpolation,R20,TRUE)</f>
        <v>2.1873168297694258E-3</v>
      </c>
      <c r="V20" s="197">
        <f>_xll.qlYieldTSDiscount(Discounting,R20,,AllTriggers)</f>
        <v>0.9985844104581687</v>
      </c>
      <c r="W20" s="197">
        <f>_xll.qlYieldTSDiscount(Discounting,S20,,AllTriggers)</f>
        <v>0.99383373810595266</v>
      </c>
      <c r="X20" s="20">
        <f t="shared" si="4"/>
        <v>1.8964717595428005E-2</v>
      </c>
      <c r="Y20" s="343">
        <f t="shared" si="5"/>
        <v>5.4855034168629143E-4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42305</v>
      </c>
      <c r="S21" s="141">
        <f>_xll.qlCalendarAdvance(Calendar,R21,$F$1,"mf",,Trigger)</f>
        <v>42397</v>
      </c>
      <c r="T21" s="196">
        <f>_xll.qlDayCounterYearFraction(DayCounter,R21,S21,,,Trigger)</f>
        <v>0.25205479452054796</v>
      </c>
      <c r="U21" s="20">
        <f>_xll.qlInterpolationInterpolate(B3Minterpolation,R21,TRUE)</f>
        <v>2.186472424594917E-3</v>
      </c>
      <c r="V21" s="197">
        <f>_xll.qlYieldTSDiscount(Discounting,R21,,AllTriggers)</f>
        <v>0.99853057027411718</v>
      </c>
      <c r="W21" s="197">
        <f>_xll.qlYieldTSDiscount(Discounting,S21,,AllTriggers)</f>
        <v>0.99378348897966107</v>
      </c>
      <c r="X21" s="20">
        <f t="shared" si="4"/>
        <v>1.8951340264260652E-2</v>
      </c>
      <c r="Y21" s="343">
        <f t="shared" si="5"/>
        <v>5.4834047360977827E-4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42306</v>
      </c>
      <c r="S22" s="141">
        <f>_xll.qlCalendarAdvance(Calendar,R22,$F$1,"mf",,Trigger)</f>
        <v>42398</v>
      </c>
      <c r="T22" s="196">
        <f>_xll.qlDayCounterYearFraction(DayCounter,R22,S22,,,Trigger)</f>
        <v>0.25205479452054796</v>
      </c>
      <c r="U22" s="20">
        <f>_xll.qlInterpolationInterpolate(B3Minterpolation,R22,TRUE)</f>
        <v>2.1856279966236884E-3</v>
      </c>
      <c r="V22" s="197">
        <f>_xll.qlYieldTSDiscount(Discounting,R22,,AllTriggers)</f>
        <v>0.99847678464046941</v>
      </c>
      <c r="W22" s="197">
        <f>_xll.qlYieldTSDiscount(Discounting,S22,,AllTriggers)</f>
        <v>0.99373332469934672</v>
      </c>
      <c r="X22" s="20">
        <f t="shared" si="4"/>
        <v>1.8937839010910028E-2</v>
      </c>
      <c r="Y22" s="343">
        <f t="shared" si="5"/>
        <v>5.4813061540007657E-4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42307</v>
      </c>
      <c r="S23" s="141">
        <f>_xll.qlCalendarAdvance(Calendar,R23,$F$1,"mf",,Trigger)</f>
        <v>42398</v>
      </c>
      <c r="T23" s="196">
        <f>_xll.qlDayCounterYearFraction(DayCounter,R23,S23,,,Trigger)</f>
        <v>0.24931506849315069</v>
      </c>
      <c r="U23" s="20">
        <f>_xll.qlInterpolationInterpolate(B3Minterpolation,R23,TRUE)</f>
        <v>2.1847835463738468E-3</v>
      </c>
      <c r="V23" s="197">
        <f>_xll.qlYieldTSDiscount(Discounting,R23,,AllTriggers)</f>
        <v>0.99842305451064017</v>
      </c>
      <c r="W23" s="197">
        <f>_xll.qlYieldTSDiscount(Discounting,S23,,AllTriggers)</f>
        <v>0.99373332469934672</v>
      </c>
      <c r="X23" s="20">
        <f t="shared" si="4"/>
        <v>1.8929077117642988E-2</v>
      </c>
      <c r="Y23" s="343">
        <f t="shared" si="5"/>
        <v>5.4199402625260032E-4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42310</v>
      </c>
      <c r="S24" s="141">
        <f>_xll.qlCalendarAdvance(Calendar,R24,$F$1,"mf",,Trigger)</f>
        <v>42402</v>
      </c>
      <c r="T24" s="196">
        <f>_xll.qlDayCounterYearFraction(DayCounter,R24,S24,,,Trigger)</f>
        <v>0.25205479452054796</v>
      </c>
      <c r="U24" s="20">
        <f>_xll.qlInterpolationInterpolate(B3Minterpolation,R24,TRUE)</f>
        <v>2.1822500671337206E-3</v>
      </c>
      <c r="V24" s="197">
        <f>_xll.qlYieldTSDiscount(Discounting,R24,,AllTriggers)</f>
        <v>0.9982622066752449</v>
      </c>
      <c r="W24" s="197">
        <f>_xll.qlYieldTSDiscount(Discounting,S24,,AllTriggers)</f>
        <v>0.99353360916607236</v>
      </c>
      <c r="X24" s="20">
        <f t="shared" si="4"/>
        <v>1.8882296951582941E-2</v>
      </c>
      <c r="Y24" s="343">
        <f t="shared" si="5"/>
        <v>5.4729132431565993E-4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42311</v>
      </c>
      <c r="S25" s="141">
        <f>_xll.qlCalendarAdvance(Calendar,R25,$F$1,"mf",,Trigger)</f>
        <v>42403</v>
      </c>
      <c r="T25" s="196">
        <f>_xll.qlDayCounterYearFraction(DayCounter,R25,S25,,,Trigger)</f>
        <v>0.25205479452054796</v>
      </c>
      <c r="U25" s="20">
        <f>_xll.qlInterpolationInterpolate(B3Minterpolation,R25,TRUE)</f>
        <v>2.1814055329505018E-3</v>
      </c>
      <c r="V25" s="197">
        <f>_xll.qlYieldTSDiscount(Discounting,R25,,AllTriggers)</f>
        <v>0.99820870798882999</v>
      </c>
      <c r="W25" s="197">
        <f>_xll.qlYieldTSDiscount(Discounting,S25,,AllTriggers)</f>
        <v>0.99348393772988086</v>
      </c>
      <c r="X25" s="20">
        <f t="shared" si="4"/>
        <v>1.8867957224581407E-2</v>
      </c>
      <c r="Y25" s="343">
        <f t="shared" si="5"/>
        <v>5.4708154710966263E-4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42312</v>
      </c>
      <c r="S26" s="141">
        <f>_xll.qlCalendarAdvance(Calendar,R26,$F$1,"mf",,Trigger)</f>
        <v>42404</v>
      </c>
      <c r="T26" s="196">
        <f>_xll.qlDayCounterYearFraction(DayCounter,R26,S26,,,Trigger)</f>
        <v>0.25205479452054796</v>
      </c>
      <c r="U26" s="20">
        <f>_xll.qlInterpolationInterpolate(B3Minterpolation,R26,TRUE)</f>
        <v>2.1805609790792064E-3</v>
      </c>
      <c r="V26" s="197">
        <f>_xll.qlYieldTSDiscount(Discounting,R26,,AllTriggers)</f>
        <v>0.99815526895805418</v>
      </c>
      <c r="W26" s="197">
        <f>_xll.qlYieldTSDiscount(Discounting,S26,,AllTriggers)</f>
        <v>0.99343437172544802</v>
      </c>
      <c r="X26" s="20">
        <f t="shared" si="4"/>
        <v>1.8853431250653377E-2</v>
      </c>
      <c r="Y26" s="343">
        <f t="shared" si="5"/>
        <v>5.4687178895814837E-4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42313</v>
      </c>
      <c r="S27" s="141">
        <f>_xll.qlCalendarAdvance(Calendar,R27,$F$1,"mf",,Trigger)</f>
        <v>42405</v>
      </c>
      <c r="T27" s="196">
        <f>_xll.qlDayCounterYearFraction(DayCounter,R27,S27,,,Trigger)</f>
        <v>0.25205479452054796</v>
      </c>
      <c r="U27" s="20">
        <f>_xll.qlInterpolationInterpolate(B3Minterpolation,R27,TRUE)</f>
        <v>2.1797164060379424E-3</v>
      </c>
      <c r="V27" s="197">
        <f>_xll.qlYieldTSDiscount(Discounting,R27,,AllTriggers)</f>
        <v>0.99810188992297799</v>
      </c>
      <c r="W27" s="197">
        <f>_xll.qlYieldTSDiscount(Discounting,S27,,AllTriggers)</f>
        <v>0.99338490846264771</v>
      </c>
      <c r="X27" s="20">
        <f t="shared" si="4"/>
        <v>1.8838731159552594E-2</v>
      </c>
      <c r="Y27" s="343">
        <f t="shared" si="5"/>
        <v>5.4666204829923305E-4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42314</v>
      </c>
      <c r="S28" s="141">
        <f>_xll.qlCalendarAdvance(Calendar,R28,$F$1,"mf",,Trigger)</f>
        <v>42408</v>
      </c>
      <c r="T28" s="196">
        <f>_xll.qlDayCounterYearFraction(DayCounter,R28,S28,,,Trigger)</f>
        <v>0.25753424657534246</v>
      </c>
      <c r="U28" s="20">
        <f>_xll.qlInterpolationInterpolate(B3Minterpolation,R28,TRUE)</f>
        <v>2.1788718143448166E-3</v>
      </c>
      <c r="V28" s="197">
        <f>_xll.qlYieldTSDiscount(Discounting,R28,,AllTriggers)</f>
        <v>0.99804857122359814</v>
      </c>
      <c r="W28" s="197">
        <f>_xll.qlYieldTSDiscount(Discounting,S28,,AllTriggers)</f>
        <v>0.99323710823123879</v>
      </c>
      <c r="X28" s="20">
        <f t="shared" si="4"/>
        <v>1.8810018547382758E-2</v>
      </c>
      <c r="Y28" s="348">
        <f t="shared" si="5"/>
        <v>5.58273092738617E-4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42317</v>
      </c>
      <c r="S29" s="141">
        <f>_xll.qlCalendarAdvance(Calendar,R29,$F$1,"mf",,Trigger)</f>
        <v>42409</v>
      </c>
      <c r="T29" s="196">
        <f>_xll.qlDayCounterYearFraction(DayCounter,R29,S29,,,Trigger)</f>
        <v>0.25205479452054796</v>
      </c>
      <c r="U29" s="20">
        <f>_xll.qlInterpolationInterpolate(B3Minterpolation,R29,TRUE)</f>
        <v>2.1763379325353423E-3</v>
      </c>
      <c r="V29" s="197">
        <f>_xll.qlYieldTSDiscount(Discounting,R29,,AllTriggers)</f>
        <v>0.99788898053864583</v>
      </c>
      <c r="W29" s="197">
        <f>_xll.qlYieldTSDiscount(Discounting,S29,,AllTriggers)</f>
        <v>0.99318802904496728</v>
      </c>
      <c r="X29" s="20">
        <f t="shared" si="4"/>
        <v>1.8778432212996896E-2</v>
      </c>
      <c r="Y29" s="348">
        <f t="shared" si="5"/>
        <v>5.4582322943039967E-4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42318</v>
      </c>
      <c r="S30" s="141">
        <f>_xll.qlCalendarAdvance(Calendar,R30,$F$1,"mf",,Trigger)</f>
        <v>42410</v>
      </c>
      <c r="T30" s="196">
        <f>_xll.qlDayCounterYearFraction(DayCounter,R30,S30,,,Trigger)</f>
        <v>0.25205479452054796</v>
      </c>
      <c r="U30" s="20">
        <f>_xll.qlInterpolationInterpolate(B3Minterpolation,R30,TRUE)</f>
        <v>2.1754932714158422E-3</v>
      </c>
      <c r="V30" s="197">
        <f>_xll.qlYieldTSDiscount(Discounting,R30,,AllTriggers)</f>
        <v>0.99783590658074406</v>
      </c>
      <c r="W30" s="197">
        <f>_xll.qlYieldTSDiscount(Discounting,S30,,AllTriggers)</f>
        <v>0.99313903915812018</v>
      </c>
      <c r="X30" s="20">
        <f t="shared" si="4"/>
        <v>1.8763043476761138E-2</v>
      </c>
      <c r="Y30" s="348">
        <f t="shared" si="5"/>
        <v>5.4561355288850919E-4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42319</v>
      </c>
      <c r="S31" s="141">
        <f>_xll.qlCalendarAdvance(Calendar,R31,$F$1,"mf",,Trigger)</f>
        <v>42411</v>
      </c>
      <c r="T31" s="196">
        <f>_xll.qlDayCounterYearFraction(DayCounter,R31,S31,,,Trigger)</f>
        <v>0.25205479452054796</v>
      </c>
      <c r="U31" s="20">
        <f>_xll.qlInterpolationInterpolate(B3Minterpolation,R31,TRUE)</f>
        <v>2.174648594235017E-3</v>
      </c>
      <c r="V31" s="197">
        <f>_xll.qlYieldTSDiscount(Discounting,R31,,AllTriggers)</f>
        <v>0.99778289465756898</v>
      </c>
      <c r="W31" s="197">
        <f>_xll.qlYieldTSDiscount(Discounting,S31,,AllTriggers)</f>
        <v>0.99309013588392225</v>
      </c>
      <c r="X31" s="20">
        <f t="shared" si="4"/>
        <v>1.8747553398460518E-2</v>
      </c>
      <c r="Y31" s="348">
        <f t="shared" si="5"/>
        <v>5.4540388451892942E-4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42320</v>
      </c>
      <c r="S32" s="141">
        <f>_xll.qlCalendarAdvance(Calendar,R32,$F$1,"mf",,Trigger)</f>
        <v>42412</v>
      </c>
      <c r="T32" s="196">
        <f>_xll.qlDayCounterYearFraction(DayCounter,R32,S32,,,Trigger)</f>
        <v>0.25205479452054796</v>
      </c>
      <c r="U32" s="20">
        <f>_xll.qlInterpolationInterpolate(B3Minterpolation,R32,TRUE)</f>
        <v>2.1738039015109737E-3</v>
      </c>
      <c r="V32" s="197">
        <f>_xll.qlYieldTSDiscount(Discounting,R32,,AllTriggers)</f>
        <v>0.9977299451087378</v>
      </c>
      <c r="W32" s="197">
        <f>_xll.qlYieldTSDiscount(Discounting,S32,,AllTriggers)</f>
        <v>0.99304131653614813</v>
      </c>
      <c r="X32" s="20">
        <f t="shared" si="4"/>
        <v>1.8731974106670077E-2</v>
      </c>
      <c r="Y32" s="348">
        <f t="shared" si="5"/>
        <v>5.4519422277707742E-4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42321</v>
      </c>
      <c r="S33" s="141">
        <f>_xll.qlCalendarAdvance(Calendar,R33,$F$1,"mf",,Trigger)</f>
        <v>42415</v>
      </c>
      <c r="T33" s="196">
        <f>_xll.qlDayCounterYearFraction(DayCounter,R33,S33,,,Trigger)</f>
        <v>0.25753424657534246</v>
      </c>
      <c r="U33" s="20">
        <f>_xll.qlInterpolationInterpolate(B3Minterpolation,R33,TRUE)</f>
        <v>2.1729591937618199E-3</v>
      </c>
      <c r="V33" s="197">
        <f>_xll.qlYieldTSDiscount(Discounting,R33,,AllTriggers)</f>
        <v>0.99767705827380493</v>
      </c>
      <c r="W33" s="197">
        <f>_xll.qlYieldTSDiscount(Discounting,S33,,AllTriggers)</f>
        <v>0.9928953351973151</v>
      </c>
      <c r="X33" s="20">
        <f t="shared" si="4"/>
        <v>1.8700187531378847E-2</v>
      </c>
      <c r="Y33" s="343">
        <f t="shared" si="5"/>
        <v>5.567742440187361E-4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42324</v>
      </c>
      <c r="S34" s="141">
        <f>_xll.qlCalendarAdvance(Calendar,R34,$F$1,"mf",,Trigger)</f>
        <v>42416</v>
      </c>
      <c r="T34" s="196">
        <f>_xll.qlDayCounterYearFraction(DayCounter,R34,S34,,,Trigger)</f>
        <v>0.25205479452054796</v>
      </c>
      <c r="U34" s="20">
        <f>_xll.qlInterpolationInterpolate(B3Minterpolation,R34,TRUE)</f>
        <v>2.1704249855447654E-3</v>
      </c>
      <c r="V34" s="197">
        <f>_xll.qlYieldTSDiscount(Discounting,R34,,AllTriggers)</f>
        <v>0.99751877744701067</v>
      </c>
      <c r="W34" s="197">
        <f>_xll.qlYieldTSDiscount(Discounting,S34,,AllTriggers)</f>
        <v>0.99284682470390018</v>
      </c>
      <c r="X34" s="20">
        <f t="shared" si="4"/>
        <v>1.8669007369659818E-2</v>
      </c>
      <c r="Y34" s="343">
        <f t="shared" si="5"/>
        <v>5.4435561129155747E-4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42325</v>
      </c>
      <c r="S35" s="141">
        <f>_xll.qlCalendarAdvance(Calendar,R35,$F$1,"mf",,Trigger)</f>
        <v>42417</v>
      </c>
      <c r="T35" s="196">
        <f>_xll.qlDayCounterYearFraction(DayCounter,R35,S35,,,Trigger)</f>
        <v>0.25205479452054796</v>
      </c>
      <c r="U35" s="20">
        <f>_xll.qlInterpolationInterpolate(B3Minterpolation,R35,TRUE)</f>
        <v>2.1695802228762408E-3</v>
      </c>
      <c r="V35" s="197">
        <f>_xll.qlYieldTSDiscount(Discounting,R35,,AllTriggers)</f>
        <v>0.99746614486197571</v>
      </c>
      <c r="W35" s="197">
        <f>_xll.qlYieldTSDiscount(Discounting,S35,,AllTriggers)</f>
        <v>0.99279838471395143</v>
      </c>
      <c r="X35" s="20">
        <f t="shared" si="4"/>
        <v>1.8653163932563062E-2</v>
      </c>
      <c r="Y35" s="343">
        <f t="shared" si="5"/>
        <v>5.4414595961342822E-4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42326</v>
      </c>
      <c r="S36" s="141">
        <f>_xll.qlCalendarAdvance(Calendar,R36,$F$1,"mf",,Trigger)</f>
        <v>42418</v>
      </c>
      <c r="T36" s="196">
        <f>_xll.qlDayCounterYearFraction(DayCounter,R36,S36,,,Trigger)</f>
        <v>0.25205479452054796</v>
      </c>
      <c r="U36" s="20">
        <f>_xll.qlInterpolationInterpolate(B3Minterpolation,R36,TRUE)</f>
        <v>2.1687354477731421E-3</v>
      </c>
      <c r="V36" s="197">
        <f>_xll.qlYieldTSDiscount(Discounting,R36,,AllTriggers)</f>
        <v>0.99741357668768271</v>
      </c>
      <c r="W36" s="197">
        <f>_xll.qlYieldTSDiscount(Discounting,S36,,AllTriggers)</f>
        <v>0.99275001254449657</v>
      </c>
      <c r="X36" s="20">
        <f t="shared" si="4"/>
        <v>1.8637304049508318E-2</v>
      </c>
      <c r="Y36" s="343">
        <f t="shared" si="5"/>
        <v>5.43936305350095E-4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42327</v>
      </c>
      <c r="S37" s="141">
        <f>_xll.qlCalendarAdvance(Calendar,R37,$F$1,"mf",,Trigger)</f>
        <v>42419</v>
      </c>
      <c r="T37" s="196">
        <f>_xll.qlDayCounterYearFraction(DayCounter,R37,S37,,,Trigger)</f>
        <v>0.25205479452054796</v>
      </c>
      <c r="U37" s="20">
        <f>_xll.qlInterpolationInterpolate(B3Minterpolation,R37,TRUE)</f>
        <v>2.1678906607535756E-3</v>
      </c>
      <c r="V37" s="197">
        <f>_xll.qlYieldTSDiscount(Discounting,R37,,AllTriggers)</f>
        <v>0.9973610732633158</v>
      </c>
      <c r="W37" s="197">
        <f>_xll.qlYieldTSDiscount(Discounting,S37,,AllTriggers)</f>
        <v>0.99270170551309833</v>
      </c>
      <c r="X37" s="20">
        <f t="shared" si="4"/>
        <v>1.8621439847750099E-2</v>
      </c>
      <c r="Y37" s="343">
        <f t="shared" si="5"/>
        <v>5.437266469753855E-4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42328</v>
      </c>
      <c r="S38" s="141">
        <f>_xll.qlCalendarAdvance(Calendar,R38,$F$1,"mf",,Trigger)</f>
        <v>42422</v>
      </c>
      <c r="T38" s="196">
        <f>_xll.qlDayCounterYearFraction(DayCounter,R38,S38,,,Trigger)</f>
        <v>0.25753424657534246</v>
      </c>
      <c r="U38" s="20">
        <f>_xll.qlInterpolationInterpolate(B3Minterpolation,R38,TRUE)</f>
        <v>2.1670458623356493E-3</v>
      </c>
      <c r="V38" s="197">
        <f>_xll.qlYieldTSDiscount(Discounting,R38,,AllTriggers)</f>
        <v>0.99730863492799826</v>
      </c>
      <c r="W38" s="197">
        <f>_xll.qlYieldTSDiscount(Discounting,S38,,AllTriggers)</f>
        <v>0.99255714843086329</v>
      </c>
      <c r="X38" s="20">
        <f t="shared" si="4"/>
        <v>1.8588270712759359E-2</v>
      </c>
      <c r="Y38" s="343">
        <f t="shared" si="5"/>
        <v>5.5527542334368003E-4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42331</v>
      </c>
      <c r="S39" s="141">
        <f>_xll.qlCalendarAdvance(Calendar,R39,$F$1,"mf",,Trigger)</f>
        <v>42423</v>
      </c>
      <c r="T39" s="196">
        <f>_xll.qlDayCounterYearFraction(DayCounter,R39,S39,,,Trigger)</f>
        <v>0.25205479452054796</v>
      </c>
      <c r="U39" s="20">
        <f>_xll.qlInterpolationInterpolate(B3Minterpolation,R39,TRUE)</f>
        <v>2.1645114038727842E-3</v>
      </c>
      <c r="V39" s="197">
        <f>_xll.qlYieldTSDiscount(Discounting,R39,,AllTriggers)</f>
        <v>0.99715171384666579</v>
      </c>
      <c r="W39" s="197">
        <f>_xll.qlYieldTSDiscount(Discounting,S39,,AllTriggers)</f>
        <v>0.99250907513796327</v>
      </c>
      <c r="X39" s="20">
        <f t="shared" si="4"/>
        <v>1.8558182392009806E-2</v>
      </c>
      <c r="Y39" s="343">
        <f t="shared" si="5"/>
        <v>5.4288794192273722E-4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42332</v>
      </c>
      <c r="S40" s="141">
        <f>_xll.qlCalendarAdvance(Calendar,R40,$F$1,"mf",,Trigger)</f>
        <v>42424</v>
      </c>
      <c r="T40" s="196">
        <f>_xll.qlDayCounterYearFraction(DayCounter,R40,S40,,,Trigger)</f>
        <v>0.25205479452054796</v>
      </c>
      <c r="U40" s="20">
        <f>_xll.qlInterpolationInterpolate(B3Minterpolation,R40,TRUE)</f>
        <v>2.1636665650424909E-3</v>
      </c>
      <c r="V40" s="197">
        <f>_xll.qlYieldTSDiscount(Discounting,R40,,AllTriggers)</f>
        <v>0.997099539257568</v>
      </c>
      <c r="W40" s="197">
        <f>_xll.qlYieldTSDiscount(Discounting,S40,,AllTriggers)</f>
        <v>0.99246105357890224</v>
      </c>
      <c r="X40" s="20">
        <f t="shared" si="4"/>
        <v>1.8542478498796904E-2</v>
      </c>
      <c r="Y40" s="343">
        <f t="shared" si="5"/>
        <v>5.42678240182848E-4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42333</v>
      </c>
      <c r="S41" s="141">
        <f>_xll.qlCalendarAdvance(Calendar,R41,$F$1,"mf",,Trigger)</f>
        <v>42425</v>
      </c>
      <c r="T41" s="196">
        <f>_xll.qlDayCounterYearFraction(DayCounter,R41,S41,,,Trigger)</f>
        <v>0.25205479452054796</v>
      </c>
      <c r="U41" s="20">
        <f>_xll.qlInterpolationInterpolate(B3Minterpolation,R41,TRUE)</f>
        <v>2.1628217174043743E-3</v>
      </c>
      <c r="V41" s="197">
        <f>_xll.qlYieldTSDiscount(Discounting,R41,,AllTriggers)</f>
        <v>0.99704743145222963</v>
      </c>
      <c r="W41" s="197">
        <f>_xll.qlYieldTSDiscount(Discounting,S41,,AllTriggers)</f>
        <v>0.99241308107441906</v>
      </c>
      <c r="X41" s="20">
        <f t="shared" si="4"/>
        <v>1.8526843046366752E-2</v>
      </c>
      <c r="Y41" s="343">
        <f t="shared" si="5"/>
        <v>5.4246852522600814E-4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42334</v>
      </c>
      <c r="S42" s="141">
        <f>_xll.qlCalendarAdvance(Calendar,R42,$F$1,"mf",,Trigger)</f>
        <v>42426</v>
      </c>
      <c r="T42" s="196">
        <f>_xll.qlDayCounterYearFraction(DayCounter,R42,S42,,,Trigger)</f>
        <v>0.25205479452054796</v>
      </c>
      <c r="U42" s="20">
        <f>_xll.qlInterpolationInterpolate(B3Minterpolation,R42,TRUE)</f>
        <v>2.1619768614765411E-3</v>
      </c>
      <c r="V42" s="197">
        <f>_xll.qlYieldTSDiscount(Discounting,R42,,AllTriggers)</f>
        <v>0.99699539076941313</v>
      </c>
      <c r="W42" s="197">
        <f>_xll.qlYieldTSDiscount(Discounting,S42,,AllTriggers)</f>
        <v>0.99236515494577704</v>
      </c>
      <c r="X42" s="20">
        <f t="shared" si="4"/>
        <v>1.8511288160633958E-2</v>
      </c>
      <c r="Y42" s="343">
        <f t="shared" si="5"/>
        <v>5.4225879554379035E-4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42335</v>
      </c>
      <c r="S43" s="141">
        <f>_xll.qlCalendarAdvance(Calendar,R43,$F$1,"mf",,Trigger)</f>
        <v>42429</v>
      </c>
      <c r="T43" s="196">
        <f>_xll.qlDayCounterYearFraction(DayCounter,R43,S43,,,Trigger)</f>
        <v>0.25753424657534246</v>
      </c>
      <c r="U43" s="20">
        <f>_xll.qlInterpolationInterpolate(B3Minterpolation,R43,TRUE)</f>
        <v>2.161131997777099E-3</v>
      </c>
      <c r="V43" s="197">
        <f>_xll.qlYieldTSDiscount(Discounting,R43,,AllTriggers)</f>
        <v>0.99694341754782145</v>
      </c>
      <c r="W43" s="197">
        <f>_xll.qlYieldTSDiscount(Discounting,S43,,AllTriggers)</f>
        <v>0.99222162803536551</v>
      </c>
      <c r="X43" s="20">
        <f t="shared" si="4"/>
        <v>1.8478339612051472E-2</v>
      </c>
      <c r="Y43" s="343">
        <f t="shared" si="5"/>
        <v>5.5377609608118117E-4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42338</v>
      </c>
      <c r="S44" s="141">
        <f>_xll.qlCalendarAdvance(Calendar,R44,$F$1,"mf",,Trigger)</f>
        <v>42429</v>
      </c>
      <c r="T44" s="196">
        <f>_xll.qlDayCounterYearFraction(DayCounter,R44,S44,,,Trigger)</f>
        <v>0.24931506849315069</v>
      </c>
      <c r="U44" s="20">
        <f>_xll.qlInterpolationInterpolate(B3Minterpolation,R44,TRUE)</f>
        <v>2.1585973652301915E-3</v>
      </c>
      <c r="V44" s="197">
        <f>_xll.qlYieldTSDiscount(Discounting,R44,,AllTriggers)</f>
        <v>0.99678790603653977</v>
      </c>
      <c r="W44" s="197">
        <f>_xll.qlYieldTSDiscount(Discounting,S44,,AllTriggers)</f>
        <v>0.99222162803536551</v>
      </c>
      <c r="X44" s="20">
        <f t="shared" si="4"/>
        <v>1.8458870847328085E-2</v>
      </c>
      <c r="Y44" s="343">
        <f t="shared" si="5"/>
        <v>5.3556205432837487E-4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42339</v>
      </c>
      <c r="S45" s="141">
        <f>_xll.qlCalendarAdvance(Calendar,R45,$F$1,"mf",,Trigger)</f>
        <v>42430</v>
      </c>
      <c r="T45" s="196">
        <f>_xll.qlDayCounterYearFraction(DayCounter,R45,S45,,,Trigger)</f>
        <v>0.24931506849315069</v>
      </c>
      <c r="U45" s="20">
        <f>_xll.qlInterpolationInterpolate(B3Minterpolation,R45,TRUE)</f>
        <v>2.1577524756253856E-3</v>
      </c>
      <c r="V45" s="197">
        <f>_xll.qlYieldTSDiscount(Discounting,R45,,AllTriggers)</f>
        <v>0.99673620604569801</v>
      </c>
      <c r="W45" s="197">
        <f>_xll.qlYieldTSDiscount(Discounting,S45,,AllTriggers)</f>
        <v>0.99217386063315971</v>
      </c>
      <c r="X45" s="20">
        <f t="shared" si="4"/>
        <v>1.8443861544940581E-2</v>
      </c>
      <c r="Y45" s="343">
        <f t="shared" si="5"/>
        <v>5.3535448142993545E-4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42340</v>
      </c>
      <c r="S46" s="141">
        <f>_xll.qlCalendarAdvance(Calendar,R46,$F$1,"mf",,Trigger)</f>
        <v>42431</v>
      </c>
      <c r="T46" s="196">
        <f>_xll.qlDayCounterYearFraction(DayCounter,R46,S46,,,Trigger)</f>
        <v>0.24931506849315069</v>
      </c>
      <c r="U46" s="20">
        <f>_xll.qlInterpolationInterpolate(B3Minterpolation,R46,TRUE)</f>
        <v>2.1569075808395076E-3</v>
      </c>
      <c r="V46" s="197">
        <f>_xll.qlYieldTSDiscount(Discounting,R46,,AllTriggers)</f>
        <v>0.99668457520871367</v>
      </c>
      <c r="W46" s="197">
        <f>_xll.qlYieldTSDiscount(Discounting,S46,,AllTriggers)</f>
        <v>0.99212612622093121</v>
      </c>
      <c r="X46" s="20">
        <f t="shared" si="4"/>
        <v>1.8428996388587842E-2</v>
      </c>
      <c r="Y46" s="343">
        <f t="shared" si="5"/>
        <v>5.3514688651775419E-4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42341</v>
      </c>
      <c r="S47" s="141">
        <f>_xll.qlCalendarAdvance(Calendar,R47,$F$1,"mf",,Trigger)</f>
        <v>42432</v>
      </c>
      <c r="T47" s="196">
        <f>_xll.qlDayCounterYearFraction(DayCounter,R47,S47,,,Trigger)</f>
        <v>0.24931506849315069</v>
      </c>
      <c r="U47" s="20">
        <f>_xll.qlInterpolationInterpolate(B3Minterpolation,R47,TRUE)</f>
        <v>2.1560626813906638E-3</v>
      </c>
      <c r="V47" s="197">
        <f>_xll.qlYieldTSDiscount(Discounting,R47,,AllTriggers)</f>
        <v>0.99663301331753162</v>
      </c>
      <c r="W47" s="197">
        <f>_xll.qlYieldTSDiscount(Discounting,S47,,AllTriggers)</f>
        <v>0.99207842259994472</v>
      </c>
      <c r="X47" s="20">
        <f t="shared" si="4"/>
        <v>1.8414283489723654E-2</v>
      </c>
      <c r="Y47" s="343">
        <f t="shared" si="5"/>
        <v>5.3493926866594291E-4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42342</v>
      </c>
      <c r="S48" s="141">
        <f>_xll.qlCalendarAdvance(Calendar,R48,$F$1,"mf",,Trigger)</f>
        <v>42433</v>
      </c>
      <c r="T48" s="196">
        <f>_xll.qlDayCounterYearFraction(DayCounter,R48,S48,,,Trigger)</f>
        <v>0.24931506849315069</v>
      </c>
      <c r="U48" s="20">
        <f>_xll.qlInterpolationInterpolate(B3Minterpolation,R48,TRUE)</f>
        <v>2.1552177777969623E-3</v>
      </c>
      <c r="V48" s="197">
        <f>_xll.qlYieldTSDiscount(Discounting,R48,,AllTriggers)</f>
        <v>0.99658151797863725</v>
      </c>
      <c r="W48" s="197">
        <f>_xll.qlYieldTSDiscount(Discounting,S48,,AllTriggers)</f>
        <v>0.9920307494793229</v>
      </c>
      <c r="X48" s="20">
        <f t="shared" si="4"/>
        <v>1.8399714375673629E-2</v>
      </c>
      <c r="Y48" s="343">
        <f t="shared" si="5"/>
        <v>5.3473162915056117E-4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42345</v>
      </c>
      <c r="S49" s="141">
        <f>_xll.qlCalendarAdvance(Calendar,R49,$F$1,"mf",,Trigger)</f>
        <v>42436</v>
      </c>
      <c r="T49" s="196">
        <f>_xll.qlDayCounterYearFraction(DayCounter,R49,S49,,,Trigger)</f>
        <v>0.24931506849315069</v>
      </c>
      <c r="U49" s="20">
        <f>_xll.qlInterpolationInterpolate(B3Minterpolation,R49,TRUE)</f>
        <v>2.1526830473277804E-3</v>
      </c>
      <c r="V49" s="197">
        <f>_xll.qlYieldTSDiscount(Discounting,R49,,AllTriggers)</f>
        <v>0.99642740188517742</v>
      </c>
      <c r="W49" s="197">
        <f>_xll.qlYieldTSDiscount(Discounting,S49,,AllTriggers)</f>
        <v>0.9918879149796338</v>
      </c>
      <c r="X49" s="20">
        <f t="shared" si="4"/>
        <v>1.8356743558104349E-2</v>
      </c>
      <c r="Y49" s="343">
        <f t="shared" si="5"/>
        <v>5.3410859884920031E-4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42346</v>
      </c>
      <c r="S50" s="141">
        <f>_xll.qlCalendarAdvance(Calendar,R50,$F$1,"mf",,Trigger)</f>
        <v>42437</v>
      </c>
      <c r="T50" s="196">
        <f>_xll.qlDayCounterYearFraction(DayCounter,R50,S50,,,Trigger)</f>
        <v>0.24931506849315069</v>
      </c>
      <c r="U50" s="20">
        <f>_xll.qlInterpolationInterpolate(B3Minterpolation,R50,TRUE)</f>
        <v>2.1518381323357189E-3</v>
      </c>
      <c r="V50" s="197">
        <f>_xll.qlYieldTSDiscount(Discounting,R50,,AllTriggers)</f>
        <v>0.99637614336801006</v>
      </c>
      <c r="W50" s="197">
        <f>_xll.qlYieldTSDiscount(Discounting,S50,,AllTriggers)</f>
        <v>0.99184036572029077</v>
      </c>
      <c r="X50" s="20">
        <f t="shared" si="4"/>
        <v>1.834262339996599E-2</v>
      </c>
      <c r="Y50" s="343">
        <f t="shared" si="5"/>
        <v>5.3390089089287956E-4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42347</v>
      </c>
      <c r="S51" s="141">
        <f>_xll.qlCalendarAdvance(Calendar,R51,$F$1,"mf",,Trigger)</f>
        <v>42438</v>
      </c>
      <c r="T51" s="196">
        <f>_xll.qlDayCounterYearFraction(DayCounter,R51,S51,,,Trigger)</f>
        <v>0.24931506849315069</v>
      </c>
      <c r="U51" s="20">
        <f>_xll.qlInterpolationInterpolate(B3Minterpolation,R51,TRUE)</f>
        <v>2.1509932157893351E-3</v>
      </c>
      <c r="V51" s="197">
        <f>_xll.qlYieldTSDiscount(Discounting,R51,,AllTriggers)</f>
        <v>0.99632493671249178</v>
      </c>
      <c r="W51" s="197">
        <f>_xll.qlYieldTSDiscount(Discounting,S51,,AllTriggers)</f>
        <v>0.99179284789105449</v>
      </c>
      <c r="X51" s="20">
        <f t="shared" si="4"/>
        <v>1.8328583935915136E-2</v>
      </c>
      <c r="Y51" s="343">
        <f t="shared" si="5"/>
        <v>5.3369317036679577E-4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42348</v>
      </c>
      <c r="S52" s="141">
        <f>_xll.qlCalendarAdvance(Calendar,R52,$F$1,"mf",,Trigger)</f>
        <v>42439</v>
      </c>
      <c r="T52" s="196">
        <f>_xll.qlDayCounterYearFraction(DayCounter,R52,S52,,,Trigger)</f>
        <v>0.24931506849315069</v>
      </c>
      <c r="U52" s="20">
        <f>_xll.qlInterpolationInterpolate(B3Minterpolation,R52,TRUE)</f>
        <v>2.1501482982067372E-3</v>
      </c>
      <c r="V52" s="197">
        <f>_xll.qlYieldTSDiscount(Discounting,R52,,AllTriggers)</f>
        <v>0.99627377898233249</v>
      </c>
      <c r="W52" s="197">
        <f>_xll.qlYieldTSDiscount(Discounting,S52,,AllTriggers)</f>
        <v>0.99174536167777261</v>
      </c>
      <c r="X52" s="20">
        <f t="shared" si="4"/>
        <v>1.8314612548360417E-2</v>
      </c>
      <c r="Y52" s="343">
        <f t="shared" si="5"/>
        <v>5.3348543908208047E-4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42349</v>
      </c>
      <c r="S53" s="141">
        <f>_xll.qlCalendarAdvance(Calendar,R53,$F$1,"mf",,Trigger)</f>
        <v>42440</v>
      </c>
      <c r="T53" s="196">
        <f>_xll.qlDayCounterYearFraction(DayCounter,R53,S53,,,Trigger)</f>
        <v>0.24931506849315069</v>
      </c>
      <c r="U53" s="20">
        <f>_xll.qlInterpolationInterpolate(B3Minterpolation,R53,TRUE)</f>
        <v>2.1493033801060317E-3</v>
      </c>
      <c r="V53" s="197">
        <f>_xll.qlYieldTSDiscount(Discounting,R53,,AllTriggers)</f>
        <v>0.99622266724185182</v>
      </c>
      <c r="W53" s="197">
        <f>_xll.qlYieldTSDiscount(Discounting,S53,,AllTriggers)</f>
        <v>0.9916979072662595</v>
      </c>
      <c r="X53" s="20">
        <f t="shared" si="4"/>
        <v>1.8300696619893937E-2</v>
      </c>
      <c r="Y53" s="343">
        <f t="shared" si="5"/>
        <v>5.3327769884698188E-4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42352</v>
      </c>
      <c r="S54" s="141">
        <f>_xll.qlCalendarAdvance(Calendar,R54,$F$1,"mf",,Trigger)</f>
        <v>42443</v>
      </c>
      <c r="T54" s="196">
        <f>_xll.qlDayCounterYearFraction(DayCounter,R54,S54,,,Trigger)</f>
        <v>0.24931506849315069</v>
      </c>
      <c r="U54" s="20">
        <f>_xll.qlInterpolationInterpolate(B3Minterpolation,R54,TRUE)</f>
        <v>2.1467686278763445E-3</v>
      </c>
      <c r="V54" s="197">
        <f>_xll.qlYieldTSDiscount(Discounting,R54,,AllTriggers)</f>
        <v>0.99606957861077905</v>
      </c>
      <c r="W54" s="197">
        <f>_xll.qlYieldTSDiscount(Discounting,S54,,AllTriggers)</f>
        <v>0.99155573669997621</v>
      </c>
      <c r="X54" s="20">
        <f t="shared" si="4"/>
        <v>1.8259155417553546E-2</v>
      </c>
      <c r="Y54" s="343">
        <f t="shared" si="5"/>
        <v>5.3265444248460747E-4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42353</v>
      </c>
      <c r="S55" s="141">
        <f>_xll.qlCalendarAdvance(Calendar,R55,$F$1,"mf",,Trigger)</f>
        <v>42444</v>
      </c>
      <c r="T55" s="196">
        <f>_xll.qlDayCounterYearFraction(DayCounter,R55,S55,,,Trigger)</f>
        <v>0.24931506849315069</v>
      </c>
      <c r="U55" s="20">
        <f>_xll.qlInterpolationInterpolate(B3Minterpolation,R55,TRUE)</f>
        <v>2.145923712884283E-3</v>
      </c>
      <c r="V55" s="197">
        <f>_xll.qlYieldTSDiscount(Discounting,R55,,AllTriggers)</f>
        <v>0.99601862148433762</v>
      </c>
      <c r="W55" s="197">
        <f>_xll.qlYieldTSDiscount(Discounting,S55,,AllTriggers)</f>
        <v>0.99150841135301526</v>
      </c>
      <c r="X55" s="20">
        <f t="shared" si="4"/>
        <v>1.8245335154846897E-2</v>
      </c>
      <c r="Y55" s="343">
        <f t="shared" si="5"/>
        <v>5.3244668448033234E-4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42354</v>
      </c>
      <c r="S56" s="141">
        <f>_xll.qlCalendarAdvance(Calendar,R56,$F$1,"mf",,Trigger)</f>
        <v>42445</v>
      </c>
      <c r="T56" s="196">
        <f>_xll.qlDayCounterYearFraction(DayCounter,R56,S56,,,Trigger)</f>
        <v>0.24931506849315069</v>
      </c>
      <c r="U56" s="20">
        <f>_xll.qlInterpolationInterpolate(B3Minterpolation,R56,TRUE)</f>
        <v>2.1450787999646504E-3</v>
      </c>
      <c r="V56" s="197">
        <f>_xll.qlYieldTSDiscount(Discounting,R56,,AllTriggers)</f>
        <v>0.99596769567826016</v>
      </c>
      <c r="W56" s="197">
        <f>_xll.qlYieldTSDiscount(Discounting,S56,,AllTriggers)</f>
        <v>0.99146111873639553</v>
      </c>
      <c r="X56" s="20">
        <f t="shared" si="4"/>
        <v>1.8231507266802952E-2</v>
      </c>
      <c r="Y56" s="343">
        <f t="shared" si="5"/>
        <v>5.3223892652854419E-4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42355</v>
      </c>
      <c r="S57" s="141">
        <f>_xll.qlCalendarAdvance(Calendar,R57,$F$1,"mf",,Trigger)</f>
        <v>42446</v>
      </c>
      <c r="T57" s="196">
        <f>_xll.qlDayCounterYearFraction(DayCounter,R57,S57,,,Trigger)</f>
        <v>0.24931506849315069</v>
      </c>
      <c r="U57" s="20">
        <f>_xll.qlInterpolationInterpolate(B3Minterpolation,R57,TRUE)</f>
        <v>2.1442338896355542E-3</v>
      </c>
      <c r="V57" s="197">
        <f>_xll.qlYieldTSDiscount(Discounting,R57,,AllTriggers)</f>
        <v>0.99591679826049373</v>
      </c>
      <c r="W57" s="197">
        <f>_xll.qlYieldTSDiscount(Discounting,S57,,AllTriggers)</f>
        <v>0.99141385903573231</v>
      </c>
      <c r="X57" s="20">
        <f t="shared" si="4"/>
        <v>1.8217659137059396E-2</v>
      </c>
      <c r="Y57" s="343">
        <f t="shared" si="5"/>
        <v>5.3203117042240902E-4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42356</v>
      </c>
      <c r="S58" s="141">
        <f>_xll.qlCalendarAdvance(Calendar,R58,$F$1,"mf",,Trigger)</f>
        <v>42447</v>
      </c>
      <c r="T58" s="196">
        <f>_xll.qlDayCounterYearFraction(DayCounter,R58,S58,,,Trigger)</f>
        <v>0.24931506849315069</v>
      </c>
      <c r="U58" s="20">
        <f>_xll.qlInterpolationInterpolate(B3Minterpolation,R58,TRUE)</f>
        <v>2.1433889824151011E-3</v>
      </c>
      <c r="V58" s="197">
        <f>_xll.qlYieldTSDiscount(Discounting,R58,,AllTriggers)</f>
        <v>0.99586592629958615</v>
      </c>
      <c r="W58" s="197">
        <f>_xll.qlYieldTSDiscount(Discounting,S58,,AllTriggers)</f>
        <v>0.99136663243660761</v>
      </c>
      <c r="X58" s="20">
        <f t="shared" si="4"/>
        <v>1.8203778149424022E-2</v>
      </c>
      <c r="Y58" s="343">
        <f t="shared" si="5"/>
        <v>5.3182341795176581E-4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42359</v>
      </c>
      <c r="S59" s="141">
        <f>_xll.qlCalendarAdvance(Calendar,R59,$F$1,"mf",,Trigger)</f>
        <v>42450</v>
      </c>
      <c r="T59" s="196">
        <f>_xll.qlDayCounterYearFraction(DayCounter,R59,S59,,,Trigger)</f>
        <v>0.24931506849315069</v>
      </c>
      <c r="U59" s="20">
        <f>_xll.qlInterpolationInterpolate(B3Minterpolation,R59,TRUE)</f>
        <v>2.1408542845866778E-3</v>
      </c>
      <c r="V59" s="197">
        <f>_xll.qlYieldTSDiscount(Discounting,R59,,AllTriggers)</f>
        <v>0.99571343385249733</v>
      </c>
      <c r="W59" s="197">
        <f>_xll.qlYieldTSDiscount(Discounting,S59,,AllTriggers)</f>
        <v>0.991225153103792</v>
      </c>
      <c r="X59" s="20">
        <f t="shared" si="4"/>
        <v>1.8161811879894539E-2</v>
      </c>
      <c r="Y59" s="343">
        <f t="shared" si="5"/>
        <v>5.3120020021768619E-4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42360</v>
      </c>
      <c r="S60" s="141">
        <f>_xll.qlCalendarAdvance(Calendar,R60,$F$1,"mf",,Trigger)</f>
        <v>42451</v>
      </c>
      <c r="T60" s="196">
        <f>_xll.qlDayCounterYearFraction(DayCounter,R60,S60,,,Trigger)</f>
        <v>0.24931506849315069</v>
      </c>
      <c r="U60" s="20">
        <f>_xll.qlInterpolationInterpolate(B3Minterpolation,R60,TRUE)</f>
        <v>2.1400093949818719E-3</v>
      </c>
      <c r="V60" s="197">
        <f>_xll.qlYieldTSDiscount(Discounting,R60,,AllTriggers)</f>
        <v>0.99566263441650105</v>
      </c>
      <c r="W60" s="197">
        <f>_xll.qlYieldTSDiscount(Discounting,S60,,AllTriggers)</f>
        <v>0.99117806076598491</v>
      </c>
      <c r="X60" s="20">
        <f t="shared" si="4"/>
        <v>1.8147673302302929E-2</v>
      </c>
      <c r="Y60" s="343">
        <f t="shared" si="5"/>
        <v>5.3099248014015733E-4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42361</v>
      </c>
      <c r="S61" s="141">
        <f>_xll.qlCalendarAdvance(Calendar,R61,$F$1,"mf",,Trigger)</f>
        <v>42452</v>
      </c>
      <c r="T61" s="196">
        <f>_xll.qlDayCounterYearFraction(DayCounter,R61,S61,,,Trigger)</f>
        <v>0.24931506849315069</v>
      </c>
      <c r="U61" s="20">
        <f>_xll.qlInterpolationInterpolate(B3Minterpolation,R61,TRUE)</f>
        <v>2.1391645110762463E-3</v>
      </c>
      <c r="V61" s="197">
        <f>_xll.qlYieldTSDiscount(Discounting,R61,,AllTriggers)</f>
        <v>0.9956118457890949</v>
      </c>
      <c r="W61" s="197">
        <f>_xll.qlYieldTSDiscount(Discounting,S61,,AllTriggers)</f>
        <v>0.99113100245713426</v>
      </c>
      <c r="X61" s="20">
        <f t="shared" si="4"/>
        <v>1.8133438788516969E-2</v>
      </c>
      <c r="Y61" s="343">
        <f t="shared" si="5"/>
        <v>5.307847726104966E-4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42362</v>
      </c>
      <c r="S62" s="141">
        <f>_xll.qlCalendarAdvance(Calendar,R62,$F$1,"mf",,Trigger)</f>
        <v>42453</v>
      </c>
      <c r="T62" s="196">
        <f>_xll.qlDayCounterYearFraction(DayCounter,R62,S62,,,Trigger)</f>
        <v>0.24931506849315069</v>
      </c>
      <c r="U62" s="20">
        <f>_xll.qlInterpolationInterpolate(B3Minterpolation,R62,TRUE)</f>
        <v>2.1383196333879082E-3</v>
      </c>
      <c r="V62" s="197">
        <f>_xll.qlYieldTSDiscount(Discounting,R62,,AllTriggers)</f>
        <v>0.99556106504241948</v>
      </c>
      <c r="W62" s="197">
        <f>_xll.qlYieldTSDiscount(Discounting,S62,,AllTriggers)</f>
        <v>0.99108397836262552</v>
      </c>
      <c r="X62" s="20">
        <f t="shared" si="4"/>
        <v>1.8119095723418539E-2</v>
      </c>
      <c r="Y62" s="343">
        <f t="shared" si="5"/>
        <v>5.3057707940301689E-4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42367</v>
      </c>
      <c r="S63" s="141">
        <f>_xll.qlCalendarAdvance(Calendar,R63,$F$1,"mf",,Trigger)</f>
        <v>42458</v>
      </c>
      <c r="T63" s="196">
        <f>_xll.qlDayCounterYearFraction(DayCounter,R63,S63,,,Trigger)</f>
        <v>0.24931506849315069</v>
      </c>
      <c r="U63" s="20">
        <f>_xll.qlInterpolationInterpolate(B3Minterpolation,R63,TRUE)</f>
        <v>2.1340953563392792E-3</v>
      </c>
      <c r="V63" s="197">
        <f>_xll.qlYieldTSDiscount(Discounting,R63,,AllTriggers)</f>
        <v>0.99530717708673277</v>
      </c>
      <c r="W63" s="197">
        <f>_xll.qlYieldTSDiscount(Discounting,S63,,AllTriggers)</f>
        <v>0.99084937759142977</v>
      </c>
      <c r="X63" s="20">
        <f t="shared" si="4"/>
        <v>1.8045310612513427E-2</v>
      </c>
      <c r="Y63" s="343">
        <f t="shared" si="5"/>
        <v>5.2953889013204931E-4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42368</v>
      </c>
      <c r="S64" s="141">
        <f>_xll.qlCalendarAdvance(Calendar,R64,$F$1,"mf",,Trigger)</f>
        <v>42459</v>
      </c>
      <c r="T64" s="196">
        <f>_xll.qlDayCounterYearFraction(DayCounter,R64,S64,,,Trigger)</f>
        <v>0.24931506849315069</v>
      </c>
      <c r="U64" s="20">
        <f>_xll.qlInterpolationInterpolate(B3Minterpolation,R64,TRUE)</f>
        <v>2.133250526834917E-3</v>
      </c>
      <c r="V64" s="197">
        <f>_xll.qlYieldTSDiscount(Discounting,R64,,AllTriggers)</f>
        <v>0.99525638217283796</v>
      </c>
      <c r="W64" s="197">
        <f>_xll.qlYieldTSDiscount(Discounting,S64,,AllTriggers)</f>
        <v>0.99080256267425071</v>
      </c>
      <c r="X64" s="20">
        <f t="shared" si="4"/>
        <v>1.8030051332876232E-2</v>
      </c>
      <c r="Y64" s="343">
        <f t="shared" si="5"/>
        <v>5.2933131998071127E-4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42369</v>
      </c>
      <c r="S65" s="141">
        <f>_xll.qlCalendarAdvance(Calendar,R65,$F$1,"mf",,Trigger)</f>
        <v>42460</v>
      </c>
      <c r="T65" s="196">
        <f>_xll.qlDayCounterYearFraction(DayCounter,R65,S65,,,Trigger)</f>
        <v>0.24931506849315069</v>
      </c>
      <c r="U65" s="20">
        <f>_xll.qlInterpolationInterpolate(B3Minterpolation,R65,TRUE)</f>
        <v>2.1324057071745927E-3</v>
      </c>
      <c r="V65" s="197">
        <f>_xll.qlYieldTSDiscount(Discounting,R65,,AllTriggers)</f>
        <v>0.99520557466137893</v>
      </c>
      <c r="W65" s="197">
        <f>_xll.qlYieldTSDiscount(Discounting,S65,,AllTriggers)</f>
        <v>0.99075578326820457</v>
      </c>
      <c r="X65" s="20">
        <f t="shared" si="4"/>
        <v>1.8014595201594843E-2</v>
      </c>
      <c r="Y65" s="343">
        <f t="shared" si="5"/>
        <v>5.2912377650143395E-4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42373</v>
      </c>
      <c r="S66" s="141">
        <f>_xll.qlCalendarAdvance(Calendar,R66,$F$1,"mf",,Trigger)</f>
        <v>42464</v>
      </c>
      <c r="T66" s="196">
        <f>_xll.qlDayCounterYearFraction(DayCounter,R66,S66,,,Trigger)</f>
        <v>0.24931506849315069</v>
      </c>
      <c r="U66" s="20">
        <f>_xll.qlInterpolationInterpolate(B3Minterpolation,R66,TRUE)</f>
        <v>2.1290265373358225E-3</v>
      </c>
      <c r="V66" s="197">
        <f>_xll.qlYieldTSDiscount(Discounting,R66,,AllTriggers)</f>
        <v>0.9950021601872524</v>
      </c>
      <c r="W66" s="197">
        <f>_xll.qlYieldTSDiscount(Discounting,S66,,AllTriggers)</f>
        <v>0.99056902445741002</v>
      </c>
      <c r="X66" s="20">
        <f t="shared" si="4"/>
        <v>1.7950549893643291E-2</v>
      </c>
      <c r="Y66" s="343">
        <f t="shared" si="5"/>
        <v>5.2829390434315092E-4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42374</v>
      </c>
      <c r="S67" s="141">
        <f>_xll.qlCalendarAdvance(Calendar,R67,$F$1,"mf",,Trigger)</f>
        <v>42465</v>
      </c>
      <c r="T67" s="196">
        <f>_xll.qlDayCounterYearFraction(DayCounter,R67,S67,,,Trigger)</f>
        <v>0.24931506849315069</v>
      </c>
      <c r="U67" s="20">
        <f>_xll.qlInterpolationInterpolate(B3Minterpolation,R67,TRUE)</f>
        <v>2.128181774667298E-3</v>
      </c>
      <c r="V67" s="197">
        <f>_xll.qlYieldTSDiscount(Discounting,R67,,AllTriggers)</f>
        <v>0.9949512471204468</v>
      </c>
      <c r="W67" s="197">
        <f>_xll.qlYieldTSDiscount(Discounting,S67,,AllTriggers)</f>
        <v>0.99052242530769874</v>
      </c>
      <c r="X67" s="20">
        <f t="shared" si="4"/>
        <v>1.7933925743319135E-2</v>
      </c>
      <c r="Y67" s="343">
        <f t="shared" si="5"/>
        <v>5.280865197680528E-4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42375</v>
      </c>
      <c r="S68" s="141">
        <f>_xll.qlCalendarAdvance(Calendar,R68,$F$1,"mf",,Trigger)</f>
        <v>42466</v>
      </c>
      <c r="T68" s="196">
        <f>_xll.qlDayCounterYearFraction(DayCounter,R68,S68,,,Trigger)</f>
        <v>0.24931506849315069</v>
      </c>
      <c r="U68" s="20">
        <f>_xll.qlInterpolationInterpolate(B3Minterpolation,R68,TRUE)</f>
        <v>2.1273370249514549E-3</v>
      </c>
      <c r="V68" s="197">
        <f>_xll.qlYieldTSDiscount(Discounting,R68,,AllTriggers)</f>
        <v>0.99490031152638081</v>
      </c>
      <c r="W68" s="197">
        <f>_xll.qlYieldTSDiscount(Discounting,S68,,AllTriggers)</f>
        <v>0.99047586232585749</v>
      </c>
      <c r="X68" s="20">
        <f t="shared" ref="X68:X131" si="9">(V68/W68-1)/T68</f>
        <v>1.7917061685183693E-2</v>
      </c>
      <c r="Y68" s="343">
        <f t="shared" ref="Y68:Y131" si="10">LN((1+(U68+X68)*T68)/(1+X68*T68))</f>
        <v>5.2787916807665229E-4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42376</v>
      </c>
      <c r="S69" s="141">
        <f>_xll.qlCalendarAdvance(Calendar,R69,$F$1,"mf",,Trigger)</f>
        <v>42467</v>
      </c>
      <c r="T69" s="196">
        <f>_xll.qlDayCounterYearFraction(DayCounter,R69,S69,,,Trigger)</f>
        <v>0.24931506849315069</v>
      </c>
      <c r="U69" s="20">
        <f>_xll.qlInterpolationInterpolate(B3Minterpolation,R69,TRUE)</f>
        <v>2.126492288706401E-3</v>
      </c>
      <c r="V69" s="197">
        <f>_xll.qlYieldTSDiscount(Discounting,R69,,AllTriggers)</f>
        <v>0.99484935808395092</v>
      </c>
      <c r="W69" s="197">
        <f>_xll.qlYieldTSDiscount(Discounting,S69,,AllTriggers)</f>
        <v>0.99042933524335397</v>
      </c>
      <c r="X69" s="20">
        <f t="shared" si="9"/>
        <v>1.7899977727940098E-2</v>
      </c>
      <c r="Y69" s="343">
        <f t="shared" si="10"/>
        <v>5.2767184674121594E-4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42377</v>
      </c>
      <c r="S70" s="141">
        <f>_xll.qlCalendarAdvance(Calendar,R70,$F$1,"mf",,Trigger)</f>
        <v>42468</v>
      </c>
      <c r="T70" s="196">
        <f>_xll.qlDayCounterYearFraction(DayCounter,R70,S70,,,Trigger)</f>
        <v>0.24931506849315069</v>
      </c>
      <c r="U70" s="20">
        <f>_xll.qlInterpolationInterpolate(B3Minterpolation,R70,TRUE)</f>
        <v>2.1256475664502435E-3</v>
      </c>
      <c r="V70" s="197">
        <f>_xll.qlYieldTSDiscount(Discounting,R70,,AllTriggers)</f>
        <v>0.99479839147109694</v>
      </c>
      <c r="W70" s="197">
        <f>_xll.qlYieldTSDiscount(Discounting,S70,,AllTriggers)</f>
        <v>0.9903828437917096</v>
      </c>
      <c r="X70" s="20">
        <f t="shared" si="9"/>
        <v>1.7882693879989562E-2</v>
      </c>
      <c r="Y70" s="343">
        <f t="shared" si="10"/>
        <v>5.2746455323778117E-4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42380</v>
      </c>
      <c r="S71" s="141">
        <f>_xll.qlCalendarAdvance(Calendar,R71,$F$1,"mf",,Trigger)</f>
        <v>42471</v>
      </c>
      <c r="T71" s="196">
        <f>_xll.qlDayCounterYearFraction(DayCounter,R71,S71,,,Trigger)</f>
        <v>0.24931506849315069</v>
      </c>
      <c r="U71" s="20">
        <f>_xll.qlInterpolationInterpolate(B3Minterpolation,R71,TRUE)</f>
        <v>2.1231134887962212E-3</v>
      </c>
      <c r="V71" s="197">
        <f>_xll.qlYieldTSDiscount(Discounting,R71,,AllTriggers)</f>
        <v>0.99464545937502546</v>
      </c>
      <c r="W71" s="197">
        <f>_xll.qlYieldTSDiscount(Discounting,S71,,AllTriggers)</f>
        <v>0.99024358053794437</v>
      </c>
      <c r="X71" s="20">
        <f t="shared" si="9"/>
        <v>1.7829843071182804E-2</v>
      </c>
      <c r="Y71" s="343">
        <f t="shared" si="10"/>
        <v>5.268428145441856E-4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42381</v>
      </c>
      <c r="S72" s="141">
        <f>_xll.qlCalendarAdvance(Calendar,R72,$F$1,"mf",,Trigger)</f>
        <v>42472</v>
      </c>
      <c r="T72" s="196">
        <f>_xll.qlDayCounterYearFraction(DayCounter,R72,S72,,,Trigger)</f>
        <v>0.24931506849315069</v>
      </c>
      <c r="U72" s="20">
        <f>_xll.qlInterpolationInterpolate(B3Minterpolation,R72,TRUE)</f>
        <v>2.1222688276767211E-3</v>
      </c>
      <c r="V72" s="197">
        <f>_xll.qlYieldTSDiscount(Discounting,R72,,AllTriggers)</f>
        <v>0.99459448684071949</v>
      </c>
      <c r="W72" s="197">
        <f>_xll.qlYieldTSDiscount(Discounting,S72,,AllTriggers)</f>
        <v>0.99019722892601547</v>
      </c>
      <c r="X72" s="20">
        <f t="shared" si="9"/>
        <v>1.7811959738053152E-2</v>
      </c>
      <c r="Y72" s="343">
        <f t="shared" si="10"/>
        <v>5.2663560721341986E-4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42382</v>
      </c>
      <c r="S73" s="141">
        <f>_xll.qlCalendarAdvance(Calendar,R73,$F$1,"mf",,Trigger)</f>
        <v>42473</v>
      </c>
      <c r="T73" s="196">
        <f>_xll.qlDayCounterYearFraction(DayCounter,R73,S73,,,Trigger)</f>
        <v>0.24931506849315069</v>
      </c>
      <c r="U73" s="20">
        <f>_xll.qlInterpolationInterpolate(B3Minterpolation,R73,TRUE)</f>
        <v>2.1214241831366541E-3</v>
      </c>
      <c r="V73" s="197">
        <f>_xll.qlYieldTSDiscount(Discounting,R73,,AllTriggers)</f>
        <v>0.99454352451132089</v>
      </c>
      <c r="W73" s="197">
        <f>_xll.qlYieldTSDiscount(Discounting,S73,,AllTriggers)</f>
        <v>0.99015091160335078</v>
      </c>
      <c r="X73" s="20">
        <f t="shared" si="9"/>
        <v>1.7793976551379431E-2</v>
      </c>
      <c r="Y73" s="343">
        <f t="shared" si="10"/>
        <v>5.2642841515717221E-4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42383</v>
      </c>
      <c r="S74" s="141">
        <f>_xll.qlCalendarAdvance(Calendar,R74,$F$1,"mf",,Trigger)</f>
        <v>42474</v>
      </c>
      <c r="T74" s="196">
        <f>_xll.qlDayCounterYearFraction(DayCounter,R74,S74,,,Trigger)</f>
        <v>0.24931506849315069</v>
      </c>
      <c r="U74" s="20">
        <f>_xll.qlInterpolationInterpolate(B3Minterpolation,R74,TRUE)</f>
        <v>2.1205795556941266E-3</v>
      </c>
      <c r="V74" s="197">
        <f>_xll.qlYieldTSDiscount(Discounting,R74,,AllTriggers)</f>
        <v>0.99449257705902183</v>
      </c>
      <c r="W74" s="197">
        <f>_xll.qlYieldTSDiscount(Discounting,S74,,AllTriggers)</f>
        <v>0.99010462830179025</v>
      </c>
      <c r="X74" s="20">
        <f t="shared" si="9"/>
        <v>1.7775913517570546E-2</v>
      </c>
      <c r="Y74" s="343">
        <f t="shared" si="10"/>
        <v>5.2622123587676712E-4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42384</v>
      </c>
      <c r="S75" s="141">
        <f>_xll.qlCalendarAdvance(Calendar,R75,$F$1,"mf",,Trigger)</f>
        <v>42475</v>
      </c>
      <c r="T75" s="196">
        <f>_xll.qlDayCounterYearFraction(DayCounter,R75,S75,,,Trigger)</f>
        <v>0.24931506849315069</v>
      </c>
      <c r="U75" s="20">
        <f>_xll.qlInterpolationInterpolate(B3Minterpolation,R75,TRUE)</f>
        <v>2.1197349458672468E-3</v>
      </c>
      <c r="V75" s="197">
        <f>_xll.qlYieldTSDiscount(Discounting,R75,,AllTriggers)</f>
        <v>0.99444164915505762</v>
      </c>
      <c r="W75" s="197">
        <f>_xll.qlYieldTSDiscount(Discounting,S75,,AllTriggers)</f>
        <v>0.99005837875322678</v>
      </c>
      <c r="X75" s="20">
        <f t="shared" si="9"/>
        <v>1.7757790642686268E-2</v>
      </c>
      <c r="Y75" s="343">
        <f t="shared" si="10"/>
        <v>5.2601406687685594E-4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42387</v>
      </c>
      <c r="S76" s="141">
        <f>_xll.qlCalendarAdvance(Calendar,R76,$F$1,"mf",,Trigger)</f>
        <v>42478</v>
      </c>
      <c r="T76" s="196">
        <f>_xll.qlDayCounterYearFraction(DayCounter,R76,S76,,,Trigger)</f>
        <v>0.24931506849315069</v>
      </c>
      <c r="U76" s="20">
        <f>_xll.qlInterpolationInterpolate(B3Minterpolation,R76,TRUE)</f>
        <v>2.1172012272615615E-3</v>
      </c>
      <c r="V76" s="197">
        <f>_xll.qlYieldTSDiscount(Discounting,R76,,AllTriggers)</f>
        <v>0.99428902943118547</v>
      </c>
      <c r="W76" s="197">
        <f>_xll.qlYieldTSDiscount(Discounting,S76,,AllTriggers)</f>
        <v>0.9899198299452372</v>
      </c>
      <c r="X76" s="20">
        <f t="shared" si="9"/>
        <v>1.7703263026791493E-2</v>
      </c>
      <c r="Y76" s="343">
        <f t="shared" si="10"/>
        <v>5.253925966722593E-4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42388</v>
      </c>
      <c r="S77" s="141">
        <f>_xll.qlCalendarAdvance(Calendar,R77,$F$1,"mf",,Trigger)</f>
        <v>42479</v>
      </c>
      <c r="T77" s="196">
        <f>_xll.qlDayCounterYearFraction(DayCounter,R77,S77,,,Trigger)</f>
        <v>0.24931506849315069</v>
      </c>
      <c r="U77" s="20">
        <f>_xll.qlInterpolationInterpolate(B3Minterpolation,R77,TRUE)</f>
        <v>2.1163566930783428E-3</v>
      </c>
      <c r="V77" s="197">
        <f>_xll.qlYieldTSDiscount(Discounting,R77,,AllTriggers)</f>
        <v>0.994238226413801</v>
      </c>
      <c r="W77" s="197">
        <f>_xll.qlYieldTSDiscount(Discounting,S77,,AllTriggers)</f>
        <v>0.98987371272864311</v>
      </c>
      <c r="X77" s="20">
        <f t="shared" si="9"/>
        <v>1.7685100841018792E-2</v>
      </c>
      <c r="Y77" s="343">
        <f t="shared" si="10"/>
        <v>5.2518544392668226E-4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42389</v>
      </c>
      <c r="S78" s="141">
        <f>_xll.qlCalendarAdvance(Calendar,R78,$F$1,"mf",,Trigger)</f>
        <v>42480</v>
      </c>
      <c r="T78" s="196">
        <f>_xll.qlDayCounterYearFraction(DayCounter,R78,S78,,,Trigger)</f>
        <v>0.24931506849315069</v>
      </c>
      <c r="U78" s="20">
        <f>_xll.qlInterpolationInterpolate(B3Minterpolation,R78,TRUE)</f>
        <v>2.1155121791013075E-3</v>
      </c>
      <c r="V78" s="197">
        <f>_xll.qlYieldTSDiscount(Discounting,R78,,AllTriggers)</f>
        <v>0.99418746628660559</v>
      </c>
      <c r="W78" s="197">
        <f>_xll.qlYieldTSDiscount(Discounting,S78,,AllTriggers)</f>
        <v>0.98982762792529899</v>
      </c>
      <c r="X78" s="20">
        <f t="shared" si="9"/>
        <v>1.7666978839075986E-2</v>
      </c>
      <c r="Y78" s="343">
        <f t="shared" si="10"/>
        <v>5.2497828904851814E-4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42390</v>
      </c>
      <c r="S79" s="141">
        <f>_xll.qlCalendarAdvance(Calendar,R79,$F$1,"mf",,Trigger)</f>
        <v>42481</v>
      </c>
      <c r="T79" s="196">
        <f>_xll.qlDayCounterYearFraction(DayCounter,R79,S79,,,Trigger)</f>
        <v>0.24931506849315069</v>
      </c>
      <c r="U79" s="20">
        <f>_xll.qlInterpolationInterpolate(B3Minterpolation,R79,TRUE)</f>
        <v>2.114667685848563E-3</v>
      </c>
      <c r="V79" s="197">
        <f>_xll.qlYieldTSDiscount(Discounting,R79,,AllTriggers)</f>
        <v>0.99413675371511601</v>
      </c>
      <c r="W79" s="197">
        <f>_xll.qlYieldTSDiscount(Discounting,S79,,AllTriggers)</f>
        <v>0.98978157526741262</v>
      </c>
      <c r="X79" s="20">
        <f t="shared" si="9"/>
        <v>1.7648917024864895E-2</v>
      </c>
      <c r="Y79" s="343">
        <f t="shared" si="10"/>
        <v>5.2477112956748396E-4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42391</v>
      </c>
      <c r="S80" s="141">
        <f>_xll.qlCalendarAdvance(Calendar,R80,$F$1,"mf",,Trigger)</f>
        <v>42482</v>
      </c>
      <c r="T80" s="196">
        <f>_xll.qlDayCounterYearFraction(DayCounter,R80,S80,,,Trigger)</f>
        <v>0.24931506849315069</v>
      </c>
      <c r="U80" s="20">
        <f>_xll.qlInterpolationInterpolate(B3Minterpolation,R80,TRUE)</f>
        <v>2.1138232138382166E-3</v>
      </c>
      <c r="V80" s="197">
        <f>_xll.qlYieldTSDiscount(Discounting,R80,,AllTriggers)</f>
        <v>0.9940860933639023</v>
      </c>
      <c r="W80" s="197">
        <f>_xll.qlYieldTSDiscount(Discounting,S80,,AllTriggers)</f>
        <v>0.98973555448724382</v>
      </c>
      <c r="X80" s="20">
        <f t="shared" si="9"/>
        <v>1.7630935401929289E-2</v>
      </c>
      <c r="Y80" s="343">
        <f t="shared" si="10"/>
        <v>5.2456396301706737E-4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42394</v>
      </c>
      <c r="S81" s="141">
        <f>_xll.qlCalendarAdvance(Calendar,R81,$F$1,"mf",,Trigger)</f>
        <v>42486</v>
      </c>
      <c r="T81" s="196">
        <f>_xll.qlDayCounterYearFraction(DayCounter,R81,S81,,,Trigger)</f>
        <v>0.25205479452054796</v>
      </c>
      <c r="U81" s="20">
        <f>_xll.qlInterpolationInterpolate(B3Minterpolation,R81,TRUE)</f>
        <v>2.1112899304426376E-3</v>
      </c>
      <c r="V81" s="197">
        <f>_xll.qlYieldTSDiscount(Discounting,R81,,AllTriggers)</f>
        <v>0.99393447226346365</v>
      </c>
      <c r="W81" s="197">
        <f>_xll.qlYieldTSDiscount(Discounting,S81,,AllTriggers)</f>
        <v>0.98955178479076422</v>
      </c>
      <c r="X81" s="20">
        <f t="shared" si="9"/>
        <v>1.7571426211452308E-2</v>
      </c>
      <c r="Y81" s="343">
        <f t="shared" si="10"/>
        <v>5.2967392041327753E-4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42396</v>
      </c>
      <c r="S82" s="141">
        <f>_xll.qlCalendarAdvance(Calendar,R82,$F$1,"mf",,Trigger)</f>
        <v>42487</v>
      </c>
      <c r="T82" s="196">
        <f>_xll.qlDayCounterYearFraction(DayCounter,R82,S82,,,Trigger)</f>
        <v>0.24931506849315069</v>
      </c>
      <c r="U82" s="20">
        <f>_xll.qlInterpolationInterpolate(B3Minterpolation,R82,TRUE)</f>
        <v>2.1096011905562088E-3</v>
      </c>
      <c r="V82" s="197">
        <f>_xll.qlYieldTSDiscount(Discounting,R82,,AllTriggers)</f>
        <v>0.99383373810595266</v>
      </c>
      <c r="W82" s="197">
        <f>_xll.qlYieldTSDiscount(Discounting,S82,,AllTriggers)</f>
        <v>0.98950591938490218</v>
      </c>
      <c r="X82" s="20">
        <f t="shared" si="9"/>
        <v>1.7542930256017344E-2</v>
      </c>
      <c r="Y82" s="343">
        <f t="shared" si="10"/>
        <v>5.2352793819643838E-4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42397</v>
      </c>
      <c r="S83" s="141">
        <f>_xll.qlCalendarAdvance(Calendar,R83,$F$1,"mf",,Trigger)</f>
        <v>42488</v>
      </c>
      <c r="T83" s="196">
        <f>_xll.qlDayCounterYearFraction(DayCounter,R83,S83,,,Trigger)</f>
        <v>0.24931506849315069</v>
      </c>
      <c r="U83" s="20">
        <f>_xll.qlInterpolationInterpolate(B3Minterpolation,R83,TRUE)</f>
        <v>2.108756856880503E-3</v>
      </c>
      <c r="V83" s="197">
        <f>_xll.qlYieldTSDiscount(Discounting,R83,,AllTriggers)</f>
        <v>0.99378348897966107</v>
      </c>
      <c r="W83" s="197">
        <f>_xll.qlYieldTSDiscount(Discounting,S83,,AllTriggers)</f>
        <v>0.98946008425140808</v>
      </c>
      <c r="X83" s="20">
        <f t="shared" si="9"/>
        <v>1.7525849835772381E-2</v>
      </c>
      <c r="Y83" s="343">
        <f t="shared" si="10"/>
        <v>5.2332067767053706E-4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42398</v>
      </c>
      <c r="S84" s="141">
        <f>_xll.qlCalendarAdvance(Calendar,R84,$F$1,"mf",,Trigger)</f>
        <v>42489</v>
      </c>
      <c r="T84" s="196">
        <f>_xll.qlDayCounterYearFraction(DayCounter,R84,S84,,,Trigger)</f>
        <v>0.24931506849315069</v>
      </c>
      <c r="U84" s="20">
        <f>_xll.qlInterpolationInterpolate(B3Minterpolation,R84,TRUE)</f>
        <v>2.1079125480739465E-3</v>
      </c>
      <c r="V84" s="197">
        <f>_xll.qlYieldTSDiscount(Discounting,R84,,AllTriggers)</f>
        <v>0.99373332469934672</v>
      </c>
      <c r="W84" s="197">
        <f>_xll.qlYieldTSDiscount(Discounting,S84,,AllTriggers)</f>
        <v>0.98941427912290447</v>
      </c>
      <c r="X84" s="20">
        <f t="shared" si="9"/>
        <v>1.750898962204946E-2</v>
      </c>
      <c r="Y84" s="343">
        <f t="shared" si="10"/>
        <v>5.2311339292723141E-4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42401</v>
      </c>
      <c r="S85" s="141">
        <f>_xll.qlCalendarAdvance(Calendar,R85,$F$1,"mf",,Trigger)</f>
        <v>42492</v>
      </c>
      <c r="T85" s="196">
        <f>_xll.qlDayCounterYearFraction(DayCounter,R85,S85,,,Trigger)</f>
        <v>0.24931506849315069</v>
      </c>
      <c r="U85" s="20">
        <f>_xll.qlInterpolationInterpolate(B3Minterpolation,R85,TRUE)</f>
        <v>2.1053797760502424E-3</v>
      </c>
      <c r="V85" s="197">
        <f>_xll.qlYieldTSDiscount(Discounting,R85,,AllTriggers)</f>
        <v>0.99358338750065867</v>
      </c>
      <c r="W85" s="197">
        <f>_xll.qlYieldTSDiscount(Discounting,S85,,AllTriggers)</f>
        <v>0.98927704109433756</v>
      </c>
      <c r="X85" s="20">
        <f t="shared" si="9"/>
        <v>1.7459930227592169E-2</v>
      </c>
      <c r="Y85" s="343">
        <f t="shared" si="10"/>
        <v>5.2249136908023505E-4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42402</v>
      </c>
      <c r="S86" s="141">
        <f>_xll.qlCalendarAdvance(Calendar,R86,$F$1,"mf",,Trigger)</f>
        <v>42492</v>
      </c>
      <c r="T86" s="196">
        <f>_xll.qlDayCounterYearFraction(DayCounter,R86,S86,,,Trigger)</f>
        <v>0.24657534246575341</v>
      </c>
      <c r="U86" s="20">
        <f>_xll.qlInterpolationInterpolate(B3Minterpolation,R86,TRUE)</f>
        <v>2.1045355719013542E-3</v>
      </c>
      <c r="V86" s="197">
        <f>_xll.qlYieldTSDiscount(Discounting,R86,,AllTriggers)</f>
        <v>0.99353360916607236</v>
      </c>
      <c r="W86" s="197">
        <f>_xll.qlYieldTSDiscount(Discounting,S86,,AllTriggers)</f>
        <v>0.98927704109433756</v>
      </c>
      <c r="X86" s="20">
        <f t="shared" si="9"/>
        <v>1.744986244887339E-2</v>
      </c>
      <c r="Y86" s="343">
        <f t="shared" si="10"/>
        <v>5.1656991162410838E-4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42403</v>
      </c>
      <c r="S87" s="141">
        <f>_xll.qlCalendarAdvance(Calendar,R87,$F$1,"mf",,Trigger)</f>
        <v>42493</v>
      </c>
      <c r="T87" s="196">
        <f>_xll.qlDayCounterYearFraction(DayCounter,R87,S87,,,Trigger)</f>
        <v>0.24657534246575341</v>
      </c>
      <c r="U87" s="20">
        <f>_xll.qlInterpolationInterpolate(B3Minterpolation,R87,TRUE)</f>
        <v>2.1036913952121507E-3</v>
      </c>
      <c r="V87" s="197">
        <f>_xll.qlYieldTSDiscount(Discounting,R87,,AllTriggers)</f>
        <v>0.99348393772988086</v>
      </c>
      <c r="W87" s="197">
        <f>_xll.qlYieldTSDiscount(Discounting,S87,,AllTriggers)</f>
        <v>0.98923135331305312</v>
      </c>
      <c r="X87" s="20">
        <f t="shared" si="9"/>
        <v>1.7434336567855698E-2</v>
      </c>
      <c r="Y87" s="343">
        <f t="shared" si="10"/>
        <v>5.1636472508997835E-4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42404</v>
      </c>
      <c r="S88" s="141">
        <f>_xll.qlCalendarAdvance(Calendar,R88,$F$1,"mf",,Trigger)</f>
        <v>42494</v>
      </c>
      <c r="T88" s="196">
        <f>_xll.qlDayCounterYearFraction(DayCounter,R88,S88,,,Trigger)</f>
        <v>0.24657534246575341</v>
      </c>
      <c r="U88" s="20">
        <f>_xll.qlInterpolationInterpolate(B3Minterpolation,R88,TRUE)</f>
        <v>2.1028472465007405E-3</v>
      </c>
      <c r="V88" s="197">
        <f>_xll.qlYieldTSDiscount(Discounting,R88,,AllTriggers)</f>
        <v>0.99343437172544802</v>
      </c>
      <c r="W88" s="197">
        <f>_xll.qlYieldTSDiscount(Discounting,S88,,AllTriggers)</f>
        <v>0.98918569420064406</v>
      </c>
      <c r="X88" s="20">
        <f t="shared" si="9"/>
        <v>1.7419123467415823E-2</v>
      </c>
      <c r="Y88" s="343">
        <f t="shared" si="10"/>
        <v>5.1615950418738615E-4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42405</v>
      </c>
      <c r="S89" s="141">
        <f>_xll.qlCalendarAdvance(Calendar,R89,$F$1,"mf",,Trigger)</f>
        <v>42495</v>
      </c>
      <c r="T89" s="196">
        <f>_xll.qlDayCounterYearFraction(DayCounter,R89,S89,,,Trigger)</f>
        <v>0.24657534246575341</v>
      </c>
      <c r="U89" s="20">
        <f>_xll.qlInterpolationInterpolate(B3Minterpolation,R89,TRUE)</f>
        <v>2.1020031262852295E-3</v>
      </c>
      <c r="V89" s="197">
        <f>_xll.qlYieldTSDiscount(Discounting,R89,,AllTriggers)</f>
        <v>0.99338490846264771</v>
      </c>
      <c r="W89" s="197">
        <f>_xll.qlYieldTSDiscount(Discounting,S89,,AllTriggers)</f>
        <v>0.98914006349004102</v>
      </c>
      <c r="X89" s="20">
        <f t="shared" si="9"/>
        <v>1.7404213262159698E-2</v>
      </c>
      <c r="Y89" s="343">
        <f t="shared" si="10"/>
        <v>5.159542503417675E-4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42408</v>
      </c>
      <c r="S90" s="141">
        <f>_xll.qlCalendarAdvance(Calendar,R90,$F$1,"mf",,Trigger)</f>
        <v>42499</v>
      </c>
      <c r="T90" s="196">
        <f>_xll.qlDayCounterYearFraction(DayCounter,R90,S90,,,Trigger)</f>
        <v>0.24931506849315069</v>
      </c>
      <c r="U90" s="20">
        <f>_xll.qlInterpolationInterpolate(B3Minterpolation,R90,TRUE)</f>
        <v>2.0994709417951692E-3</v>
      </c>
      <c r="V90" s="197">
        <f>_xll.qlYieldTSDiscount(Discounting,R90,,AllTriggers)</f>
        <v>0.99323710823123879</v>
      </c>
      <c r="W90" s="197">
        <f>_xll.qlYieldTSDiscount(Discounting,S90,,AllTriggers)</f>
        <v>0.98895781932608606</v>
      </c>
      <c r="X90" s="20">
        <f t="shared" si="9"/>
        <v>1.7355826950345595E-2</v>
      </c>
      <c r="Y90" s="343">
        <f t="shared" si="10"/>
        <v>5.2103881887028141E-4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42409</v>
      </c>
      <c r="S91" s="141">
        <f>_xll.qlCalendarAdvance(Calendar,R91,$F$1,"mf",,Trigger)</f>
        <v>42499</v>
      </c>
      <c r="T91" s="196">
        <f>_xll.qlDayCounterYearFraction(DayCounter,R91,S91,,,Trigger)</f>
        <v>0.24657534246575341</v>
      </c>
      <c r="U91" s="20">
        <f>_xll.qlInterpolationInterpolate(B3Minterpolation,R91,TRUE)</f>
        <v>2.0986269407443302E-3</v>
      </c>
      <c r="V91" s="197">
        <f>_xll.qlYieldTSDiscount(Discounting,R91,,AllTriggers)</f>
        <v>0.99318802904496728</v>
      </c>
      <c r="W91" s="197">
        <f>_xll.qlYieldTSDiscount(Discounting,S91,,AllTriggers)</f>
        <v>0.98895781932608606</v>
      </c>
      <c r="X91" s="20">
        <f t="shared" si="9"/>
        <v>1.7347403692368327E-2</v>
      </c>
      <c r="Y91" s="343">
        <f t="shared" si="10"/>
        <v>5.1513293398318719E-4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42410</v>
      </c>
      <c r="S92" s="141">
        <f>_xll.qlCalendarAdvance(Calendar,R92,$F$1,"mf",,Trigger)</f>
        <v>42500</v>
      </c>
      <c r="T92" s="196">
        <f>_xll.qlDayCounterYearFraction(DayCounter,R92,S92,,,Trigger)</f>
        <v>0.24657534246575341</v>
      </c>
      <c r="U92" s="20">
        <f>_xll.qlInterpolationInterpolate(B3Minterpolation,R92,TRUE)</f>
        <v>2.0977829707799277E-3</v>
      </c>
      <c r="V92" s="197">
        <f>_xll.qlYieldTSDiscount(Discounting,R92,,AllTriggers)</f>
        <v>0.99313903915812018</v>
      </c>
      <c r="W92" s="197">
        <f>_xll.qlYieldTSDiscount(Discounting,S92,,AllTriggers)</f>
        <v>0.98891232662025597</v>
      </c>
      <c r="X92" s="20">
        <f t="shared" si="9"/>
        <v>1.7333859689316791E-2</v>
      </c>
      <c r="Y92" s="343">
        <f t="shared" si="10"/>
        <v>5.1492753674409089E-4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42411</v>
      </c>
      <c r="S93" s="141">
        <f>_xll.qlCalendarAdvance(Calendar,R93,$F$1,"mf",,Trigger)</f>
        <v>42501</v>
      </c>
      <c r="T93" s="196">
        <f>_xll.qlDayCounterYearFraction(DayCounter,R93,S93,,,Trigger)</f>
        <v>0.24657534246575341</v>
      </c>
      <c r="U93" s="20">
        <f>_xll.qlInterpolationInterpolate(B3Minterpolation,R93,TRUE)</f>
        <v>2.0969390324200683E-3</v>
      </c>
      <c r="V93" s="197">
        <f>_xll.qlYieldTSDiscount(Discounting,R93,,AllTriggers)</f>
        <v>0.99309013588392225</v>
      </c>
      <c r="W93" s="197">
        <f>_xll.qlYieldTSDiscount(Discounting,S93,,AllTriggers)</f>
        <v>0.98886686071488472</v>
      </c>
      <c r="X93" s="20">
        <f t="shared" si="9"/>
        <v>1.7320559273316095E-2</v>
      </c>
      <c r="Y93" s="343">
        <f t="shared" si="10"/>
        <v>5.1472211507665655E-4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42412</v>
      </c>
      <c r="S94" s="141">
        <f>_xll.qlCalendarAdvance(Calendar,R94,$F$1,"mf",,Trigger)</f>
        <v>42502</v>
      </c>
      <c r="T94" s="196">
        <f>_xll.qlDayCounterYearFraction(DayCounter,R94,S94,,,Trigger)</f>
        <v>0.24657534246575341</v>
      </c>
      <c r="U94" s="20">
        <f>_xll.qlInterpolationInterpolate(B3Minterpolation,R94,TRUE)</f>
        <v>2.0960951261828598E-3</v>
      </c>
      <c r="V94" s="197">
        <f>_xll.qlYieldTSDiscount(Discounting,R94,,AllTriggers)</f>
        <v>0.99304131653614813</v>
      </c>
      <c r="W94" s="197">
        <f>_xll.qlYieldTSDiscount(Discounting,S94,,AllTriggers)</f>
        <v>0.98882142134325857</v>
      </c>
      <c r="X94" s="20">
        <f t="shared" si="9"/>
        <v>1.7307492560322036E-2</v>
      </c>
      <c r="Y94" s="343">
        <f t="shared" si="10"/>
        <v>5.145166703925683E-4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42415</v>
      </c>
      <c r="S95" s="141">
        <f>_xll.qlCalendarAdvance(Calendar,R95,$F$1,"mf",,Trigger)</f>
        <v>42506</v>
      </c>
      <c r="T95" s="196">
        <f>_xll.qlDayCounterYearFraction(DayCounter,R95,S95,,,Trigger)</f>
        <v>0.24931506849315069</v>
      </c>
      <c r="U95" s="20">
        <f>_xll.qlInterpolationInterpolate(B3Minterpolation,R95,TRUE)</f>
        <v>2.093563605388211E-3</v>
      </c>
      <c r="V95" s="197">
        <f>_xll.qlYieldTSDiscount(Discounting,R95,,AllTriggers)</f>
        <v>0.9928953351973151</v>
      </c>
      <c r="W95" s="197">
        <f>_xll.qlYieldTSDiscount(Discounting,S95,,AllTriggers)</f>
        <v>0.98863992386169819</v>
      </c>
      <c r="X95" s="20">
        <f t="shared" si="9"/>
        <v>1.7264534531163687E-2</v>
      </c>
      <c r="Y95" s="343">
        <f t="shared" si="10"/>
        <v>5.1958491112987241E-4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42416</v>
      </c>
      <c r="S96" s="141">
        <f>_xll.qlCalendarAdvance(Calendar,R96,$F$1,"mf",,Trigger)</f>
        <v>42506</v>
      </c>
      <c r="T96" s="196">
        <f>_xll.qlDayCounterYearFraction(DayCounter,R96,S96,,,Trigger)</f>
        <v>0.24657534246575341</v>
      </c>
      <c r="U96" s="20">
        <f>_xll.qlInterpolationInterpolate(B3Minterpolation,R96,TRUE)</f>
        <v>2.0927198328226778E-3</v>
      </c>
      <c r="V96" s="197">
        <f>_xll.qlYieldTSDiscount(Discounting,R96,,AllTriggers)</f>
        <v>0.99284682470390018</v>
      </c>
      <c r="W96" s="197">
        <f>_xll.qlYieldTSDiscount(Discounting,S96,,AllTriggers)</f>
        <v>0.98863992386169819</v>
      </c>
      <c r="X96" s="20">
        <f t="shared" si="9"/>
        <v>1.7257365063329286E-2</v>
      </c>
      <c r="Y96" s="343">
        <f t="shared" si="10"/>
        <v>5.1369468966214822E-4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42417</v>
      </c>
      <c r="S97" s="141">
        <f>_xll.qlCalendarAdvance(Calendar,R97,$F$1,"mf",,Trigger)</f>
        <v>42507</v>
      </c>
      <c r="T97" s="196">
        <f>_xll.qlDayCounterYearFraction(DayCounter,R97,S97,,,Trigger)</f>
        <v>0.24657534246575341</v>
      </c>
      <c r="U97" s="20">
        <f>_xll.qlInterpolationInterpolate(B3Minterpolation,R97,TRUE)</f>
        <v>2.0918760949703318E-3</v>
      </c>
      <c r="V97" s="197">
        <f>_xll.qlYieldTSDiscount(Discounting,R97,,AllTriggers)</f>
        <v>0.99279838471395143</v>
      </c>
      <c r="W97" s="197">
        <f>_xll.qlYieldTSDiscount(Discounting,S97,,AllTriggers)</f>
        <v>0.98859461315985808</v>
      </c>
      <c r="X97" s="20">
        <f t="shared" si="9"/>
        <v>1.7245318610422777E-2</v>
      </c>
      <c r="Y97" s="343">
        <f t="shared" si="10"/>
        <v>5.134891510066216E-4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42418</v>
      </c>
      <c r="S98" s="141">
        <f>_xll.qlCalendarAdvance(Calendar,R98,$F$1,"mf",,Trigger)</f>
        <v>42508</v>
      </c>
      <c r="T98" s="196">
        <f>_xll.qlDayCounterYearFraction(DayCounter,R98,S98,,,Trigger)</f>
        <v>0.24657534246575341</v>
      </c>
      <c r="U98" s="20">
        <f>_xll.qlInterpolationInterpolate(B3Minterpolation,R98,TRUE)</f>
        <v>2.0910323923492803E-3</v>
      </c>
      <c r="V98" s="197">
        <f>_xll.qlYieldTSDiscount(Discounting,R98,,AllTriggers)</f>
        <v>0.99275001254449657</v>
      </c>
      <c r="W98" s="197">
        <f>_xll.qlYieldTSDiscount(Discounting,S98,,AllTriggers)</f>
        <v>0.98854932739253942</v>
      </c>
      <c r="X98" s="20">
        <f t="shared" si="9"/>
        <v>1.723344655961212E-2</v>
      </c>
      <c r="Y98" s="343">
        <f t="shared" si="10"/>
        <v>5.132835977648448E-4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42419</v>
      </c>
      <c r="S99" s="141">
        <f>_xll.qlCalendarAdvance(Calendar,R99,$F$1,"mf",,Trigger)</f>
        <v>42509</v>
      </c>
      <c r="T99" s="196">
        <f>_xll.qlDayCounterYearFraction(DayCounter,R99,S99,,,Trigger)</f>
        <v>0.24657534246575341</v>
      </c>
      <c r="U99" s="20">
        <f>_xll.qlInterpolationInterpolate(B3Minterpolation,R99,TRUE)</f>
        <v>2.09018872547763E-3</v>
      </c>
      <c r="V99" s="197">
        <f>_xll.qlYieldTSDiscount(Discounting,R99,,AllTriggers)</f>
        <v>0.99270170551309833</v>
      </c>
      <c r="W99" s="197">
        <f>_xll.qlYieldTSDiscount(Discounting,S99,,AllTriggers)</f>
        <v>0.98850406629338072</v>
      </c>
      <c r="X99" s="20">
        <f t="shared" si="9"/>
        <v>1.7221739027921124E-2</v>
      </c>
      <c r="Y99" s="343">
        <f t="shared" si="10"/>
        <v>5.1307803133541618E-4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42422</v>
      </c>
      <c r="S100" s="141">
        <f>_xll.qlCalendarAdvance(Calendar,R100,$F$1,"mf",,Trigger)</f>
        <v>42513</v>
      </c>
      <c r="T100" s="196">
        <f>_xll.qlDayCounterYearFraction(DayCounter,R100,S100,,,Trigger)</f>
        <v>0.24931506849315069</v>
      </c>
      <c r="U100" s="20">
        <f>_xll.qlInterpolationInterpolate(B3Minterpolation,R100,TRUE)</f>
        <v>2.0876579445401619E-3</v>
      </c>
      <c r="V100" s="197">
        <f>_xll.qlYieldTSDiscount(Discounting,R100,,AllTriggers)</f>
        <v>0.99255714843086329</v>
      </c>
      <c r="W100" s="197">
        <f>_xll.qlYieldTSDiscount(Discounting,S100,,AllTriggers)</f>
        <v>0.98832326325286601</v>
      </c>
      <c r="X100" s="20">
        <f t="shared" si="9"/>
        <v>1.7182704843800866E-2</v>
      </c>
      <c r="Y100" s="343">
        <f t="shared" si="10"/>
        <v>5.1813013427283948E-4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42423</v>
      </c>
      <c r="S101" s="141">
        <f>_xll.qlCalendarAdvance(Calendar,R101,$F$1,"mf",,Trigger)</f>
        <v>42513</v>
      </c>
      <c r="T101" s="196">
        <f>_xll.qlDayCounterYearFraction(DayCounter,R101,S101,,,Trigger)</f>
        <v>0.24657534246575341</v>
      </c>
      <c r="U101" s="20">
        <f>_xll.qlInterpolationInterpolate(B3Minterpolation,R101,TRUE)</f>
        <v>2.0868144258471906E-3</v>
      </c>
      <c r="V101" s="197">
        <f>_xll.qlYieldTSDiscount(Discounting,R101,,AllTriggers)</f>
        <v>0.99250907513796327</v>
      </c>
      <c r="W101" s="197">
        <f>_xll.qlYieldTSDiscount(Discounting,S101,,AllTriggers)</f>
        <v>0.98832326325286601</v>
      </c>
      <c r="X101" s="20">
        <f t="shared" si="9"/>
        <v>1.717635643751261E-2</v>
      </c>
      <c r="Y101" s="343">
        <f t="shared" si="10"/>
        <v>5.1225566163196372E-4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42424</v>
      </c>
      <c r="S102" s="141">
        <f>_xll.qlCalendarAdvance(Calendar,R102,$F$1,"mf",,Trigger)</f>
        <v>42514</v>
      </c>
      <c r="T102" s="196">
        <f>_xll.qlDayCounterYearFraction(DayCounter,R102,S102,,,Trigger)</f>
        <v>0.24657534246575341</v>
      </c>
      <c r="U102" s="20">
        <f>_xll.qlInterpolationInterpolate(B3Minterpolation,R102,TRUE)</f>
        <v>2.0859709454941573E-3</v>
      </c>
      <c r="V102" s="197">
        <f>_xll.qlYieldTSDiscount(Discounting,R102,,AllTriggers)</f>
        <v>0.99246105357890224</v>
      </c>
      <c r="W102" s="197">
        <f>_xll.qlYieldTSDiscount(Discounting,S102,,AllTriggers)</f>
        <v>0.98827812150083394</v>
      </c>
      <c r="X102" s="20">
        <f t="shared" si="9"/>
        <v>1.7165323261390395E-2</v>
      </c>
      <c r="Y102" s="343">
        <f t="shared" si="10"/>
        <v>5.1205005016539333E-4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42425</v>
      </c>
      <c r="S103" s="141">
        <f>_xll.qlCalendarAdvance(Calendar,R103,$F$1,"mf",,Trigger)</f>
        <v>42515</v>
      </c>
      <c r="T103" s="196">
        <f>_xll.qlDayCounterYearFraction(DayCounter,R103,S103,,,Trigger)</f>
        <v>0.24657534246575341</v>
      </c>
      <c r="U103" s="20">
        <f>_xll.qlInterpolationInterpolate(B3Minterpolation,R103,TRUE)</f>
        <v>2.0851275039991692E-3</v>
      </c>
      <c r="V103" s="197">
        <f>_xll.qlYieldTSDiscount(Discounting,R103,,AllTriggers)</f>
        <v>0.99241308107441906</v>
      </c>
      <c r="W103" s="197">
        <f>_xll.qlYieldTSDiscount(Discounting,S103,,AllTriggers)</f>
        <v>0.9882330028198415</v>
      </c>
      <c r="X103" s="20">
        <f t="shared" si="9"/>
        <v>1.7154395309240345E-2</v>
      </c>
      <c r="Y103" s="343">
        <f t="shared" si="10"/>
        <v>5.1184443385795533E-4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42426</v>
      </c>
      <c r="S104" s="141">
        <f>_xll.qlCalendarAdvance(Calendar,R104,$F$1,"mf",,Trigger)</f>
        <v>42516</v>
      </c>
      <c r="T104" s="196">
        <f>_xll.qlDayCounterYearFraction(DayCounter,R104,S104,,,Trigger)</f>
        <v>0.24657534246575341</v>
      </c>
      <c r="U104" s="20">
        <f>_xll.qlInterpolationInterpolate(B3Minterpolation,R104,TRUE)</f>
        <v>2.0842841018803336E-3</v>
      </c>
      <c r="V104" s="197">
        <f>_xll.qlYieldTSDiscount(Discounting,R104,,AllTriggers)</f>
        <v>0.99236515494577704</v>
      </c>
      <c r="W104" s="197">
        <f>_xll.qlYieldTSDiscount(Discounting,S104,,AllTriggers)</f>
        <v>0.98818790694387604</v>
      </c>
      <c r="X104" s="20">
        <f t="shared" si="9"/>
        <v>1.7143562698956165E-2</v>
      </c>
      <c r="Y104" s="343">
        <f t="shared" si="10"/>
        <v>5.1163881409405228E-4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42429</v>
      </c>
      <c r="S105" s="141">
        <f>_xll.qlCalendarAdvance(Calendar,R105,$F$1,"mf",,Trigger)</f>
        <v>42520</v>
      </c>
      <c r="T105" s="196">
        <f>_xll.qlDayCounterYearFraction(DayCounter,R105,S105,,,Trigger)</f>
        <v>0.24931506849315069</v>
      </c>
      <c r="U105" s="20">
        <f>_xll.qlInterpolationInterpolate(B3Minterpolation,R105,TRUE)</f>
        <v>2.0817541369618146E-3</v>
      </c>
      <c r="V105" s="197">
        <f>_xll.qlYieldTSDiscount(Discounting,R105,,AllTriggers)</f>
        <v>0.99222162803536551</v>
      </c>
      <c r="W105" s="197">
        <f>_xll.qlYieldTSDiscount(Discounting,S105,,AllTriggers)</f>
        <v>0.98800774617176845</v>
      </c>
      <c r="X105" s="20">
        <f t="shared" si="9"/>
        <v>1.7106985156728531E-2</v>
      </c>
      <c r="Y105" s="343">
        <f t="shared" si="10"/>
        <v>5.1667497252626011E-4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42430</v>
      </c>
      <c r="S106" s="141">
        <f>_xll.qlCalendarAdvance(Calendar,R106,$F$1,"mf",,Trigger)</f>
        <v>42522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2.0809108975286617E-3</v>
      </c>
      <c r="V106" s="197">
        <f>_xll.qlYieldTSDiscount(Discounting,R106,,AllTriggers)</f>
        <v>0.99217386063315971</v>
      </c>
      <c r="W106" s="197">
        <f>_xll.qlYieldTSDiscount(Discounting,S106,,AllTriggers)</f>
        <v>0.98791779570319016</v>
      </c>
      <c r="X106" s="20">
        <f t="shared" si="9"/>
        <v>1.7091983834425842E-2</v>
      </c>
      <c r="Y106" s="343">
        <f t="shared" si="10"/>
        <v>5.2211731221673847E-4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42431</v>
      </c>
      <c r="S107" s="141">
        <f>_xll.qlCalendarAdvance(Calendar,R107,$F$1,"mf",,Trigger)</f>
        <v>42523</v>
      </c>
      <c r="T107" s="196">
        <f>_xll.qlDayCounterYearFraction(DayCounter,R107,S107,,,Trigger)</f>
        <v>0.25205479452054796</v>
      </c>
      <c r="U107" s="20">
        <f>_xll.qlInterpolationInterpolate(B3Minterpolation,R107,TRUE)</f>
        <v>2.0800677000621971E-3</v>
      </c>
      <c r="V107" s="197">
        <f>_xll.qlYieldTSDiscount(Discounting,R107,,AllTriggers)</f>
        <v>0.99212612622093121</v>
      </c>
      <c r="W107" s="197">
        <f>_xll.qlYieldTSDiscount(Discounting,S107,,AllTriggers)</f>
        <v>0.98787285201822117</v>
      </c>
      <c r="X107" s="20">
        <f t="shared" si="9"/>
        <v>1.7081553615290467E-2</v>
      </c>
      <c r="Y107" s="343">
        <f t="shared" si="10"/>
        <v>5.2190716822179061E-4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42432</v>
      </c>
      <c r="S108" s="141">
        <f>_xll.qlCalendarAdvance(Calendar,R108,$F$1,"mf",,Trigger)</f>
        <v>42524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2.0792245450805291E-3</v>
      </c>
      <c r="V108" s="197">
        <f>_xll.qlYieldTSDiscount(Discounting,R108,,AllTriggers)</f>
        <v>0.99207842259994472</v>
      </c>
      <c r="W108" s="197">
        <f>_xll.qlYieldTSDiscount(Discounting,S108,,AllTriggers)</f>
        <v>0.98782792901195926</v>
      </c>
      <c r="X108" s="20">
        <f t="shared" si="9"/>
        <v>1.7071162704446981E-2</v>
      </c>
      <c r="Y108" s="343">
        <f t="shared" si="10"/>
        <v>5.2169702859396086E-4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42433</v>
      </c>
      <c r="S109" s="141">
        <f>_xll.qlCalendarAdvance(Calendar,R109,$F$1,"mf",,Trigger)</f>
        <v>42527</v>
      </c>
      <c r="T109" s="196">
        <f>_xll.qlDayCounterYearFraction(DayCounter,R109,S109,,,Trigger)</f>
        <v>0.25753424657534246</v>
      </c>
      <c r="U109" s="20">
        <f>_xll.qlInterpolationInterpolate(B3Minterpolation,R109,TRUE)</f>
        <v>2.0783814331017643E-3</v>
      </c>
      <c r="V109" s="197">
        <f>_xll.qlYieldTSDiscount(Discounting,R109,,AllTriggers)</f>
        <v>0.9920307494793229</v>
      </c>
      <c r="W109" s="197">
        <f>_xll.qlYieldTSDiscount(Discounting,S109,,AllTriggers)</f>
        <v>0.9876932814099787</v>
      </c>
      <c r="X109" s="20">
        <f t="shared" si="9"/>
        <v>1.7052152266001014E-2</v>
      </c>
      <c r="Y109" s="343">
        <f t="shared" si="10"/>
        <v>5.327721488961345E-4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42436</v>
      </c>
      <c r="S110" s="141">
        <f>_xll.qlCalendarAdvance(Calendar,R110,$F$1,"mf",,Trigger)</f>
        <v>42528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2.0758523603639626E-3</v>
      </c>
      <c r="V110" s="197">
        <f>_xll.qlYieldTSDiscount(Discounting,R110,,AllTriggers)</f>
        <v>0.9918879149796338</v>
      </c>
      <c r="W110" s="197">
        <f>_xll.qlYieldTSDiscount(Discounting,S110,,AllTriggers)</f>
        <v>0.98764843846335282</v>
      </c>
      <c r="X110" s="20">
        <f t="shared" si="9"/>
        <v>1.7030009475688834E-2</v>
      </c>
      <c r="Y110" s="343">
        <f t="shared" si="10"/>
        <v>5.2085651421504716E-4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42437</v>
      </c>
      <c r="S111" s="141">
        <f>_xll.qlCalendarAdvance(Calendar,R111,$F$1,"mf",,Trigger)</f>
        <v>42529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2.0750094255778842E-3</v>
      </c>
      <c r="V111" s="197">
        <f>_xll.qlYieldTSDiscount(Discounting,R111,,AllTriggers)</f>
        <v>0.99184036572029077</v>
      </c>
      <c r="W111" s="197">
        <f>_xll.qlYieldTSDiscount(Discounting,S111,,AllTriggers)</f>
        <v>0.98760361486808279</v>
      </c>
      <c r="X111" s="20">
        <f t="shared" si="9"/>
        <v>1.7019832893162917E-2</v>
      </c>
      <c r="Y111" s="343">
        <f t="shared" si="10"/>
        <v>5.2064639614432886E-4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42438</v>
      </c>
      <c r="S112" s="141">
        <f>_xll.qlCalendarAdvance(Calendar,R112,$F$1,"mf",,Trigger)</f>
        <v>42530</v>
      </c>
      <c r="T112" s="196">
        <f>_xll.qlDayCounterYearFraction(DayCounter,R112,S112,,,Trigger)</f>
        <v>0.25205479452054796</v>
      </c>
      <c r="U112" s="20">
        <f>_xll.qlInterpolationInterpolate(B3Minterpolation,R112,TRUE)</f>
        <v>2.0741665363852449E-3</v>
      </c>
      <c r="V112" s="197">
        <f>_xll.qlYieldTSDiscount(Discounting,R112,,AllTriggers)</f>
        <v>0.99179284789105449</v>
      </c>
      <c r="W112" s="197">
        <f>_xll.qlYieldTSDiscount(Discounting,S112,,AllTriggers)</f>
        <v>0.98755881035884518</v>
      </c>
      <c r="X112" s="20">
        <f t="shared" si="9"/>
        <v>1.7009704648845617E-2</v>
      </c>
      <c r="Y112" s="343">
        <f t="shared" si="10"/>
        <v>5.2043628208077615E-4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42439</v>
      </c>
      <c r="S113" s="141">
        <f>_xll.qlCalendarAdvance(Calendar,R113,$F$1,"mf",,Trigger)</f>
        <v>42531</v>
      </c>
      <c r="T113" s="196">
        <f>_xll.qlDayCounterYearFraction(DayCounter,R113,S113,,,Trigger)</f>
        <v>0.25205479452054796</v>
      </c>
      <c r="U113" s="20">
        <f>_xll.qlInterpolationInterpolate(B3Minterpolation,R113,TRUE)</f>
        <v>2.073323693304153E-3</v>
      </c>
      <c r="V113" s="197">
        <f>_xll.qlYieldTSDiscount(Discounting,R113,,AllTriggers)</f>
        <v>0.99174536167777261</v>
      </c>
      <c r="W113" s="197">
        <f>_xll.qlYieldTSDiscount(Discounting,S113,,AllTriggers)</f>
        <v>0.98751402467036531</v>
      </c>
      <c r="X113" s="20">
        <f t="shared" si="9"/>
        <v>1.6999626566879929E-2</v>
      </c>
      <c r="Y113" s="343">
        <f t="shared" si="10"/>
        <v>5.2022617192430155E-4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42440</v>
      </c>
      <c r="S114" s="141">
        <f>_xll.qlCalendarAdvance(Calendar,R114,$F$1,"mf",,Trigger)</f>
        <v>42535</v>
      </c>
      <c r="T114" s="196">
        <f>_xll.qlDayCounterYearFraction(DayCounter,R114,S114,,,Trigger)</f>
        <v>0.26027397260273971</v>
      </c>
      <c r="U114" s="20">
        <f>_xll.qlInterpolationInterpolate(B3Minterpolation,R114,TRUE)</f>
        <v>2.0724808968527152E-3</v>
      </c>
      <c r="V114" s="197">
        <f>_xll.qlYieldTSDiscount(Discounting,R114,,AllTriggers)</f>
        <v>0.9916979072662595</v>
      </c>
      <c r="W114" s="197">
        <f>_xll.qlYieldTSDiscount(Discounting,S114,,AllTriggers)</f>
        <v>0.98733506482023681</v>
      </c>
      <c r="X114" s="20">
        <f t="shared" si="9"/>
        <v>1.6977519103147296E-2</v>
      </c>
      <c r="Y114" s="343">
        <f t="shared" si="10"/>
        <v>5.3689560721927791E-4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42443</v>
      </c>
      <c r="S115" s="141">
        <f>_xll.qlCalendarAdvance(Calendar,R115,$F$1,"mf",,Trigger)</f>
        <v>42535</v>
      </c>
      <c r="T115" s="196">
        <f>_xll.qlDayCounterYearFraction(DayCounter,R115,S115,,,Trigger)</f>
        <v>0.25205479452054796</v>
      </c>
      <c r="U115" s="20">
        <f>_xll.qlInterpolationInterpolate(B3Minterpolation,R115,TRUE)</f>
        <v>2.0699604445281339E-3</v>
      </c>
      <c r="V115" s="197">
        <f>_xll.qlYieldTSDiscount(Discounting,R115,,AllTriggers)</f>
        <v>0.99155573669997621</v>
      </c>
      <c r="W115" s="197">
        <f>_xll.qlYieldTSDiscount(Discounting,S115,,AllTriggers)</f>
        <v>0.98733506482023681</v>
      </c>
      <c r="X115" s="20">
        <f t="shared" si="9"/>
        <v>1.6959852344788987E-2</v>
      </c>
      <c r="Y115" s="343">
        <f t="shared" si="10"/>
        <v>5.1938768790525474E-4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42444</v>
      </c>
      <c r="S116" s="141">
        <f>_xll.qlCalendarAdvance(Calendar,R116,$F$1,"mf",,Trigger)</f>
        <v>42536</v>
      </c>
      <c r="T116" s="196">
        <f>_xll.qlDayCounterYearFraction(DayCounter,R116,S116,,,Trigger)</f>
        <v>0.25205479452054796</v>
      </c>
      <c r="U116" s="20">
        <f>_xll.qlInterpolationInterpolate(B3Minterpolation,R116,TRUE)</f>
        <v>2.0691242402294768E-3</v>
      </c>
      <c r="V116" s="197">
        <f>_xll.qlYieldTSDiscount(Discounting,R116,,AllTriggers)</f>
        <v>0.99150841135301526</v>
      </c>
      <c r="W116" s="197">
        <f>_xll.qlYieldTSDiscount(Discounting,S116,,AllTriggers)</f>
        <v>0.98729036925813141</v>
      </c>
      <c r="X116" s="20">
        <f t="shared" si="9"/>
        <v>1.6950052436133487E-2</v>
      </c>
      <c r="Y116" s="343">
        <f t="shared" si="10"/>
        <v>5.1917920136268492E-4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42445</v>
      </c>
      <c r="S117" s="141">
        <f>_xll.qlCalendarAdvance(Calendar,R117,$F$1,"mf",,Trigger)</f>
        <v>42537</v>
      </c>
      <c r="T117" s="196">
        <f>_xll.qlDayCounterYearFraction(DayCounter,R117,S117,,,Trigger)</f>
        <v>0.25205479452054796</v>
      </c>
      <c r="U117" s="20">
        <f>_xll.qlInterpolationInterpolate(B3Minterpolation,R117,TRUE)</f>
        <v>2.0682902905590087E-3</v>
      </c>
      <c r="V117" s="197">
        <f>_xll.qlYieldTSDiscount(Discounting,R117,,AllTriggers)</f>
        <v>0.99146111873639553</v>
      </c>
      <c r="W117" s="197">
        <f>_xll.qlYieldTSDiscount(Discounting,S117,,AllTriggers)</f>
        <v>0.98724569092615821</v>
      </c>
      <c r="X117" s="20">
        <f t="shared" si="9"/>
        <v>1.694031363434138E-2</v>
      </c>
      <c r="Y117" s="343">
        <f t="shared" si="10"/>
        <v>5.1897127137403036E-4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42446</v>
      </c>
      <c r="S118" s="141">
        <f>_xll.qlCalendarAdvance(Calendar,R118,$F$1,"mf",,Trigger)</f>
        <v>42538</v>
      </c>
      <c r="T118" s="196">
        <f>_xll.qlDayCounterYearFraction(DayCounter,R118,S118,,,Trigger)</f>
        <v>0.25205479452054796</v>
      </c>
      <c r="U118" s="20">
        <f>_xll.qlInterpolationInterpolate(B3Minterpolation,R118,TRUE)</f>
        <v>2.0674587643507818E-3</v>
      </c>
      <c r="V118" s="197">
        <f>_xll.qlYieldTSDiscount(Discounting,R118,,AllTriggers)</f>
        <v>0.99141385903573231</v>
      </c>
      <c r="W118" s="197">
        <f>_xll.qlYieldTSDiscount(Discounting,S118,,AllTriggers)</f>
        <v>0.98720102955938294</v>
      </c>
      <c r="X118" s="20">
        <f t="shared" si="9"/>
        <v>1.6930637763443793E-2</v>
      </c>
      <c r="Y118" s="343">
        <f t="shared" si="10"/>
        <v>5.1876394006806126E-4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42447</v>
      </c>
      <c r="S119" s="141">
        <f>_xll.qlCalendarAdvance(Calendar,R119,$F$1,"mf",,Trigger)</f>
        <v>42541</v>
      </c>
      <c r="T119" s="196">
        <f>_xll.qlDayCounterYearFraction(DayCounter,R119,S119,,,Trigger)</f>
        <v>0.25753424657534246</v>
      </c>
      <c r="U119" s="20">
        <f>_xll.qlInterpolationInterpolate(B3Minterpolation,R119,TRUE)</f>
        <v>2.0666298304388487E-3</v>
      </c>
      <c r="V119" s="197">
        <f>_xll.qlYieldTSDiscount(Discounting,R119,,AllTriggers)</f>
        <v>0.99136663243660761</v>
      </c>
      <c r="W119" s="197">
        <f>_xll.qlYieldTSDiscount(Discounting,S119,,AllTriggers)</f>
        <v>0.98706714460162814</v>
      </c>
      <c r="X119" s="20">
        <f t="shared" si="9"/>
        <v>1.691356041589084E-2</v>
      </c>
      <c r="Y119" s="343">
        <f t="shared" si="10"/>
        <v>5.2977936299138171E-4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42450</v>
      </c>
      <c r="S120" s="141">
        <f>_xll.qlCalendarAdvance(Calendar,R120,$F$1,"mf",,Trigger)</f>
        <v>42542</v>
      </c>
      <c r="T120" s="196">
        <f>_xll.qlDayCounterYearFraction(DayCounter,R120,S120,,,Trigger)</f>
        <v>0.25205479452054796</v>
      </c>
      <c r="U120" s="20">
        <f>_xll.qlInterpolationInterpolate(B3Minterpolation,R120,TRUE)</f>
        <v>2.0641602708213352E-3</v>
      </c>
      <c r="V120" s="197">
        <f>_xll.qlYieldTSDiscount(Discounting,R120,,AllTriggers)</f>
        <v>0.991225153103792</v>
      </c>
      <c r="W120" s="197">
        <f>_xll.qlYieldTSDiscount(Discounting,S120,,AllTriggers)</f>
        <v>0.98702254844726955</v>
      </c>
      <c r="X120" s="20">
        <f t="shared" si="9"/>
        <v>1.6892600068892441E-2</v>
      </c>
      <c r="Y120" s="343">
        <f t="shared" si="10"/>
        <v>5.179414442837959E-4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42451</v>
      </c>
      <c r="S121" s="141">
        <f>_xll.qlCalendarAdvance(Calendar,R121,$F$1,"mf",,Trigger)</f>
        <v>42543</v>
      </c>
      <c r="T121" s="196">
        <f>_xll.qlDayCounterYearFraction(DayCounter,R121,S121,,,Trigger)</f>
        <v>0.25205479452054796</v>
      </c>
      <c r="U121" s="20">
        <f>_xll.qlInterpolationInterpolate(B3Minterpolation,R121,TRUE)</f>
        <v>2.0633433944351001E-3</v>
      </c>
      <c r="V121" s="197">
        <f>_xll.qlYieldTSDiscount(Discounting,R121,,AllTriggers)</f>
        <v>0.99117806076598491</v>
      </c>
      <c r="W121" s="197">
        <f>_xll.qlYieldTSDiscount(Discounting,S121,,AllTriggers)</f>
        <v>0.98697796793416293</v>
      </c>
      <c r="X121" s="20">
        <f t="shared" si="9"/>
        <v>1.6883266212418004E-2</v>
      </c>
      <c r="Y121" s="343">
        <f t="shared" si="10"/>
        <v>5.1773773835682782E-4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42452</v>
      </c>
      <c r="S122" s="141">
        <f>_xll.qlCalendarAdvance(Calendar,R122,$F$1,"mf",,Trigger)</f>
        <v>42544</v>
      </c>
      <c r="T122" s="196">
        <f>_xll.qlDayCounterYearFraction(DayCounter,R122,S122,,,Trigger)</f>
        <v>0.25205479452054796</v>
      </c>
      <c r="U122" s="20">
        <f>_xll.qlInterpolationInterpolate(B3Minterpolation,R122,TRUE)</f>
        <v>2.0625299545154207E-3</v>
      </c>
      <c r="V122" s="197">
        <f>_xll.qlYieldTSDiscount(Discounting,R122,,AllTriggers)</f>
        <v>0.99113100245713426</v>
      </c>
      <c r="W122" s="197">
        <f>_xll.qlYieldTSDiscount(Discounting,S122,,AllTriggers)</f>
        <v>0.98693340279766373</v>
      </c>
      <c r="X122" s="20">
        <f t="shared" si="9"/>
        <v>1.6874006230723517E-2</v>
      </c>
      <c r="Y122" s="343">
        <f t="shared" si="10"/>
        <v>5.1753488390340039E-4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42453</v>
      </c>
      <c r="S123" s="141">
        <f>_xll.qlCalendarAdvance(Calendar,R123,$F$1,"mf",,Trigger)</f>
        <v>42545</v>
      </c>
      <c r="T123" s="196">
        <f>_xll.qlDayCounterYearFraction(DayCounter,R123,S123,,,Trigger)</f>
        <v>0.25205479452054796</v>
      </c>
      <c r="U123" s="20">
        <f>_xll.qlInterpolationInterpolate(B3Minterpolation,R123,TRUE)</f>
        <v>2.0617201198963493E-3</v>
      </c>
      <c r="V123" s="197">
        <f>_xll.qlYieldTSDiscount(Discounting,R123,,AllTriggers)</f>
        <v>0.99108397836262552</v>
      </c>
      <c r="W123" s="197">
        <f>_xll.qlYieldTSDiscount(Discounting,S123,,AllTriggers)</f>
        <v>0.98688885277317584</v>
      </c>
      <c r="X123" s="20">
        <f t="shared" si="9"/>
        <v>1.6864821947740555E-2</v>
      </c>
      <c r="Y123" s="343">
        <f t="shared" si="10"/>
        <v>5.1733292305850703E-4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42458</v>
      </c>
      <c r="S124" s="141">
        <f>_xll.qlCalendarAdvance(Calendar,R124,$F$1,"mf",,Trigger)</f>
        <v>42550</v>
      </c>
      <c r="T124" s="196">
        <f>_xll.qlDayCounterYearFraction(DayCounter,R124,S124,,,Trigger)</f>
        <v>0.25205479452054796</v>
      </c>
      <c r="U124" s="20">
        <f>_xll.qlInterpolationInterpolate(B3Minterpolation,R124,TRUE)</f>
        <v>2.05773093550194E-3</v>
      </c>
      <c r="V124" s="197">
        <f>_xll.qlYieldTSDiscount(Discounting,R124,,AllTriggers)</f>
        <v>0.99084937759142977</v>
      </c>
      <c r="W124" s="197">
        <f>_xll.qlYieldTSDiscount(Discounting,S124,,AllTriggers)</f>
        <v>0.98666632007340394</v>
      </c>
      <c r="X124" s="20">
        <f t="shared" si="9"/>
        <v>1.6820099850339939E-2</v>
      </c>
      <c r="Y124" s="343">
        <f t="shared" si="10"/>
        <v>5.1633799770655416E-4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42459</v>
      </c>
      <c r="S125" s="141">
        <f>_xll.qlCalendarAdvance(Calendar,R125,$F$1,"mf",,Trigger)</f>
        <v>42551</v>
      </c>
      <c r="T125" s="196">
        <f>_xll.qlDayCounterYearFraction(DayCounter,R125,S125,,,Trigger)</f>
        <v>0.25205479452054796</v>
      </c>
      <c r="U125" s="20">
        <f>_xll.qlInterpolationInterpolate(B3Minterpolation,R125,TRUE)</f>
        <v>2.0569462782016146E-3</v>
      </c>
      <c r="V125" s="197">
        <f>_xll.qlYieldTSDiscount(Discounting,R125,,AllTriggers)</f>
        <v>0.99080256267425071</v>
      </c>
      <c r="W125" s="197">
        <f>_xll.qlYieldTSDiscount(Discounting,S125,,AllTriggers)</f>
        <v>0.98662185516715517</v>
      </c>
      <c r="X125" s="20">
        <f t="shared" si="9"/>
        <v>1.681140806156459E-2</v>
      </c>
      <c r="Y125" s="343">
        <f t="shared" si="10"/>
        <v>5.161422833698941E-4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42460</v>
      </c>
      <c r="S126" s="141">
        <f>_xll.qlCalendarAdvance(Calendar,R126,$F$1,"mf",,Trigger)</f>
        <v>42551</v>
      </c>
      <c r="T126" s="196">
        <f>_xll.qlDayCounterYearFraction(DayCounter,R126,S126,,,Trigger)</f>
        <v>0.24931506849315069</v>
      </c>
      <c r="U126" s="20">
        <f>_xll.qlInterpolationInterpolate(B3Minterpolation,R126,TRUE)</f>
        <v>2.0561664080402634E-3</v>
      </c>
      <c r="V126" s="197">
        <f>_xll.qlYieldTSDiscount(Discounting,R126,,AllTriggers)</f>
        <v>0.99075578326820457</v>
      </c>
      <c r="W126" s="197">
        <f>_xll.qlYieldTSDiscount(Discounting,S126,,AllTriggers)</f>
        <v>0.98662185516715517</v>
      </c>
      <c r="X126" s="20">
        <f t="shared" si="9"/>
        <v>1.6805972925380264E-2</v>
      </c>
      <c r="Y126" s="343">
        <f t="shared" si="10"/>
        <v>5.1036404885898708E-4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42461</v>
      </c>
      <c r="S127" s="141">
        <f>_xll.qlCalendarAdvance(Calendar,R127,$F$1,"mf",,Trigger)</f>
        <v>42552</v>
      </c>
      <c r="T127" s="196">
        <f>_xll.qlDayCounterYearFraction(DayCounter,R127,S127,,,Trigger)</f>
        <v>0.24931506849315069</v>
      </c>
      <c r="U127" s="20">
        <f>_xll.qlInterpolationInterpolate(B3Minterpolation,R127,TRUE)</f>
        <v>2.0553914938519387E-3</v>
      </c>
      <c r="V127" s="197">
        <f>_xll.qlYieldTSDiscount(Discounting,R127,,AllTriggers)</f>
        <v>0.99070903955841838</v>
      </c>
      <c r="W127" s="197">
        <f>_xll.qlYieldTSDiscount(Discounting,S127,,AllTriggers)</f>
        <v>0.98657740352208934</v>
      </c>
      <c r="X127" s="20">
        <f t="shared" si="9"/>
        <v>1.6797411617132326E-2</v>
      </c>
      <c r="Y127" s="343">
        <f t="shared" si="10"/>
        <v>5.1017283946397601E-4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42464</v>
      </c>
      <c r="S128" s="141">
        <f>_xll.qlCalendarAdvance(Calendar,R128,$F$1,"mf",,Trigger)</f>
        <v>42555</v>
      </c>
      <c r="T128" s="196">
        <f>_xll.qlDayCounterYearFraction(DayCounter,R128,S128,,,Trigger)</f>
        <v>0.24931506849315069</v>
      </c>
      <c r="U128" s="20">
        <f>_xll.qlInterpolationInterpolate(B3Minterpolation,R128,TRUE)</f>
        <v>2.0530981754656478E-3</v>
      </c>
      <c r="V128" s="197">
        <f>_xll.qlYieldTSDiscount(Discounting,R128,,AllTriggers)</f>
        <v>0.99056902445741002</v>
      </c>
      <c r="W128" s="197">
        <f>_xll.qlYieldTSDiscount(Discounting,S128,,AllTriggers)</f>
        <v>0.98644412551210614</v>
      </c>
      <c r="X128" s="20">
        <f t="shared" si="9"/>
        <v>1.6772287363427219E-2</v>
      </c>
      <c r="Y128" s="343">
        <f t="shared" si="10"/>
        <v>5.096069333118678E-4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42465</v>
      </c>
      <c r="S129" s="141">
        <f>_xll.qlCalendarAdvance(Calendar,R129,$F$1,"mf",,Trigger)</f>
        <v>42556</v>
      </c>
      <c r="T129" s="196">
        <f>_xll.qlDayCounterYearFraction(DayCounter,R129,S129,,,Trigger)</f>
        <v>0.24931506849315069</v>
      </c>
      <c r="U129" s="20">
        <f>_xll.qlInterpolationInterpolate(B3Minterpolation,R129,TRUE)</f>
        <v>2.0523447735099534E-3</v>
      </c>
      <c r="V129" s="197">
        <f>_xll.qlYieldTSDiscount(Discounting,R129,,AllTriggers)</f>
        <v>0.99052242530769874</v>
      </c>
      <c r="W129" s="197">
        <f>_xll.qlYieldTSDiscount(Discounting,S129,,AllTriggers)</f>
        <v>0.98639972428064593</v>
      </c>
      <c r="X129" s="20">
        <f t="shared" si="9"/>
        <v>1.6764104964811267E-2</v>
      </c>
      <c r="Y129" s="343">
        <f t="shared" si="10"/>
        <v>5.0942101093324631E-4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42466</v>
      </c>
      <c r="S130" s="141">
        <f>_xll.qlCalendarAdvance(Calendar,R130,$F$1,"mf",,Trigger)</f>
        <v>42557</v>
      </c>
      <c r="T130" s="196">
        <f>_xll.qlDayCounterYearFraction(DayCounter,R130,S130,,,Trigger)</f>
        <v>0.24931506849315069</v>
      </c>
      <c r="U130" s="20">
        <f>_xll.qlInterpolationInterpolate(B3Minterpolation,R130,TRUE)</f>
        <v>2.0515971716975469E-3</v>
      </c>
      <c r="V130" s="197">
        <f>_xll.qlYieldTSDiscount(Discounting,R130,,AllTriggers)</f>
        <v>0.99047586232585749</v>
      </c>
      <c r="W130" s="197">
        <f>_xll.qlYieldTSDiscount(Discounting,S130,,AllTriggers)</f>
        <v>0.98635533505289186</v>
      </c>
      <c r="X130" s="20">
        <f t="shared" si="9"/>
        <v>1.6756019888572296E-2</v>
      </c>
      <c r="Y130" s="343">
        <f t="shared" si="10"/>
        <v>5.0923651477743589E-4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42467</v>
      </c>
      <c r="S131" s="141">
        <f>_xll.qlCalendarAdvance(Calendar,R131,$F$1,"mf",,Trigger)</f>
        <v>42558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2.0508555388624814E-3</v>
      </c>
      <c r="V131" s="197">
        <f>_xll.qlYieldTSDiscount(Discounting,R131,,AllTriggers)</f>
        <v>0.99042933524335397</v>
      </c>
      <c r="W131" s="197">
        <f>_xll.qlYieldTSDiscount(Discounting,S131,,AllTriggers)</f>
        <v>0.9863109576279665</v>
      </c>
      <c r="X131" s="20">
        <f t="shared" si="9"/>
        <v>1.6748031876426501E-2</v>
      </c>
      <c r="Y131" s="343">
        <f t="shared" si="10"/>
        <v>5.0905348679606871E-4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42468</v>
      </c>
      <c r="S132" s="141">
        <f>_xll.qlCalendarAdvance(Calendar,R132,$F$1,"mf",,Trigger)</f>
        <v>42559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2.0501200438388092E-3</v>
      </c>
      <c r="V132" s="197">
        <f>_xll.qlYieldTSDiscount(Discounting,R132,,AllTriggers)</f>
        <v>0.9903828437917096</v>
      </c>
      <c r="W132" s="197">
        <f>_xll.qlYieldTSDiscount(Discounting,S132,,AllTriggers)</f>
        <v>0.98626659180502885</v>
      </c>
      <c r="X132" s="20">
        <f t="shared" ref="X132:X195" si="11">(V132/W132-1)/T132</f>
        <v>1.6740140670101645E-2</v>
      </c>
      <c r="Y132" s="343">
        <f t="shared" ref="Y132:Y195" si="12">LN((1+(U132+X132)*T132)/(1+X132*T132))</f>
        <v>5.0887196894124521E-4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42471</v>
      </c>
      <c r="S133" s="141">
        <f>_xll.qlCalendarAdvance(Calendar,R133,$F$1,"mf",,Trigger)</f>
        <v>42562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2.0479520739766738E-3</v>
      </c>
      <c r="V133" s="197">
        <f>_xll.qlYieldTSDiscount(Discounting,R133,,AllTriggers)</f>
        <v>0.99024358053794437</v>
      </c>
      <c r="W133" s="197">
        <f>_xll.qlYieldTSDiscount(Discounting,S133,,AllTriggers)</f>
        <v>0.98613356194027635</v>
      </c>
      <c r="X133" s="20">
        <f t="shared" si="11"/>
        <v>1.6717045303448867E-2</v>
      </c>
      <c r="Y133" s="343">
        <f t="shared" si="12"/>
        <v>5.0833689565761564E-4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42472</v>
      </c>
      <c r="S134" s="141">
        <f>_xll.qlCalendarAdvance(Calendar,R134,$F$1,"mf",,Trigger)</f>
        <v>42563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2.0472428185390971E-3</v>
      </c>
      <c r="V134" s="197">
        <f>_xll.qlYieldTSDiscount(Discounting,R134,,AllTriggers)</f>
        <v>0.99019722892601547</v>
      </c>
      <c r="W134" s="197">
        <f>_xll.qlYieldTSDiscount(Discounting,S134,,AllTriggers)</f>
        <v>0.98608924051760494</v>
      </c>
      <c r="X134" s="20">
        <f t="shared" si="11"/>
        <v>1.6709538737848448E-2</v>
      </c>
      <c r="Y134" s="343">
        <f t="shared" si="12"/>
        <v>5.0816183783065861E-4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42473</v>
      </c>
      <c r="S135" s="141">
        <f>_xll.qlCalendarAdvance(Calendar,R135,$F$1,"mf",,Trigger)</f>
        <v>42564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2.0465405450831755E-3</v>
      </c>
      <c r="V135" s="197">
        <f>_xll.qlYieldTSDiscount(Discounting,R135,,AllTriggers)</f>
        <v>0.99015091160335078</v>
      </c>
      <c r="W135" s="197">
        <f>_xll.qlYieldTSDiscount(Discounting,S135,,AllTriggers)</f>
        <v>0.98604492969326019</v>
      </c>
      <c r="X135" s="20">
        <f t="shared" si="11"/>
        <v>1.6702127686835173E-2</v>
      </c>
      <c r="Y135" s="343">
        <f t="shared" si="12"/>
        <v>5.0798849989153454E-4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42474</v>
      </c>
      <c r="S136" s="141">
        <f>_xll.qlCalendarAdvance(Calendar,R136,$F$1,"mf",,Trigger)</f>
        <v>42565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2.0458454224429609E-3</v>
      </c>
      <c r="V136" s="197">
        <f>_xll.qlYieldTSDiscount(Discounting,R136,,AllTriggers)</f>
        <v>0.99010462830179025</v>
      </c>
      <c r="W136" s="197">
        <f>_xll.qlYieldTSDiscount(Discounting,S136,,AllTriggers)</f>
        <v>0.98600062926661824</v>
      </c>
      <c r="X136" s="20">
        <f t="shared" si="11"/>
        <v>1.6694811892187574E-2</v>
      </c>
      <c r="Y136" s="343">
        <f t="shared" si="12"/>
        <v>5.0781692379225441E-4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42475</v>
      </c>
      <c r="S137" s="141">
        <f>_xll.qlCalendarAdvance(Calendar,R137,$F$1,"mf",,Trigger)</f>
        <v>42566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2.0451576194525064E-3</v>
      </c>
      <c r="V137" s="197">
        <f>_xll.qlYieldTSDiscount(Discounting,R137,,AllTriggers)</f>
        <v>0.99005837875322678</v>
      </c>
      <c r="W137" s="197">
        <f>_xll.qlYieldTSDiscount(Discounting,S137,,AllTriggers)</f>
        <v>0.9859563390370919</v>
      </c>
      <c r="X137" s="20">
        <f t="shared" si="11"/>
        <v>1.668759109569309E-2</v>
      </c>
      <c r="Y137" s="343">
        <f t="shared" si="12"/>
        <v>5.0764715148551463E-4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42478</v>
      </c>
      <c r="S138" s="141">
        <f>_xll.qlCalendarAdvance(Calendar,R138,$F$1,"mf",,Trigger)</f>
        <v>42569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2.0431398167202225E-3</v>
      </c>
      <c r="V138" s="197">
        <f>_xll.qlYieldTSDiscount(Discounting,R138,,AllTriggers)</f>
        <v>0.9899198299452372</v>
      </c>
      <c r="W138" s="197">
        <f>_xll.qlYieldTSDiscount(Discounting,S138,,AllTriggers)</f>
        <v>0.9858235275258731</v>
      </c>
      <c r="X138" s="20">
        <f t="shared" si="11"/>
        <v>1.6666496113145246E-2</v>
      </c>
      <c r="Y138" s="343">
        <f t="shared" si="12"/>
        <v>5.0714907684467345E-4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42479</v>
      </c>
      <c r="S139" s="141">
        <f>_xll.qlCalendarAdvance(Calendar,R139,$F$1,"mf",,Trigger)</f>
        <v>42570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2.0424829806693291E-3</v>
      </c>
      <c r="V139" s="197">
        <f>_xll.qlYieldTSDiscount(Discounting,R139,,AllTriggers)</f>
        <v>0.98987371272864311</v>
      </c>
      <c r="W139" s="197">
        <f>_xll.qlYieldTSDiscount(Discounting,S139,,AllTriggers)</f>
        <v>0.98577927607965654</v>
      </c>
      <c r="X139" s="20">
        <f t="shared" si="11"/>
        <v>1.6659652727320208E-2</v>
      </c>
      <c r="Y139" s="343">
        <f t="shared" si="12"/>
        <v>5.0698693923254044E-4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42480</v>
      </c>
      <c r="S140" s="141">
        <f>_xll.qlCalendarAdvance(Calendar,R140,$F$1,"mf",,Trigger)</f>
        <v>42571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2.0418343084384577E-3</v>
      </c>
      <c r="V140" s="197">
        <f>_xll.qlYieldTSDiscount(Discounting,R140,,AllTriggers)</f>
        <v>0.98982762792529899</v>
      </c>
      <c r="W140" s="197">
        <f>_xll.qlYieldTSDiscount(Discounting,S140,,AllTriggers)</f>
        <v>0.98573503382815986</v>
      </c>
      <c r="X140" s="20">
        <f t="shared" si="11"/>
        <v>1.6652903048716406E-2</v>
      </c>
      <c r="Y140" s="343">
        <f t="shared" si="12"/>
        <v>5.0682681517492196E-4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42481</v>
      </c>
      <c r="S141" s="141">
        <f>_xll.qlCalendarAdvance(Calendar,R141,$F$1,"mf",,Trigger)</f>
        <v>42572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2.0411939688616595E-3</v>
      </c>
      <c r="V141" s="197">
        <f>_xll.qlYieldTSDiscount(Discounting,R141,,AllTriggers)</f>
        <v>0.98978157526741262</v>
      </c>
      <c r="W141" s="197">
        <f>_xll.qlYieldTSDiscount(Discounting,S141,,AllTriggers)</f>
        <v>0.98569080057101199</v>
      </c>
      <c r="X141" s="20">
        <f t="shared" si="11"/>
        <v>1.6646246819174721E-2</v>
      </c>
      <c r="Y141" s="343">
        <f t="shared" si="12"/>
        <v>5.0666874662417226E-4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42482</v>
      </c>
      <c r="S142" s="141">
        <f>_xll.qlCalendarAdvance(Calendar,R142,$F$1,"mf",,Trigger)</f>
        <v>42573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2.0405621307729872E-3</v>
      </c>
      <c r="V142" s="197">
        <f>_xll.qlYieldTSDiscount(Discounting,R142,,AllTriggers)</f>
        <v>0.98973555448724382</v>
      </c>
      <c r="W142" s="197">
        <f>_xll.qlYieldTSDiscount(Discounting,S142,,AllTriggers)</f>
        <v>0.9856465761078782</v>
      </c>
      <c r="X142" s="20">
        <f t="shared" si="11"/>
        <v>1.6639683780540482E-2</v>
      </c>
      <c r="Y142" s="343">
        <f t="shared" si="12"/>
        <v>5.0651277553332493E-4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42486</v>
      </c>
      <c r="S143" s="141">
        <f>_xll.qlCalendarAdvance(Calendar,R143,$F$1,"mf",,Trigger)</f>
        <v>42577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2.0381231699806066E-3</v>
      </c>
      <c r="V143" s="197">
        <f>_xll.qlYieldTSDiscount(Discounting,R143,,AllTriggers)</f>
        <v>0.98955178479076422</v>
      </c>
      <c r="W143" s="197">
        <f>_xll.qlYieldTSDiscount(Discounting,S143,,AllTriggers)</f>
        <v>0.98546976219004367</v>
      </c>
      <c r="X143" s="20">
        <f t="shared" si="11"/>
        <v>1.6614358372308759E-2</v>
      </c>
      <c r="Y143" s="343">
        <f t="shared" si="12"/>
        <v>5.0591070480943872E-4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42487</v>
      </c>
      <c r="S144" s="141">
        <f>_xll.qlCalendarAdvance(Calendar,R144,$F$1,"mf",,Trigger)</f>
        <v>42578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2.0375363718433499E-3</v>
      </c>
      <c r="V144" s="197">
        <f>_xll.qlYieldTSDiscount(Discounting,R144,,AllTriggers)</f>
        <v>0.98950591938490218</v>
      </c>
      <c r="W144" s="197">
        <f>_xll.qlYieldTSDiscount(Discounting,S144,,AllTriggers)</f>
        <v>0.98542557869321523</v>
      </c>
      <c r="X144" s="20">
        <f t="shared" si="11"/>
        <v>1.6608257416202525E-2</v>
      </c>
      <c r="Y144" s="343">
        <f t="shared" si="12"/>
        <v>5.0576585029939235E-4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42488</v>
      </c>
      <c r="S145" s="141">
        <f>_xll.qlCalendarAdvance(Calendar,R145,$F$1,"mf",,Trigger)</f>
        <v>42579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2.0369590881985336E-3</v>
      </c>
      <c r="V145" s="197">
        <f>_xll.qlYieldTSDiscount(Discounting,R145,,AllTriggers)</f>
        <v>0.98946008425140808</v>
      </c>
      <c r="W145" s="197">
        <f>_xll.qlYieldTSDiscount(Discounting,S145,,AllTriggers)</f>
        <v>0.98538140278914665</v>
      </c>
      <c r="X145" s="20">
        <f t="shared" si="11"/>
        <v>1.6602248102256509E-2</v>
      </c>
      <c r="Y145" s="343">
        <f t="shared" si="12"/>
        <v>5.0562334496192553E-4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42489</v>
      </c>
      <c r="S146" s="141">
        <f>_xll.qlCalendarAdvance(Calendar,R146,$F$1,"mf",,Trigger)</f>
        <v>42580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2.0363914878802096E-3</v>
      </c>
      <c r="V146" s="197">
        <f>_xll.qlYieldTSDiscount(Discounting,R146,,AllTriggers)</f>
        <v>0.98941427912290447</v>
      </c>
      <c r="W146" s="197">
        <f>_xll.qlYieldTSDiscount(Discounting,S146,,AllTriggers)</f>
        <v>0.98533723427775455</v>
      </c>
      <c r="X146" s="20">
        <f t="shared" si="11"/>
        <v>1.6596330172372158E-2</v>
      </c>
      <c r="Y146" s="343">
        <f t="shared" si="12"/>
        <v>5.0548323074859128E-4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42492</v>
      </c>
      <c r="S147" s="141">
        <f>_xll.qlCalendarAdvance(Calendar,R147,$F$1,"mf",,Trigger)</f>
        <v>42584</v>
      </c>
      <c r="T147" s="196">
        <f>_xll.qlDayCounterYearFraction(DayCounter,R147,S147,,,Trigger)</f>
        <v>0.25205479452054796</v>
      </c>
      <c r="U147" s="20">
        <f>_xll.qlInterpolationInterpolate(B3Minterpolation,R147,TRUE)</f>
        <v>2.0347484752247166E-3</v>
      </c>
      <c r="V147" s="197">
        <f>_xll.qlYieldTSDiscount(Discounting,R147,,AllTriggers)</f>
        <v>0.98927704109433756</v>
      </c>
      <c r="W147" s="197">
        <f>_xll.qlYieldTSDiscount(Discounting,S147,,AllTriggers)</f>
        <v>0.98516063015854194</v>
      </c>
      <c r="X147" s="20">
        <f t="shared" si="11"/>
        <v>1.6577411288927962E-2</v>
      </c>
      <c r="Y147" s="343">
        <f t="shared" si="12"/>
        <v>5.1060366925817513E-4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42493</v>
      </c>
      <c r="S148" s="141">
        <f>_xll.qlCalendarAdvance(Calendar,R148,$F$1,"mf",,Trigger)</f>
        <v>42585</v>
      </c>
      <c r="T148" s="196">
        <f>_xll.qlDayCounterYearFraction(DayCounter,R148,S148,,,Trigger)</f>
        <v>0.25205479452054796</v>
      </c>
      <c r="U148" s="20">
        <f>_xll.qlInterpolationInterpolate(B3Minterpolation,R148,TRUE)</f>
        <v>2.0342212965528865E-3</v>
      </c>
      <c r="V148" s="197">
        <f>_xll.qlYieldTSDiscount(Discounting,R148,,AllTriggers)</f>
        <v>0.98923135331305312</v>
      </c>
      <c r="W148" s="197">
        <f>_xll.qlYieldTSDiscount(Discounting,S148,,AllTriggers)</f>
        <v>0.98511649561053893</v>
      </c>
      <c r="X148" s="20">
        <f t="shared" si="11"/>
        <v>1.657189859303489E-2</v>
      </c>
      <c r="Y148" s="343">
        <f t="shared" si="12"/>
        <v>5.1047211796489934E-4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42494</v>
      </c>
      <c r="S149" s="141">
        <f>_xll.qlCalendarAdvance(Calendar,R149,$F$1,"mf",,Trigger)</f>
        <v>42586</v>
      </c>
      <c r="T149" s="196">
        <f>_xll.qlDayCounterYearFraction(DayCounter,R149,S149,,,Trigger)</f>
        <v>0.25205479452054796</v>
      </c>
      <c r="U149" s="20">
        <f>_xll.qlInterpolationInterpolate(B3Minterpolation,R149,TRUE)</f>
        <v>2.0337046453778105E-3</v>
      </c>
      <c r="V149" s="197">
        <f>_xll.qlYieldTSDiscount(Discounting,R149,,AllTriggers)</f>
        <v>0.98918569420064406</v>
      </c>
      <c r="W149" s="197">
        <f>_xll.qlYieldTSDiscount(Discounting,S149,,AllTriggers)</f>
        <v>0.98507236725546587</v>
      </c>
      <c r="X149" s="20">
        <f t="shared" si="11"/>
        <v>1.656647582116879E-2</v>
      </c>
      <c r="Y149" s="343">
        <f t="shared" si="12"/>
        <v>5.1034319589791141E-4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42495</v>
      </c>
      <c r="S150" s="141">
        <f>_xll.qlCalendarAdvance(Calendar,R150,$F$1,"mf",,Trigger)</f>
        <v>42587</v>
      </c>
      <c r="T150" s="196">
        <f>_xll.qlDayCounterYearFraction(DayCounter,R150,S150,,,Trigger)</f>
        <v>0.25205479452054796</v>
      </c>
      <c r="U150" s="20">
        <f>_xll.qlInterpolationInterpolate(B3Minterpolation,R150,TRUE)</f>
        <v>2.0331986905335409E-3</v>
      </c>
      <c r="V150" s="197">
        <f>_xll.qlYieldTSDiscount(Discounting,R150,,AllTriggers)</f>
        <v>0.98914006349004102</v>
      </c>
      <c r="W150" s="197">
        <f>_xll.qlYieldTSDiscount(Discounting,S150,,AllTriggers)</f>
        <v>0.9850282448934905</v>
      </c>
      <c r="X150" s="20">
        <f t="shared" si="11"/>
        <v>1.6561142718069109E-2</v>
      </c>
      <c r="Y150" s="343">
        <f t="shared" si="12"/>
        <v>5.102169454670887E-4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42496</v>
      </c>
      <c r="S151" s="141">
        <f>_xll.qlCalendarAdvance(Calendar,R151,$F$1,"mf",,Trigger)</f>
        <v>42590</v>
      </c>
      <c r="T151" s="196">
        <f>_xll.qlDayCounterYearFraction(DayCounter,R151,S151,,,Trigger)</f>
        <v>0.25753424657534246</v>
      </c>
      <c r="U151" s="20">
        <f>_xll.qlInterpolationInterpolate(B3Minterpolation,R151,TRUE)</f>
        <v>2.0327036008541306E-3</v>
      </c>
      <c r="V151" s="197">
        <f>_xll.qlYieldTSDiscount(Discounting,R151,,AllTriggers)</f>
        <v>0.9890944609142257</v>
      </c>
      <c r="W151" s="197">
        <f>_xll.qlYieldTSDiscount(Discounting,S151,,AllTriggers)</f>
        <v>0.98489591176836311</v>
      </c>
      <c r="X151" s="20">
        <f t="shared" si="11"/>
        <v>1.6552893364416614E-2</v>
      </c>
      <c r="Y151" s="343">
        <f t="shared" si="12"/>
        <v>5.2113284165126821E-4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42499</v>
      </c>
      <c r="S152" s="141">
        <f>_xll.qlCalendarAdvance(Calendar,R152,$F$1,"mf",,Trigger)</f>
        <v>42591</v>
      </c>
      <c r="T152" s="196">
        <f>_xll.qlDayCounterYearFraction(DayCounter,R152,S152,,,Trigger)</f>
        <v>0.25205479452054796</v>
      </c>
      <c r="U152" s="20">
        <f>_xll.qlInterpolationInterpolate(B3Minterpolation,R152,TRUE)</f>
        <v>2.031285211145577E-3</v>
      </c>
      <c r="V152" s="197">
        <f>_xll.qlYieldTSDiscount(Discounting,R152,,AllTriggers)</f>
        <v>0.98895781932608606</v>
      </c>
      <c r="W152" s="197">
        <f>_xll.qlYieldTSDiscount(Discounting,S152,,AllTriggers)</f>
        <v>0.98485181138117017</v>
      </c>
      <c r="X152" s="20">
        <f t="shared" si="11"/>
        <v>1.6540701888335094E-2</v>
      </c>
      <c r="Y152" s="343">
        <f t="shared" si="12"/>
        <v>5.0973950830186755E-4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42500</v>
      </c>
      <c r="S153" s="141">
        <f>_xll.qlCalendarAdvance(Calendar,R153,$F$1,"mf",,Trigger)</f>
        <v>42592</v>
      </c>
      <c r="T153" s="196">
        <f>_xll.qlDayCounterYearFraction(DayCounter,R153,S153,,,Trigger)</f>
        <v>0.25205479452054796</v>
      </c>
      <c r="U153" s="20">
        <f>_xll.qlInterpolationInterpolate(B3Minterpolation,R153,TRUE)</f>
        <v>2.030835270466126E-3</v>
      </c>
      <c r="V153" s="197">
        <f>_xll.qlYieldTSDiscount(Discounting,R153,,AllTriggers)</f>
        <v>0.98891232662025597</v>
      </c>
      <c r="W153" s="197">
        <f>_xll.qlYieldTSDiscount(Discounting,S153,,AllTriggers)</f>
        <v>0.98480771598844952</v>
      </c>
      <c r="X153" s="20">
        <f t="shared" si="11"/>
        <v>1.6535813300383957E-2</v>
      </c>
      <c r="Y153" s="343">
        <f t="shared" si="12"/>
        <v>5.0962725219711119E-4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42501</v>
      </c>
      <c r="S154" s="141">
        <f>_xll.qlCalendarAdvance(Calendar,R154,$F$1,"mf",,Trigger)</f>
        <v>42593</v>
      </c>
      <c r="T154" s="196">
        <f>_xll.qlDayCounterYearFraction(DayCounter,R154,S154,,,Trigger)</f>
        <v>0.25205479452054796</v>
      </c>
      <c r="U154" s="20">
        <f>_xll.qlInterpolationInterpolate(B3Minterpolation,R154,TRUE)</f>
        <v>2.0303970391217958E-3</v>
      </c>
      <c r="V154" s="197">
        <f>_xll.qlYieldTSDiscount(Discounting,R154,,AllTriggers)</f>
        <v>0.98886686071488472</v>
      </c>
      <c r="W154" s="197">
        <f>_xll.qlYieldTSDiscount(Discounting,S154,,AllTriggers)</f>
        <v>0.98476362539058349</v>
      </c>
      <c r="X154" s="20">
        <f t="shared" si="11"/>
        <v>1.6531012849777791E-2</v>
      </c>
      <c r="Y154" s="343">
        <f t="shared" si="12"/>
        <v>5.0951792218552816E-4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42502</v>
      </c>
      <c r="S155" s="141">
        <f>_xll.qlCalendarAdvance(Calendar,R155,$F$1,"mf",,Trigger)</f>
        <v>42594</v>
      </c>
      <c r="T155" s="196">
        <f>_xll.qlDayCounterYearFraction(DayCounter,R155,S155,,,Trigger)</f>
        <v>0.25205479452054796</v>
      </c>
      <c r="U155" s="20">
        <f>_xll.qlInterpolationInterpolate(B3Minterpolation,R155,TRUE)</f>
        <v>2.0299706859466388E-3</v>
      </c>
      <c r="V155" s="197">
        <f>_xll.qlYieldTSDiscount(Discounting,R155,,AllTriggers)</f>
        <v>0.98882142134325857</v>
      </c>
      <c r="W155" s="197">
        <f>_xll.qlYieldTSDiscount(Discounting,S155,,AllTriggers)</f>
        <v>0.98471953938798995</v>
      </c>
      <c r="X155" s="20">
        <f t="shared" si="11"/>
        <v>1.6526300281304498E-2</v>
      </c>
      <c r="Y155" s="343">
        <f t="shared" si="12"/>
        <v>5.0941156067541916E-4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42503</v>
      </c>
      <c r="S156" s="141">
        <f>_xll.qlCalendarAdvance(Calendar,R156,$F$1,"mf",,Trigger)</f>
        <v>42597</v>
      </c>
      <c r="T156" s="196">
        <f>_xll.qlDayCounterYearFraction(DayCounter,R156,S156,,,Trigger)</f>
        <v>0.25753424657534246</v>
      </c>
      <c r="U156" s="20">
        <f>_xll.qlInterpolationInterpolate(B3Minterpolation,R156,TRUE)</f>
        <v>2.0295563797747074E-3</v>
      </c>
      <c r="V156" s="197">
        <f>_xll.qlYieldTSDiscount(Discounting,R156,,AllTriggers)</f>
        <v>0.98877600823871437</v>
      </c>
      <c r="W156" s="197">
        <f>_xll.qlYieldTSDiscount(Discounting,S156,,AllTriggers)</f>
        <v>0.98458730695655938</v>
      </c>
      <c r="X156" s="20">
        <f t="shared" si="11"/>
        <v>1.6519243994298032E-2</v>
      </c>
      <c r="Y156" s="343">
        <f t="shared" si="12"/>
        <v>5.2033067392512453E-4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42506</v>
      </c>
      <c r="S157" s="141">
        <f>_xll.qlCalendarAdvance(Calendar,R157,$F$1,"mf",,Trigger)</f>
        <v>42598</v>
      </c>
      <c r="T157" s="196">
        <f>_xll.qlDayCounterYearFraction(DayCounter,R157,S157,,,Trigger)</f>
        <v>0.25205479452054796</v>
      </c>
      <c r="U157" s="20">
        <f>_xll.qlInterpolationInterpolate(B3Minterpolation,R157,TRUE)</f>
        <v>2.0283874316187889E-3</v>
      </c>
      <c r="V157" s="197">
        <f>_xll.qlYieldTSDiscount(Discounting,R157,,AllTriggers)</f>
        <v>0.98863992386169819</v>
      </c>
      <c r="W157" s="197">
        <f>_xll.qlYieldTSDiscount(Discounting,S157,,AllTriggers)</f>
        <v>0.98454323733994931</v>
      </c>
      <c r="X157" s="20">
        <f t="shared" si="11"/>
        <v>1.6508323724754533E-2</v>
      </c>
      <c r="Y157" s="343">
        <f t="shared" si="12"/>
        <v>5.0901664781897549E-4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42507</v>
      </c>
      <c r="S158" s="141">
        <f>_xll.qlCalendarAdvance(Calendar,R158,$F$1,"mf",,Trigger)</f>
        <v>42599</v>
      </c>
      <c r="T158" s="196">
        <f>_xll.qlDayCounterYearFraction(DayCounter,R158,S158,,,Trigger)</f>
        <v>0.25205479452054796</v>
      </c>
      <c r="U158" s="20">
        <f>_xll.qlInterpolationInterpolate(B3Minterpolation,R158,TRUE)</f>
        <v>2.0280230018002825E-3</v>
      </c>
      <c r="V158" s="197">
        <f>_xll.qlYieldTSDiscount(Discounting,R158,,AllTriggers)</f>
        <v>0.98859461315985808</v>
      </c>
      <c r="W158" s="197">
        <f>_xll.qlYieldTSDiscount(Discounting,S158,,AllTriggers)</f>
        <v>0.98449917132123699</v>
      </c>
      <c r="X158" s="20">
        <f t="shared" si="11"/>
        <v>1.6504046739015253E-2</v>
      </c>
      <c r="Y158" s="343">
        <f t="shared" si="12"/>
        <v>5.0892576494019476E-4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42508</v>
      </c>
      <c r="S159" s="141">
        <f>_xll.qlCalendarAdvance(Calendar,R159,$F$1,"mf",,Trigger)</f>
        <v>42600</v>
      </c>
      <c r="T159" s="196">
        <f>_xll.qlDayCounterYearFraction(DayCounter,R159,S159,,,Trigger)</f>
        <v>0.25205479452054796</v>
      </c>
      <c r="U159" s="20">
        <f>_xll.qlInterpolationInterpolate(B3Minterpolation,R159,TRUE)</f>
        <v>2.0276714631552637E-3</v>
      </c>
      <c r="V159" s="197">
        <f>_xll.qlYieldTSDiscount(Discounting,R159,,AllTriggers)</f>
        <v>0.98854932739253942</v>
      </c>
      <c r="W159" s="197">
        <f>_xll.qlYieldTSDiscount(Discounting,S159,,AllTriggers)</f>
        <v>0.98445510870105446</v>
      </c>
      <c r="X159" s="20">
        <f t="shared" si="11"/>
        <v>1.6499856104285154E-2</v>
      </c>
      <c r="Y159" s="343">
        <f t="shared" si="12"/>
        <v>5.0883810501047878E-4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42509</v>
      </c>
      <c r="S160" s="141">
        <f>_xll.qlCalendarAdvance(Calendar,R160,$F$1,"mf",,Trigger)</f>
        <v>42601</v>
      </c>
      <c r="T160" s="196">
        <f>_xll.qlDayCounterYearFraction(DayCounter,R160,S160,,,Trigger)</f>
        <v>0.25205479452054796</v>
      </c>
      <c r="U160" s="20">
        <f>_xll.qlInterpolationInterpolate(B3Minterpolation,R160,TRUE)</f>
        <v>2.0273329845177843E-3</v>
      </c>
      <c r="V160" s="197">
        <f>_xll.qlYieldTSDiscount(Discounting,R160,,AllTriggers)</f>
        <v>0.98850406629338072</v>
      </c>
      <c r="W160" s="197">
        <f>_xll.qlYieldTSDiscount(Discounting,S160,,AllTriggers)</f>
        <v>0.98441104928006962</v>
      </c>
      <c r="X160" s="20">
        <f t="shared" si="11"/>
        <v>1.6495751565399713E-2</v>
      </c>
      <c r="Y160" s="343">
        <f t="shared" si="12"/>
        <v>5.0875371043671231E-4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42510</v>
      </c>
      <c r="S161" s="141">
        <f>_xll.qlCalendarAdvance(Calendar,R161,$F$1,"mf",,Trigger)</f>
        <v>42604</v>
      </c>
      <c r="T161" s="196">
        <f>_xll.qlDayCounterYearFraction(DayCounter,R161,S161,,,Trigger)</f>
        <v>0.25753424657534246</v>
      </c>
      <c r="U161" s="20">
        <f>_xll.qlInterpolationInterpolate(B3Minterpolation,R161,TRUE)</f>
        <v>2.027007734721897E-3</v>
      </c>
      <c r="V161" s="197">
        <f>_xll.qlYieldTSDiscount(Discounting,R161,,AllTriggers)</f>
        <v>0.98845882959607068</v>
      </c>
      <c r="W161" s="197">
        <f>_xll.qlYieldTSDiscount(Discounting,S161,,AllTriggers)</f>
        <v>0.98427888821951259</v>
      </c>
      <c r="X161" s="20">
        <f t="shared" si="11"/>
        <v>1.6489862400292259E-2</v>
      </c>
      <c r="Y161" s="343">
        <f t="shared" si="12"/>
        <v>5.1968134546968078E-4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42513</v>
      </c>
      <c r="S162" s="141">
        <f>_xll.qlCalendarAdvance(Calendar,R162,$F$1,"mf",,Trigger)</f>
        <v>42605</v>
      </c>
      <c r="T162" s="196">
        <f>_xll.qlDayCounterYearFraction(DayCounter,R162,S162,,,Trigger)</f>
        <v>0.25205479452054796</v>
      </c>
      <c r="U162" s="20">
        <f>_xll.qlInterpolationInterpolate(B3Minterpolation,R162,TRUE)</f>
        <v>2.0261130467243097E-3</v>
      </c>
      <c r="V162" s="197">
        <f>_xll.qlYieldTSDiscount(Discounting,R162,,AllTriggers)</f>
        <v>0.98832326325286601</v>
      </c>
      <c r="W162" s="197">
        <f>_xll.qlYieldTSDiscount(Discounting,S162,,AllTriggers)</f>
        <v>0.98423483960270863</v>
      </c>
      <c r="X162" s="20">
        <f t="shared" si="11"/>
        <v>1.648018926526949E-2</v>
      </c>
      <c r="Y162" s="343">
        <f t="shared" si="12"/>
        <v>5.0844963383065388E-4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42514</v>
      </c>
      <c r="S163" s="141">
        <f>_xll.qlCalendarAdvance(Calendar,R163,$F$1,"mf",,Trigger)</f>
        <v>42606</v>
      </c>
      <c r="T163" s="196">
        <f>_xll.qlDayCounterYearFraction(DayCounter,R163,S163,,,Trigger)</f>
        <v>0.25205479452054796</v>
      </c>
      <c r="U163" s="20">
        <f>_xll.qlInterpolationInterpolate(B3Minterpolation,R163,TRUE)</f>
        <v>2.0258424006353135E-3</v>
      </c>
      <c r="V163" s="197">
        <f>_xll.qlYieldTSDiscount(Discounting,R163,,AllTriggers)</f>
        <v>0.98827812150083394</v>
      </c>
      <c r="W163" s="197">
        <f>_xll.qlYieldTSDiscount(Discounting,S163,,AllTriggers)</f>
        <v>0.98419079318897584</v>
      </c>
      <c r="X163" s="20">
        <f t="shared" si="11"/>
        <v>1.6476511378385243E-2</v>
      </c>
      <c r="Y163" s="343">
        <f t="shared" si="12"/>
        <v>5.0838220213081581E-4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42515</v>
      </c>
      <c r="S164" s="141">
        <f>_xll.qlCalendarAdvance(Calendar,R164,$F$1,"mf",,Trigger)</f>
        <v>42607</v>
      </c>
      <c r="T164" s="196">
        <f>_xll.qlDayCounterYearFraction(DayCounter,R164,S164,,,Trigger)</f>
        <v>0.25205479452054796</v>
      </c>
      <c r="U164" s="20">
        <f>_xll.qlInterpolationInterpolate(B3Minterpolation,R164,TRUE)</f>
        <v>2.0255858275581707E-3</v>
      </c>
      <c r="V164" s="197">
        <f>_xll.qlYieldTSDiscount(Discounting,R164,,AllTriggers)</f>
        <v>0.9882330028198415</v>
      </c>
      <c r="W164" s="197">
        <f>_xll.qlYieldTSDiscount(Discounting,S164,,AllTriggers)</f>
        <v>0.98414674877919583</v>
      </c>
      <c r="X164" s="20">
        <f t="shared" si="11"/>
        <v>1.6472918056502975E-2</v>
      </c>
      <c r="Y164" s="343">
        <f t="shared" si="12"/>
        <v>5.0831829022249502E-4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42516</v>
      </c>
      <c r="S165" s="141">
        <f>_xll.qlCalendarAdvance(Calendar,R165,$F$1,"mf",,Trigger)</f>
        <v>42608</v>
      </c>
      <c r="T165" s="196">
        <f>_xll.qlDayCounterYearFraction(DayCounter,R165,S165,,,Trigger)</f>
        <v>0.25205479452054796</v>
      </c>
      <c r="U165" s="20">
        <f>_xll.qlInterpolationInterpolate(B3Minterpolation,R165,TRUE)</f>
        <v>2.0253434963269346E-3</v>
      </c>
      <c r="V165" s="197">
        <f>_xll.qlYieldTSDiscount(Discounting,R165,,AllTriggers)</f>
        <v>0.98818790694387604</v>
      </c>
      <c r="W165" s="197">
        <f>_xll.qlYieldTSDiscount(Discounting,S165,,AllTriggers)</f>
        <v>0.98410270617428597</v>
      </c>
      <c r="X165" s="20">
        <f t="shared" si="11"/>
        <v>1.6469409044503093E-2</v>
      </c>
      <c r="Y165" s="343">
        <f t="shared" si="12"/>
        <v>5.0825794051042748E-4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42517</v>
      </c>
      <c r="S166" s="141">
        <f>_xll.qlCalendarAdvance(Calendar,R166,$F$1,"mf",,Trigger)</f>
        <v>42611</v>
      </c>
      <c r="T166" s="196">
        <f>_xll.qlDayCounterYearFraction(DayCounter,R166,S166,,,Trigger)</f>
        <v>0.25753424657534246</v>
      </c>
      <c r="U166" s="20">
        <f>_xll.qlInterpolationInterpolate(B3Minterpolation,R166,TRUE)</f>
        <v>2.0251155757756564E-3</v>
      </c>
      <c r="V166" s="197">
        <f>_xll.qlYieldTSDiscount(Discounting,R166,,AllTriggers)</f>
        <v>0.98814283360697475</v>
      </c>
      <c r="W166" s="197">
        <f>_xll.qlYieldTSDiscount(Discounting,S166,,AllTriggers)</f>
        <v>0.98397058719848374</v>
      </c>
      <c r="X166" s="20">
        <f t="shared" si="11"/>
        <v>1.6464662911415094E-2</v>
      </c>
      <c r="Y166" s="343">
        <f t="shared" si="12"/>
        <v>5.1919971672278228E-4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42520</v>
      </c>
      <c r="S167" s="141">
        <f>_xll.qlCalendarAdvance(Calendar,R167,$F$1,"mf",,Trigger)</f>
        <v>42612</v>
      </c>
      <c r="T167" s="196">
        <f>_xll.qlDayCounterYearFraction(DayCounter,R167,S167,,,Trigger)</f>
        <v>0.25205479452054796</v>
      </c>
      <c r="U167" s="20">
        <f>_xll.qlInterpolationInterpolate(B3Minterpolation,R167,TRUE)</f>
        <v>2.0245199665420966E-3</v>
      </c>
      <c r="V167" s="197">
        <f>_xll.qlYieldTSDiscount(Discounting,R167,,AllTriggers)</f>
        <v>0.98800774617176845</v>
      </c>
      <c r="W167" s="197">
        <f>_xll.qlYieldTSDiscount(Discounting,S167,,AllTriggers)</f>
        <v>0.98392654982293926</v>
      </c>
      <c r="X167" s="20">
        <f t="shared" si="11"/>
        <v>1.6456210993183014E-2</v>
      </c>
      <c r="Y167" s="343">
        <f t="shared" si="12"/>
        <v>5.0805301170842119E-4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42521</v>
      </c>
      <c r="S168" s="141">
        <f>_xll.qlCalendarAdvance(Calendar,R168,$F$1,"mf",,Trigger)</f>
        <v>42613</v>
      </c>
      <c r="T168" s="196">
        <f>_xll.qlDayCounterYearFraction(DayCounter,R168,S168,,,Trigger)</f>
        <v>0.25205479452054796</v>
      </c>
      <c r="U168" s="20">
        <f>_xll.qlInterpolationInterpolate(B3Minterpolation,R168,TRUE)</f>
        <v>2.0243513770511756E-3</v>
      </c>
      <c r="V168" s="197">
        <f>_xll.qlYieldTSDiscount(Discounting,R168,,AllTriggers)</f>
        <v>0.98796276033248376</v>
      </c>
      <c r="W168" s="197">
        <f>_xll.qlYieldTSDiscount(Discounting,S168,,AllTriggers)</f>
        <v>0.98388251325738552</v>
      </c>
      <c r="X168" s="20">
        <f t="shared" si="11"/>
        <v>1.6453119704039836E-2</v>
      </c>
      <c r="Y168" s="343">
        <f t="shared" si="12"/>
        <v>5.0801110903698587E-4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42522</v>
      </c>
      <c r="S169" s="141">
        <f>_xll.qlCalendarAdvance(Calendar,R169,$F$1,"mf",,Trigger)</f>
        <v>42614</v>
      </c>
      <c r="T169" s="196">
        <f>_xll.qlDayCounterYearFraction(DayCounter,R169,S169,,,Trigger)</f>
        <v>0.25205479452054796</v>
      </c>
      <c r="U169" s="20">
        <f>_xll.qlInterpolationInterpolate(B3Minterpolation,R169,TRUE)</f>
        <v>2.0241980424104749E-3</v>
      </c>
      <c r="V169" s="197">
        <f>_xll.qlYieldTSDiscount(Discounting,R169,,AllTriggers)</f>
        <v>0.98791779570319016</v>
      </c>
      <c r="W169" s="197">
        <f>_xll.qlYieldTSDiscount(Discounting,S169,,AllTriggers)</f>
        <v>0.98383847730295348</v>
      </c>
      <c r="X169" s="20">
        <f t="shared" si="11"/>
        <v>1.6450111194198886E-2</v>
      </c>
      <c r="Y169" s="343">
        <f t="shared" si="12"/>
        <v>5.0797302298292827E-4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42523</v>
      </c>
      <c r="S170" s="141">
        <f>_xll.qlCalendarAdvance(Calendar,R170,$F$1,"mf",,Trigger)</f>
        <v>42615</v>
      </c>
      <c r="T170" s="196">
        <f>_xll.qlDayCounterYearFraction(DayCounter,R170,S170,,,Trigger)</f>
        <v>0.25205479452054796</v>
      </c>
      <c r="U170" s="20">
        <f>_xll.qlInterpolationInterpolate(B3Minterpolation,R170,TRUE)</f>
        <v>2.0240601314540471E-3</v>
      </c>
      <c r="V170" s="197">
        <f>_xll.qlYieldTSDiscount(Discounting,R170,,AllTriggers)</f>
        <v>0.98787285201822117</v>
      </c>
      <c r="W170" s="197">
        <f>_xll.qlYieldTSDiscount(Discounting,S170,,AllTriggers)</f>
        <v>0.98379444176080977</v>
      </c>
      <c r="X170" s="20">
        <f t="shared" si="11"/>
        <v>1.6447185208585496E-2</v>
      </c>
      <c r="Y170" s="343">
        <f t="shared" si="12"/>
        <v>5.079387959485397E-4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42524</v>
      </c>
      <c r="S171" s="141">
        <f>_xll.qlCalendarAdvance(Calendar,R171,$F$1,"mf",,Trigger)</f>
        <v>42618</v>
      </c>
      <c r="T171" s="196">
        <f>_xll.qlDayCounterYearFraction(DayCounter,R171,S171,,,Trigger)</f>
        <v>0.25753424657534246</v>
      </c>
      <c r="U171" s="20">
        <f>_xll.qlInterpolationInterpolate(B3Minterpolation,R171,TRUE)</f>
        <v>2.0239378130159436E-3</v>
      </c>
      <c r="V171" s="197">
        <f>_xll.qlYieldTSDiscount(Discounting,R171,,AllTriggers)</f>
        <v>0.98782792901195926</v>
      </c>
      <c r="W171" s="197">
        <f>_xll.qlYieldTSDiscount(Discounting,S171,,AllTriggers)</f>
        <v>0.98366233562030836</v>
      </c>
      <c r="X171" s="20">
        <f t="shared" si="11"/>
        <v>1.6443559872538961E-2</v>
      </c>
      <c r="Y171" s="343">
        <f t="shared" si="12"/>
        <v>5.1890064735646247E-4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42527</v>
      </c>
      <c r="S172" s="141">
        <f>_xll.qlCalendarAdvance(Calendar,R172,$F$1,"mf",,Trigger)</f>
        <v>42619</v>
      </c>
      <c r="T172" s="196">
        <f>_xll.qlDayCounterYearFraction(DayCounter,R172,S172,,,Trigger)</f>
        <v>0.25205479452054796</v>
      </c>
      <c r="U172" s="20">
        <f>_xll.qlInterpolationInterpolate(B3Minterpolation,R172,TRUE)</f>
        <v>2.023666101152107E-3</v>
      </c>
      <c r="V172" s="197">
        <f>_xll.qlYieldTSDiscount(Discounting,R172,,AllTriggers)</f>
        <v>0.9876932814099787</v>
      </c>
      <c r="W172" s="197">
        <f>_xll.qlYieldTSDiscount(Discounting,S172,,AllTriggers)</f>
        <v>0.98361829973969583</v>
      </c>
      <c r="X172" s="20">
        <f t="shared" si="11"/>
        <v>1.6436301407095632E-2</v>
      </c>
      <c r="Y172" s="343">
        <f t="shared" si="12"/>
        <v>5.0784132603613644E-4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42528</v>
      </c>
      <c r="S173" s="141">
        <f>_xll.qlCalendarAdvance(Calendar,R173,$F$1,"mf",,Trigger)</f>
        <v>42620</v>
      </c>
      <c r="T173" s="196">
        <f>_xll.qlDayCounterYearFraction(DayCounter,R173,S173,,,Trigger)</f>
        <v>0.25205479452054796</v>
      </c>
      <c r="U173" s="20">
        <f>_xll.qlInterpolationInterpolate(B3Minterpolation,R173,TRUE)</f>
        <v>2.0236078411278269E-3</v>
      </c>
      <c r="V173" s="197">
        <f>_xll.qlYieldTSDiscount(Discounting,R173,,AllTriggers)</f>
        <v>0.98764843846335282</v>
      </c>
      <c r="W173" s="197">
        <f>_xll.qlYieldTSDiscount(Discounting,S173,,AllTriggers)</f>
        <v>0.98357426327773878</v>
      </c>
      <c r="X173" s="20">
        <f t="shared" si="11"/>
        <v>1.6433784216688528E-2</v>
      </c>
      <c r="Y173" s="343">
        <f t="shared" si="12"/>
        <v>5.0782703011840612E-4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42529</v>
      </c>
      <c r="S174" s="141">
        <f>_xll.qlCalendarAdvance(Calendar,R174,$F$1,"mf",,Trigger)</f>
        <v>42621</v>
      </c>
      <c r="T174" s="196">
        <f>_xll.qlDayCounterYearFraction(DayCounter,R174,S174,,,Trigger)</f>
        <v>0.25205479452054796</v>
      </c>
      <c r="U174" s="20">
        <f>_xll.qlInterpolationInterpolate(B3Minterpolation,R174,TRUE)</f>
        <v>2.0235660177921333E-3</v>
      </c>
      <c r="V174" s="197">
        <f>_xll.qlYieldTSDiscount(Discounting,R174,,AllTriggers)</f>
        <v>0.98760361486808279</v>
      </c>
      <c r="W174" s="197">
        <f>_xll.qlYieldTSDiscount(Discounting,S174,,AllTriggers)</f>
        <v>0.98353022603581719</v>
      </c>
      <c r="X174" s="20">
        <f t="shared" si="11"/>
        <v>1.6431348020177254E-2</v>
      </c>
      <c r="Y174" s="343">
        <f t="shared" si="12"/>
        <v>5.0781684762434703E-4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42530</v>
      </c>
      <c r="S175" s="141">
        <f>_xll.qlCalendarAdvance(Calendar,R175,$F$1,"mf",,Trigger)</f>
        <v>42622</v>
      </c>
      <c r="T175" s="196">
        <f>_xll.qlDayCounterYearFraction(DayCounter,R175,S175,,,Trigger)</f>
        <v>0.25205479452054796</v>
      </c>
      <c r="U175" s="20">
        <f>_xll.qlInterpolationInterpolate(B3Minterpolation,R175,TRUE)</f>
        <v>2.023540799979079E-3</v>
      </c>
      <c r="V175" s="197">
        <f>_xll.qlYieldTSDiscount(Discounting,R175,,AllTriggers)</f>
        <v>0.98755881035884518</v>
      </c>
      <c r="W175" s="197">
        <f>_xll.qlYieldTSDiscount(Discounting,S175,,AllTriggers)</f>
        <v>0.98348618781534725</v>
      </c>
      <c r="X175" s="20">
        <f t="shared" si="11"/>
        <v>1.642899256252502E-2</v>
      </c>
      <c r="Y175" s="343">
        <f t="shared" si="12"/>
        <v>5.0781082095372593E-4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42531</v>
      </c>
      <c r="S176" s="141">
        <f>_xll.qlCalendarAdvance(Calendar,R176,$F$1,"mf",,Trigger)</f>
        <v>42625</v>
      </c>
      <c r="T176" s="196">
        <f>_xll.qlDayCounterYearFraction(DayCounter,R176,S176,,,Trigger)</f>
        <v>0.25753424657534246</v>
      </c>
      <c r="U176" s="20">
        <f>_xll.qlInterpolationInterpolate(B3Minterpolation,R176,TRUE)</f>
        <v>2.0235323565227156E-3</v>
      </c>
      <c r="V176" s="197">
        <f>_xll.qlYieldTSDiscount(Discounting,R176,,AllTriggers)</f>
        <v>0.98751402467036531</v>
      </c>
      <c r="W176" s="197">
        <f>_xll.qlYieldTSDiscount(Discounting,S176,,AllTriggers)</f>
        <v>0.98335406529733871</v>
      </c>
      <c r="X176" s="20">
        <f t="shared" si="11"/>
        <v>1.6426467643477251E-2</v>
      </c>
      <c r="Y176" s="343">
        <f t="shared" si="12"/>
        <v>5.187989961330723E-4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42535</v>
      </c>
      <c r="S177" s="141">
        <f>_xll.qlCalendarAdvance(Calendar,R177,$F$1,"mf",,Trigger)</f>
        <v>42627</v>
      </c>
      <c r="T177" s="196">
        <f>_xll.qlDayCounterYearFraction(DayCounter,R177,S177,,,Trigger)</f>
        <v>0.25205479452054796</v>
      </c>
      <c r="U177" s="20">
        <f>_xll.qlInterpolationInterpolate(B3Minterpolation,R177,TRUE)</f>
        <v>2.0237104289051043E-3</v>
      </c>
      <c r="V177" s="197">
        <f>_xll.qlYieldTSDiscount(Discounting,R177,,AllTriggers)</f>
        <v>0.98733506482023681</v>
      </c>
      <c r="W177" s="197">
        <f>_xll.qlYieldTSDiscount(Discounting,S177,,AllTriggers)</f>
        <v>0.98326597508681723</v>
      </c>
      <c r="X177" s="20">
        <f t="shared" si="11"/>
        <v>1.6418417431310242E-2</v>
      </c>
      <c r="Y177" s="343">
        <f t="shared" si="12"/>
        <v>5.0785472656665956E-4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42536</v>
      </c>
      <c r="S178" s="141">
        <f>_xll.qlCalendarAdvance(Calendar,R178,$F$1,"mf",,Trigger)</f>
        <v>42628</v>
      </c>
      <c r="T178" s="196">
        <f>_xll.qlDayCounterYearFraction(DayCounter,R178,S178,,,Trigger)</f>
        <v>0.25205479452054796</v>
      </c>
      <c r="U178" s="20">
        <f>_xll.qlInterpolationInterpolate(B3Minterpolation,R178,TRUE)</f>
        <v>2.0238080548707683E-3</v>
      </c>
      <c r="V178" s="197">
        <f>_xll.qlYieldTSDiscount(Discounting,R178,,AllTriggers)</f>
        <v>0.98729036925813141</v>
      </c>
      <c r="W178" s="197">
        <f>_xll.qlYieldTSDiscount(Discounting,S178,,AllTriggers)</f>
        <v>0.98322192682678355</v>
      </c>
      <c r="X178" s="20">
        <f t="shared" si="11"/>
        <v>1.6416541051380608E-2</v>
      </c>
      <c r="Y178" s="343">
        <f t="shared" si="12"/>
        <v>5.0787945895523464E-4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42537</v>
      </c>
      <c r="S179" s="141">
        <f>_xll.qlCalendarAdvance(Calendar,R179,$F$1,"mf",,Trigger)</f>
        <v>42629</v>
      </c>
      <c r="T179" s="196">
        <f>_xll.qlDayCounterYearFraction(DayCounter,R179,S179,,,Trigger)</f>
        <v>0.25205479452054796</v>
      </c>
      <c r="U179" s="20">
        <f>_xll.qlInterpolationInterpolate(B3Minterpolation,R179,TRUE)</f>
        <v>2.0239257049047337E-3</v>
      </c>
      <c r="V179" s="197">
        <f>_xll.qlYieldTSDiscount(Discounting,R179,,AllTriggers)</f>
        <v>0.98724569092615821</v>
      </c>
      <c r="W179" s="197">
        <f>_xll.qlYieldTSDiscount(Discounting,S179,,AllTriggers)</f>
        <v>0.98317787619910957</v>
      </c>
      <c r="X179" s="20">
        <f t="shared" si="11"/>
        <v>1.6414743625213706E-2</v>
      </c>
      <c r="Y179" s="343">
        <f t="shared" si="12"/>
        <v>5.079092051169361E-4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42538</v>
      </c>
      <c r="S180" s="141">
        <f>_xll.qlCalendarAdvance(Calendar,R180,$F$1,"mf",,Trigger)</f>
        <v>42632</v>
      </c>
      <c r="T180" s="196">
        <f>_xll.qlDayCounterYearFraction(DayCounter,R180,S180,,,Trigger)</f>
        <v>0.25753424657534246</v>
      </c>
      <c r="U180" s="20">
        <f>_xll.qlInterpolationInterpolate(B3Minterpolation,R180,TRUE)</f>
        <v>2.0240627694671368E-3</v>
      </c>
      <c r="V180" s="197">
        <f>_xll.qlYieldTSDiscount(Discounting,R180,,AllTriggers)</f>
        <v>0.98720102955938294</v>
      </c>
      <c r="W180" s="197">
        <f>_xll.qlYieldTSDiscount(Discounting,S180,,AllTriggers)</f>
        <v>0.9830457081274333</v>
      </c>
      <c r="X180" s="20">
        <f t="shared" si="11"/>
        <v>1.641330059809885E-2</v>
      </c>
      <c r="Y180" s="343">
        <f t="shared" si="12"/>
        <v>5.1893670146673952E-4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42541</v>
      </c>
      <c r="S181" s="141">
        <f>_xll.qlCalendarAdvance(Calendar,R181,$F$1,"mf",,Trigger)</f>
        <v>42633</v>
      </c>
      <c r="T181" s="196">
        <f>_xll.qlDayCounterYearFraction(DayCounter,R181,S181,,,Trigger)</f>
        <v>0.25205479452054796</v>
      </c>
      <c r="U181" s="20">
        <f>_xll.qlInterpolationInterpolate(B3Minterpolation,R181,TRUE)</f>
        <v>2.0245843549263438E-3</v>
      </c>
      <c r="V181" s="197">
        <f>_xll.qlYieldTSDiscount(Discounting,R181,,AllTriggers)</f>
        <v>0.98706714460162814</v>
      </c>
      <c r="W181" s="197">
        <f>_xll.qlYieldTSDiscount(Discounting,S181,,AllTriggers)</f>
        <v>0.98300164604656348</v>
      </c>
      <c r="X181" s="20">
        <f t="shared" si="11"/>
        <v>1.6408338358405775E-2</v>
      </c>
      <c r="Y181" s="343">
        <f t="shared" si="12"/>
        <v>5.0807526968969796E-4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42542</v>
      </c>
      <c r="S182" s="141">
        <f>_xll.qlCalendarAdvance(Calendar,R182,$F$1,"mf",,Trigger)</f>
        <v>42634</v>
      </c>
      <c r="T182" s="196">
        <f>_xll.qlDayCounterYearFraction(DayCounter,R182,S182,,,Trigger)</f>
        <v>0.25205479452054796</v>
      </c>
      <c r="U182" s="20">
        <f>_xll.qlInterpolationInterpolate(B3Minterpolation,R182,TRUE)</f>
        <v>2.0247929822038687E-3</v>
      </c>
      <c r="V182" s="197">
        <f>_xll.qlYieldTSDiscount(Discounting,R182,,AllTriggers)</f>
        <v>0.98702254844726955</v>
      </c>
      <c r="W182" s="197">
        <f>_xll.qlYieldTSDiscount(Discounting,S182,,AllTriggers)</f>
        <v>0.98295758060691418</v>
      </c>
      <c r="X182" s="20">
        <f t="shared" si="11"/>
        <v>1.6406931876268873E-2</v>
      </c>
      <c r="Y182" s="343">
        <f t="shared" si="12"/>
        <v>5.0812779135491002E-4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42543</v>
      </c>
      <c r="S183" s="141">
        <f>_xll.qlCalendarAdvance(Calendar,R183,$F$1,"mf",,Trigger)</f>
        <v>42635</v>
      </c>
      <c r="T183" s="196">
        <f>_xll.qlDayCounterYearFraction(DayCounter,R183,S183,,,Trigger)</f>
        <v>0.25205479452054796</v>
      </c>
      <c r="U183" s="20">
        <f>_xll.qlInterpolationInterpolate(B3Minterpolation,R183,TRUE)</f>
        <v>2.0250179763105164E-3</v>
      </c>
      <c r="V183" s="197">
        <f>_xll.qlYieldTSDiscount(Discounting,R183,,AllTriggers)</f>
        <v>0.98697796793416293</v>
      </c>
      <c r="W183" s="197">
        <f>_xll.qlYieldTSDiscount(Discounting,S183,,AllTriggers)</f>
        <v>0.98291351161036455</v>
      </c>
      <c r="X183" s="20">
        <f t="shared" si="11"/>
        <v>1.6405602818014009E-2</v>
      </c>
      <c r="Y183" s="343">
        <f t="shared" si="12"/>
        <v>5.081844094428587E-4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42544</v>
      </c>
      <c r="S184" s="141">
        <f>_xll.qlCalendarAdvance(Calendar,R184,$F$1,"mf",,Trigger)</f>
        <v>42636</v>
      </c>
      <c r="T184" s="196">
        <f>_xll.qlDayCounterYearFraction(DayCounter,R184,S184,,,Trigger)</f>
        <v>0.25205479452054796</v>
      </c>
      <c r="U184" s="20">
        <f>_xll.qlInterpolationInterpolate(B3Minterpolation,R184,TRUE)</f>
        <v>2.0252587277064236E-3</v>
      </c>
      <c r="V184" s="197">
        <f>_xll.qlYieldTSDiscount(Discounting,R184,,AllTriggers)</f>
        <v>0.98693340279766373</v>
      </c>
      <c r="W184" s="197">
        <f>_xll.qlYieldTSDiscount(Discounting,S184,,AllTriggers)</f>
        <v>0.98286943885882927</v>
      </c>
      <c r="X184" s="20">
        <f t="shared" si="11"/>
        <v>1.6404350928680155E-2</v>
      </c>
      <c r="Y184" s="343">
        <f t="shared" si="12"/>
        <v>5.0824497105894022E-4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42545</v>
      </c>
      <c r="S185" s="141">
        <f>_xll.qlCalendarAdvance(Calendar,R185,$F$1,"mf",,Trigger)</f>
        <v>42639</v>
      </c>
      <c r="T185" s="196">
        <f>_xll.qlDayCounterYearFraction(DayCounter,R185,S185,,,Trigger)</f>
        <v>0.25753424657534246</v>
      </c>
      <c r="U185" s="20">
        <f>_xll.qlInterpolationInterpolate(B3Minterpolation,R185,TRUE)</f>
        <v>2.0255146268517285E-3</v>
      </c>
      <c r="V185" s="197">
        <f>_xll.qlYieldTSDiscount(Discounting,R185,,AllTriggers)</f>
        <v>0.98688885277317584</v>
      </c>
      <c r="W185" s="197">
        <f>_xll.qlYieldTSDiscount(Discounting,S185,,AllTriggers)</f>
        <v>0.98273719609399302</v>
      </c>
      <c r="X185" s="20">
        <f t="shared" si="11"/>
        <v>1.6403973123455599E-2</v>
      </c>
      <c r="Y185" s="343">
        <f t="shared" si="12"/>
        <v>5.1931007928372784E-4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42548</v>
      </c>
      <c r="S186" s="141">
        <f>_xll.qlCalendarAdvance(Calendar,R186,$F$1,"mf",,Trigger)</f>
        <v>42640</v>
      </c>
      <c r="T186" s="196">
        <f>_xll.qlDayCounterYearFraction(DayCounter,R186,S186,,,Trigger)</f>
        <v>0.25205479452054796</v>
      </c>
      <c r="U186" s="20">
        <f>_xll.qlInterpolationInterpolate(B3Minterpolation,R186,TRUE)</f>
        <v>2.0263671153853929E-3</v>
      </c>
      <c r="V186" s="197">
        <f>_xll.qlYieldTSDiscount(Discounting,R186,,AllTriggers)</f>
        <v>0.98675529072653911</v>
      </c>
      <c r="W186" s="197">
        <f>_xll.qlYieldTSDiscount(Discounting,S186,,AllTriggers)</f>
        <v>0.98269310634237694</v>
      </c>
      <c r="X186" s="20">
        <f t="shared" si="11"/>
        <v>1.6400109961458513E-2</v>
      </c>
      <c r="Y186" s="343">
        <f t="shared" si="12"/>
        <v>5.0852359489295281E-4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42549</v>
      </c>
      <c r="S187" s="141">
        <f>_xll.qlCalendarAdvance(Calendar,R187,$F$1,"mf",,Trigger)</f>
        <v>42641</v>
      </c>
      <c r="T187" s="196">
        <f>_xll.qlDayCounterYearFraction(DayCounter,R187,S187,,,Trigger)</f>
        <v>0.25205479452054796</v>
      </c>
      <c r="U187" s="20">
        <f>_xll.qlInterpolationInterpolate(B3Minterpolation,R187,TRUE)</f>
        <v>2.0266775101296553E-3</v>
      </c>
      <c r="V187" s="197">
        <f>_xll.qlYieldTSDiscount(Discounting,R187,,AllTriggers)</f>
        <v>0.98671079850509591</v>
      </c>
      <c r="W187" s="197">
        <f>_xll.qlYieldTSDiscount(Discounting,S187,,AllTriggers)</f>
        <v>0.9826490118458846</v>
      </c>
      <c r="X187" s="20">
        <f t="shared" si="11"/>
        <v>1.6399240092451726E-2</v>
      </c>
      <c r="Y187" s="343">
        <f t="shared" si="12"/>
        <v>5.0860158071137733E-4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42550</v>
      </c>
      <c r="S188" s="141">
        <f>_xll.qlCalendarAdvance(Calendar,R188,$F$1,"mf",,Trigger)</f>
        <v>42642</v>
      </c>
      <c r="T188" s="196">
        <f>_xll.qlDayCounterYearFraction(DayCounter,R188,S188,,,Trigger)</f>
        <v>0.25205479452054796</v>
      </c>
      <c r="U188" s="20">
        <f>_xll.qlInterpolationInterpolate(B3Minterpolation,R188,TRUE)</f>
        <v>2.0270000049239993E-3</v>
      </c>
      <c r="V188" s="197">
        <f>_xll.qlYieldTSDiscount(Discounting,R188,,AllTriggers)</f>
        <v>0.98666632007340394</v>
      </c>
      <c r="W188" s="197">
        <f>_xll.qlYieldTSDiscount(Discounting,S188,,AllTriggers)</f>
        <v>0.98260491240664505</v>
      </c>
      <c r="X188" s="20">
        <f t="shared" si="11"/>
        <v>1.6398445862686992E-2</v>
      </c>
      <c r="Y188" s="343">
        <f t="shared" si="12"/>
        <v>5.0868259267852019E-4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42551</v>
      </c>
      <c r="S189" s="141">
        <f>_xll.qlCalendarAdvance(Calendar,R189,$F$1,"mf",,Trigger)</f>
        <v>42643</v>
      </c>
      <c r="T189" s="196">
        <f>_xll.qlDayCounterYearFraction(DayCounter,R189,S189,,,Trigger)</f>
        <v>0.25205479452054796</v>
      </c>
      <c r="U189" s="20">
        <f>_xll.qlInterpolationInterpolate(B3Minterpolation,R189,TRUE)</f>
        <v>2.027333990228562E-3</v>
      </c>
      <c r="V189" s="197">
        <f>_xll.qlYieldTSDiscount(Discounting,R189,,AllTriggers)</f>
        <v>0.98662185516715517</v>
      </c>
      <c r="W189" s="197">
        <f>_xll.qlYieldTSDiscount(Discounting,S189,,AllTriggers)</f>
        <v>0.98256080782682298</v>
      </c>
      <c r="X189" s="20">
        <f t="shared" si="11"/>
        <v>1.639772701723588E-2</v>
      </c>
      <c r="Y189" s="343">
        <f t="shared" si="12"/>
        <v>5.0876647789693276E-4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42552</v>
      </c>
      <c r="S190" s="141">
        <f>_xll.qlCalendarAdvance(Calendar,R190,$F$1,"mf",,Trigger)</f>
        <v>42647</v>
      </c>
      <c r="T190" s="196">
        <f>_xll.qlDayCounterYearFraction(DayCounter,R190,S190,,,Trigger)</f>
        <v>0.26027397260273971</v>
      </c>
      <c r="U190" s="20">
        <f>_xll.qlInterpolationInterpolate(B3Minterpolation,R190,TRUE)</f>
        <v>2.0276788565034808E-3</v>
      </c>
      <c r="V190" s="197">
        <f>_xll.qlYieldTSDiscount(Discounting,R190,,AllTriggers)</f>
        <v>0.98657740352208934</v>
      </c>
      <c r="W190" s="197">
        <f>_xll.qlYieldTSDiscount(Discounting,S190,,AllTriggers)</f>
        <v>0.98238433414625481</v>
      </c>
      <c r="X190" s="20">
        <f t="shared" si="11"/>
        <v>1.6399094893629815E-2</v>
      </c>
      <c r="Y190" s="343">
        <f t="shared" si="12"/>
        <v>5.2537099176417539E-4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42555</v>
      </c>
      <c r="S191" s="141">
        <f>_xll.qlCalendarAdvance(Calendar,R191,$F$1,"mf",,Trigger)</f>
        <v>42647</v>
      </c>
      <c r="T191" s="196">
        <f>_xll.qlDayCounterYearFraction(DayCounter,R191,S191,,,Trigger)</f>
        <v>0.25205479452054796</v>
      </c>
      <c r="U191" s="20">
        <f>_xll.qlInterpolationInterpolate(B3Minterpolation,R191,TRUE)</f>
        <v>2.0287726457517427E-3</v>
      </c>
      <c r="V191" s="197">
        <f>_xll.qlYieldTSDiscount(Discounting,R191,,AllTriggers)</f>
        <v>0.98644412551210614</v>
      </c>
      <c r="W191" s="197">
        <f>_xll.qlYieldTSDiscount(Discounting,S191,,AllTriggers)</f>
        <v>0.98238433414625481</v>
      </c>
      <c r="X191" s="20">
        <f t="shared" si="11"/>
        <v>1.6395600380112632E-2</v>
      </c>
      <c r="Y191" s="343">
        <f t="shared" si="12"/>
        <v>5.0912769330088725E-4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42556</v>
      </c>
      <c r="S192" s="141">
        <f>_xll.qlCalendarAdvance(Calendar,R192,$F$1,"mf",,Trigger)</f>
        <v>42648</v>
      </c>
      <c r="T192" s="196">
        <f>_xll.qlDayCounterYearFraction(DayCounter,R192,S192,,,Trigger)</f>
        <v>0.25205479452054796</v>
      </c>
      <c r="U192" s="20">
        <f>_xll.qlInterpolationInterpolate(B3Minterpolation,R192,TRUE)</f>
        <v>2.0291549405094551E-3</v>
      </c>
      <c r="V192" s="197">
        <f>_xll.qlYieldTSDiscount(Discounting,R192,,AllTriggers)</f>
        <v>0.98639972428064593</v>
      </c>
      <c r="W192" s="197">
        <f>_xll.qlYieldTSDiscount(Discounting,S192,,AllTriggers)</f>
        <v>0.98234020091894547</v>
      </c>
      <c r="X192" s="20">
        <f t="shared" si="11"/>
        <v>1.6395254586894309E-2</v>
      </c>
      <c r="Y192" s="343">
        <f t="shared" si="12"/>
        <v>5.0922365129320725E-4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42557</v>
      </c>
      <c r="S193" s="141">
        <f>_xll.qlCalendarAdvance(Calendar,R193,$F$1,"mf",,Trigger)</f>
        <v>42649</v>
      </c>
      <c r="T193" s="196">
        <f>_xll.qlDayCounterYearFraction(DayCounter,R193,S193,,,Trigger)</f>
        <v>0.25205479452054796</v>
      </c>
      <c r="U193" s="20">
        <f>_xll.qlInterpolationInterpolate(B3Minterpolation,R193,TRUE)</f>
        <v>2.0295450685382087E-3</v>
      </c>
      <c r="V193" s="197">
        <f>_xll.qlYieldTSDiscount(Discounting,R193,,AllTriggers)</f>
        <v>0.98635533505289186</v>
      </c>
      <c r="W193" s="197">
        <f>_xll.qlYieldTSDiscount(Discounting,S193,,AllTriggers)</f>
        <v>0.98229606149500437</v>
      </c>
      <c r="X193" s="20">
        <f t="shared" si="11"/>
        <v>1.6394982375294805E-2</v>
      </c>
      <c r="Y193" s="343">
        <f t="shared" si="12"/>
        <v>5.0932156517475452E-4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42558</v>
      </c>
      <c r="S194" s="141">
        <f>_xll.qlCalendarAdvance(Calendar,R194,$F$1,"mf",,Trigger)</f>
        <v>42650</v>
      </c>
      <c r="T194" s="196">
        <f>_xll.qlDayCounterYearFraction(DayCounter,R194,S194,,,Trigger)</f>
        <v>0.25205479452054796</v>
      </c>
      <c r="U194" s="20">
        <f>_xll.qlInterpolationInterpolate(B3Minterpolation,R194,TRUE)</f>
        <v>2.0299424202981399E-3</v>
      </c>
      <c r="V194" s="197">
        <f>_xll.qlYieldTSDiscount(Discounting,R194,,AllTriggers)</f>
        <v>0.9863109576279665</v>
      </c>
      <c r="W194" s="197">
        <f>_xll.qlYieldTSDiscount(Discounting,S194,,AllTriggers)</f>
        <v>0.98225191580703641</v>
      </c>
      <c r="X194" s="20">
        <f t="shared" si="11"/>
        <v>1.639478321720686E-2</v>
      </c>
      <c r="Y194" s="343">
        <f t="shared" si="12"/>
        <v>5.0942128208052151E-4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42559</v>
      </c>
      <c r="S195" s="141">
        <f>_xll.qlCalendarAdvance(Calendar,R195,$F$1,"mf",,Trigger)</f>
        <v>42653</v>
      </c>
      <c r="T195" s="196">
        <f>_xll.qlDayCounterYearFraction(DayCounter,R195,S195,,,Trigger)</f>
        <v>0.25753424657534246</v>
      </c>
      <c r="U195" s="20">
        <f>_xll.qlInterpolationInterpolate(B3Minterpolation,R195,TRUE)</f>
        <v>2.0303463862493859E-3</v>
      </c>
      <c r="V195" s="197">
        <f>_xll.qlYieldTSDiscount(Discounting,R195,,AllTriggers)</f>
        <v>0.98626659180502885</v>
      </c>
      <c r="W195" s="197">
        <f>_xll.qlYieldTSDiscount(Discounting,S195,,AllTriggers)</f>
        <v>0.98211944048520938</v>
      </c>
      <c r="X195" s="20">
        <f t="shared" si="11"/>
        <v>1.6396478548108929E-2</v>
      </c>
      <c r="Y195" s="343">
        <f t="shared" si="12"/>
        <v>5.205495442286664E-4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42562</v>
      </c>
      <c r="S196" s="141">
        <f>_xll.qlCalendarAdvance(Calendar,R196,$F$1,"mf",,Trigger)</f>
        <v>42654</v>
      </c>
      <c r="T196" s="196">
        <f>_xll.qlDayCounterYearFraction(DayCounter,R196,S196,,,Trigger)</f>
        <v>0.25205479452054796</v>
      </c>
      <c r="U196" s="20">
        <f>_xll.qlInterpolationInterpolate(B3Minterpolation,R196,TRUE)</f>
        <v>2.0315918738523838E-3</v>
      </c>
      <c r="V196" s="197">
        <f>_xll.qlYieldTSDiscount(Discounting,R196,,AllTriggers)</f>
        <v>0.98613356194027635</v>
      </c>
      <c r="W196" s="197">
        <f>_xll.qlYieldTSDiscount(Discounting,S196,,AllTriggers)</f>
        <v>0.98207526906743359</v>
      </c>
      <c r="X196" s="20">
        <f t="shared" ref="X196:X259" si="13">(V196/W196-1)/T196</f>
        <v>1.6394706557983266E-2</v>
      </c>
      <c r="Y196" s="343">
        <f t="shared" ref="Y196:Y259" si="14">LN((1+(U196+X196)*T196)/(1+X196*T196))</f>
        <v>5.0983512263280944E-4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42563</v>
      </c>
      <c r="S197" s="141">
        <f>_xll.qlCalendarAdvance(Calendar,R197,$F$1,"mf",,Trigger)</f>
        <v>42655</v>
      </c>
      <c r="T197" s="196">
        <f>_xll.qlDayCounterYearFraction(DayCounter,R197,S197,,,Trigger)</f>
        <v>0.25205479452054796</v>
      </c>
      <c r="U197" s="20">
        <f>_xll.qlInterpolationInterpolate(B3Minterpolation,R197,TRUE)</f>
        <v>2.0320162011702599E-3</v>
      </c>
      <c r="V197" s="197">
        <f>_xll.qlYieldTSDiscount(Discounting,R197,,AllTriggers)</f>
        <v>0.98608924051760494</v>
      </c>
      <c r="W197" s="197">
        <f>_xll.qlYieldTSDiscount(Discounting,S197,,AllTriggers)</f>
        <v>0.98203109104884256</v>
      </c>
      <c r="X197" s="20">
        <f t="shared" si="13"/>
        <v>1.6394864745999334E-2</v>
      </c>
      <c r="Y197" s="343">
        <f t="shared" si="14"/>
        <v>5.0994156167487781E-4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42564</v>
      </c>
      <c r="S198" s="141">
        <f>_xll.qlCalendarAdvance(Calendar,R198,$F$1,"mf",,Trigger)</f>
        <v>42656</v>
      </c>
      <c r="T198" s="196">
        <f>_xll.qlDayCounterYearFraction(DayCounter,R198,S198,,,Trigger)</f>
        <v>0.25205479452054796</v>
      </c>
      <c r="U198" s="20">
        <f>_xll.qlInterpolationInterpolate(B3Minterpolation,R198,TRUE)</f>
        <v>2.0324440949801357E-3</v>
      </c>
      <c r="V198" s="197">
        <f>_xll.qlYieldTSDiscount(Discounting,R198,,AllTriggers)</f>
        <v>0.98604492969326019</v>
      </c>
      <c r="W198" s="197">
        <f>_xll.qlYieldTSDiscount(Discounting,S198,,AllTriggers)</f>
        <v>0.98198690636211616</v>
      </c>
      <c r="X198" s="20">
        <f t="shared" si="13"/>
        <v>1.6395092818971519E-2</v>
      </c>
      <c r="Y198" s="343">
        <f t="shared" si="14"/>
        <v>5.1004888654738458E-4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42565</v>
      </c>
      <c r="S199" s="141">
        <f>_xll.qlCalendarAdvance(Calendar,R199,$F$1,"mf",,Trigger)</f>
        <v>42657</v>
      </c>
      <c r="T199" s="196">
        <f>_xll.qlDayCounterYearFraction(DayCounter,R199,S199,,,Trigger)</f>
        <v>0.25205479452054796</v>
      </c>
      <c r="U199" s="20">
        <f>_xll.qlInterpolationInterpolate(B3Minterpolation,R199,TRUE)</f>
        <v>2.0328749457421483E-3</v>
      </c>
      <c r="V199" s="197">
        <f>_xll.qlYieldTSDiscount(Discounting,R199,,AllTriggers)</f>
        <v>0.98600062926661824</v>
      </c>
      <c r="W199" s="197">
        <f>_xll.qlYieldTSDiscount(Discounting,S199,,AllTriggers)</f>
        <v>0.98194271493994612</v>
      </c>
      <c r="X199" s="20">
        <f t="shared" si="13"/>
        <v>1.639539024882164E-2</v>
      </c>
      <c r="Y199" s="343">
        <f t="shared" si="14"/>
        <v>5.1015694438483596E-4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42566</v>
      </c>
      <c r="S200" s="141">
        <f>_xll.qlCalendarAdvance(Calendar,R200,$F$1,"mf",,Trigger)</f>
        <v>42660</v>
      </c>
      <c r="T200" s="196">
        <f>_xll.qlDayCounterYearFraction(DayCounter,R200,S200,,,Trigger)</f>
        <v>0.25753424657534246</v>
      </c>
      <c r="U200" s="20">
        <f>_xll.qlInterpolationInterpolate(B3Minterpolation,R200,TRUE)</f>
        <v>2.0333081439164349E-3</v>
      </c>
      <c r="V200" s="197">
        <f>_xll.qlYieldTSDiscount(Discounting,R200,,AllTriggers)</f>
        <v>0.9859563390370919</v>
      </c>
      <c r="W200" s="197">
        <f>_xll.qlYieldTSDiscount(Discounting,S200,,AllTriggers)</f>
        <v>0.98181009958788212</v>
      </c>
      <c r="X200" s="20">
        <f t="shared" si="13"/>
        <v>1.6398038246071354E-2</v>
      </c>
      <c r="Y200" s="343">
        <f t="shared" si="14"/>
        <v>5.2130848692564331E-4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42569</v>
      </c>
      <c r="S201" s="141">
        <f>_xll.qlCalendarAdvance(Calendar,R201,$F$1,"mf",,Trigger)</f>
        <v>42661</v>
      </c>
      <c r="T201" s="196">
        <f>_xll.qlDayCounterYearFraction(DayCounter,R201,S201,,,Trigger)</f>
        <v>0.25205479452054796</v>
      </c>
      <c r="U201" s="20">
        <f>_xll.qlInterpolationInterpolate(B3Minterpolation,R201,TRUE)</f>
        <v>2.0346157275143079E-3</v>
      </c>
      <c r="V201" s="197">
        <f>_xll.qlYieldTSDiscount(Discounting,R201,,AllTriggers)</f>
        <v>0.9858235275258731</v>
      </c>
      <c r="W201" s="197">
        <f>_xll.qlYieldTSDiscount(Discounting,S201,,AllTriggers)</f>
        <v>0.98176588055110725</v>
      </c>
      <c r="X201" s="20">
        <f t="shared" si="13"/>
        <v>1.6397262975530263E-2</v>
      </c>
      <c r="Y201" s="343">
        <f t="shared" si="14"/>
        <v>5.1059344807403962E-4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42570</v>
      </c>
      <c r="S202" s="141">
        <f>_xll.qlCalendarAdvance(Calendar,R202,$F$1,"mf",,Trigger)</f>
        <v>42662</v>
      </c>
      <c r="T202" s="196">
        <f>_xll.qlDayCounterYearFraction(DayCounter,R202,S202,,,Trigger)</f>
        <v>0.25205479452054796</v>
      </c>
      <c r="U202" s="20">
        <f>_xll.qlInterpolationInterpolate(B3Minterpolation,R202,TRUE)</f>
        <v>2.0350522199390603E-3</v>
      </c>
      <c r="V202" s="197">
        <f>_xll.qlYieldTSDiscount(Discounting,R202,,AllTriggers)</f>
        <v>0.98577927607965654</v>
      </c>
      <c r="W202" s="197">
        <f>_xll.qlYieldTSDiscount(Discounting,S202,,AllTriggers)</f>
        <v>0.9817216544425359</v>
      </c>
      <c r="X202" s="20">
        <f t="shared" si="13"/>
        <v>1.6397899268695944E-2</v>
      </c>
      <c r="Y202" s="343">
        <f t="shared" si="14"/>
        <v>5.1070287775542057E-4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42571</v>
      </c>
      <c r="S203" s="141">
        <f>_xll.qlCalendarAdvance(Calendar,R203,$F$1,"mf",,Trigger)</f>
        <v>42663</v>
      </c>
      <c r="T203" s="196">
        <f>_xll.qlDayCounterYearFraction(DayCounter,R203,S203,,,Trigger)</f>
        <v>0.25205479452054796</v>
      </c>
      <c r="U203" s="20">
        <f>_xll.qlInterpolationInterpolate(B3Minterpolation,R203,TRUE)</f>
        <v>2.0354880120767712E-3</v>
      </c>
      <c r="V203" s="197">
        <f>_xll.qlYieldTSDiscount(Discounting,R203,,AllTriggers)</f>
        <v>0.98573503382815986</v>
      </c>
      <c r="W203" s="197">
        <f>_xll.qlYieldTSDiscount(Discounting,S203,,AllTriggers)</f>
        <v>0.98167742119493451</v>
      </c>
      <c r="X203" s="20">
        <f t="shared" si="13"/>
        <v>1.6398601750333877E-2</v>
      </c>
      <c r="Y203" s="343">
        <f t="shared" si="14"/>
        <v>5.1081212321082514E-4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42572</v>
      </c>
      <c r="S204" s="141">
        <f>_xll.qlCalendarAdvance(Calendar,R204,$F$1,"mf",,Trigger)</f>
        <v>42664</v>
      </c>
      <c r="T204" s="196">
        <f>_xll.qlDayCounterYearFraction(DayCounter,R204,S204,,,Trigger)</f>
        <v>0.25205479452054796</v>
      </c>
      <c r="U204" s="20">
        <f>_xll.qlInterpolationInterpolate(B3Minterpolation,R204,TRUE)</f>
        <v>2.0359224943875785E-3</v>
      </c>
      <c r="V204" s="197">
        <f>_xll.qlYieldTSDiscount(Discounting,R204,,AllTriggers)</f>
        <v>0.98569080057101199</v>
      </c>
      <c r="W204" s="197">
        <f>_xll.qlYieldTSDiscount(Discounting,S204,,AllTriggers)</f>
        <v>0.98163318074108241</v>
      </c>
      <c r="X204" s="20">
        <f t="shared" si="13"/>
        <v>1.6399369892385256E-2</v>
      </c>
      <c r="Y204" s="343">
        <f t="shared" si="14"/>
        <v>5.1092103157588786E-4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42573</v>
      </c>
      <c r="S205" s="141">
        <f>_xll.qlCalendarAdvance(Calendar,R205,$F$1,"mf",,Trigger)</f>
        <v>42667</v>
      </c>
      <c r="T205" s="196">
        <f>_xll.qlDayCounterYearFraction(DayCounter,R205,S205,,,Trigger)</f>
        <v>0.25753424657534246</v>
      </c>
      <c r="U205" s="20">
        <f>_xll.qlInterpolationInterpolate(B3Minterpolation,R205,TRUE)</f>
        <v>2.0363550573316183E-3</v>
      </c>
      <c r="V205" s="197">
        <f>_xll.qlYieldTSDiscount(Discounting,R205,,AllTriggers)</f>
        <v>0.9856465761078782</v>
      </c>
      <c r="W205" s="197">
        <f>_xll.qlYieldTSDiscount(Discounting,S205,,AllTriggers)</f>
        <v>0.98150041547000155</v>
      </c>
      <c r="X205" s="20">
        <f t="shared" si="13"/>
        <v>1.6402900382861383E-2</v>
      </c>
      <c r="Y205" s="343">
        <f t="shared" si="14"/>
        <v>5.2208881328003379E-4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42576</v>
      </c>
      <c r="S206" s="141">
        <f>_xll.qlCalendarAdvance(Calendar,R206,$F$1,"mf",,Trigger)</f>
        <v>42668</v>
      </c>
      <c r="T206" s="196">
        <f>_xll.qlDayCounterYearFraction(DayCounter,R206,S206,,,Trigger)</f>
        <v>0.25205479452054796</v>
      </c>
      <c r="U206" s="20">
        <f>_xll.qlInterpolationInterpolate(B3Minterpolation,R206,TRUE)</f>
        <v>2.0376351345645061E-3</v>
      </c>
      <c r="V206" s="197">
        <f>_xll.qlYieldTSDiscount(Discounting,R206,,AllTriggers)</f>
        <v>0.98551395347975113</v>
      </c>
      <c r="W206" s="197">
        <f>_xll.qlYieldTSDiscount(Discounting,S206,,AllTriggers)</f>
        <v>0.98145614551918836</v>
      </c>
      <c r="X206" s="20">
        <f t="shared" si="13"/>
        <v>1.6403088503698912E-2</v>
      </c>
      <c r="Y206" s="343">
        <f t="shared" si="14"/>
        <v>5.1135023685348598E-4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42577</v>
      </c>
      <c r="S207" s="141">
        <f>_xll.qlCalendarAdvance(Calendar,R207,$F$1,"mf",,Trigger)</f>
        <v>42669</v>
      </c>
      <c r="T207" s="196">
        <f>_xll.qlDayCounterYearFraction(DayCounter,R207,S207,,,Trigger)</f>
        <v>0.25205479452054796</v>
      </c>
      <c r="U207" s="20">
        <f>_xll.qlInterpolationInterpolate(B3Minterpolation,R207,TRUE)</f>
        <v>2.0380539246428477E-3</v>
      </c>
      <c r="V207" s="197">
        <f>_xll.qlYieldTSDiscount(Discounting,R207,,AllTriggers)</f>
        <v>0.98546976219004367</v>
      </c>
      <c r="W207" s="197">
        <f>_xll.qlYieldTSDiscount(Discounting,S207,,AllTriggers)</f>
        <v>0.98141186802620795</v>
      </c>
      <c r="X207" s="20">
        <f t="shared" si="13"/>
        <v>1.6404177027065838E-2</v>
      </c>
      <c r="Y207" s="343">
        <f t="shared" si="14"/>
        <v>5.1145516681053084E-4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42578</v>
      </c>
      <c r="S208" s="141">
        <f>_xll.qlCalendarAdvance(Calendar,R208,$F$1,"mf",,Trigger)</f>
        <v>42670</v>
      </c>
      <c r="T208" s="196">
        <f>_xll.qlDayCounterYearFraction(DayCounter,R208,S208,,,Trigger)</f>
        <v>0.25205479452054796</v>
      </c>
      <c r="U208" s="20">
        <f>_xll.qlInterpolationInterpolate(B3Minterpolation,R208,TRUE)</f>
        <v>2.0384677476551075E-3</v>
      </c>
      <c r="V208" s="197">
        <f>_xll.qlYieldTSDiscount(Discounting,R208,,AllTriggers)</f>
        <v>0.98542557869321523</v>
      </c>
      <c r="W208" s="197">
        <f>_xll.qlYieldTSDiscount(Discounting,S208,,AllTriggers)</f>
        <v>0.98136758292391413</v>
      </c>
      <c r="X208" s="20">
        <f t="shared" si="13"/>
        <v>1.6405328042564744E-2</v>
      </c>
      <c r="Y208" s="343">
        <f t="shared" si="14"/>
        <v>5.1155884249684189E-4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42579</v>
      </c>
      <c r="S209" s="141">
        <f>_xll.qlCalendarAdvance(Calendar,R209,$F$1,"mf",,Trigger)</f>
        <v>42671</v>
      </c>
      <c r="T209" s="196">
        <f>_xll.qlDayCounterYearFraction(DayCounter,R209,S209,,,Trigger)</f>
        <v>0.25205479452054796</v>
      </c>
      <c r="U209" s="20">
        <f>_xll.qlInterpolationInterpolate(B3Minterpolation,R209,TRUE)</f>
        <v>2.038875994061422E-3</v>
      </c>
      <c r="V209" s="197">
        <f>_xll.qlYieldTSDiscount(Discounting,R209,,AllTriggers)</f>
        <v>0.98538140278914665</v>
      </c>
      <c r="W209" s="197">
        <f>_xll.qlYieldTSDiscount(Discounting,S209,,AllTriggers)</f>
        <v>0.98132329014517372</v>
      </c>
      <c r="X209" s="20">
        <f t="shared" si="13"/>
        <v>1.6406541022154435E-2</v>
      </c>
      <c r="Y209" s="343">
        <f t="shared" si="14"/>
        <v>5.1166111105093782E-4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42580</v>
      </c>
      <c r="S210" s="141">
        <f>_xll.qlCalendarAdvance(Calendar,R210,$F$1,"mf",,Trigger)</f>
        <v>42674</v>
      </c>
      <c r="T210" s="196">
        <f>_xll.qlDayCounterYearFraction(DayCounter,R210,S210,,,Trigger)</f>
        <v>0.25753424657534246</v>
      </c>
      <c r="U210" s="20">
        <f>_xll.qlInterpolationInterpolate(B3Minterpolation,R210,TRUE)</f>
        <v>2.0392780543219283E-3</v>
      </c>
      <c r="V210" s="197">
        <f>_xll.qlYieldTSDiscount(Discounting,R210,,AllTriggers)</f>
        <v>0.98533723427775455</v>
      </c>
      <c r="W210" s="197">
        <f>_xll.qlYieldTSDiscount(Discounting,S210,,AllTriggers)</f>
        <v>0.98119036507912682</v>
      </c>
      <c r="X210" s="20">
        <f t="shared" si="13"/>
        <v>1.6410887672866088E-2</v>
      </c>
      <c r="Y210" s="343">
        <f t="shared" si="14"/>
        <v>5.2283695633279816E-4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42584</v>
      </c>
      <c r="S211" s="141">
        <f>_xll.qlCalendarAdvance(Calendar,R211,$F$1,"mf",,Trigger)</f>
        <v>42676</v>
      </c>
      <c r="T211" s="196">
        <f>_xll.qlDayCounterYearFraction(DayCounter,R211,S211,,,Trigger)</f>
        <v>0.25205479452054796</v>
      </c>
      <c r="U211" s="20">
        <f>_xll.qlInterpolationInterpolate(B3Minterpolation,R211,TRUE)</f>
        <v>2.0408122431086135E-3</v>
      </c>
      <c r="V211" s="197">
        <f>_xll.qlYieldTSDiscount(Discounting,R211,,AllTriggers)</f>
        <v>0.98516063015854194</v>
      </c>
      <c r="W211" s="197">
        <f>_xll.qlYieldTSDiscount(Discounting,S211,,AllTriggers)</f>
        <v>0.98110170875598057</v>
      </c>
      <c r="X211" s="20">
        <f t="shared" si="13"/>
        <v>1.6413516900273453E-2</v>
      </c>
      <c r="Y211" s="343">
        <f t="shared" si="14"/>
        <v>5.1214599669241608E-4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42585</v>
      </c>
      <c r="S212" s="141">
        <f>_xll.qlCalendarAdvance(Calendar,R212,$F$1,"mf",,Trigger)</f>
        <v>42677</v>
      </c>
      <c r="T212" s="196">
        <f>_xll.qlDayCounterYearFraction(DayCounter,R212,S212,,,Trigger)</f>
        <v>0.25205479452054796</v>
      </c>
      <c r="U212" s="20">
        <f>_xll.qlInterpolationInterpolate(B3Minterpolation,R212,TRUE)</f>
        <v>2.0411742295421346E-3</v>
      </c>
      <c r="V212" s="197">
        <f>_xll.qlYieldTSDiscount(Discounting,R212,,AllTriggers)</f>
        <v>0.98511649561053893</v>
      </c>
      <c r="W212" s="197">
        <f>_xll.qlYieldTSDiscount(Discounting,S212,,AllTriggers)</f>
        <v>0.98105736850946079</v>
      </c>
      <c r="X212" s="20">
        <f t="shared" si="13"/>
        <v>1.6415090575720062E-2</v>
      </c>
      <c r="Y212" s="343">
        <f t="shared" si="14"/>
        <v>5.1223661237356473E-4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42586</v>
      </c>
      <c r="S213" s="141">
        <f>_xll.qlCalendarAdvance(Calendar,R213,$F$1,"mf",,Trigger)</f>
        <v>42678</v>
      </c>
      <c r="T213" s="196">
        <f>_xll.qlDayCounterYearFraction(DayCounter,R213,S213,,,Trigger)</f>
        <v>0.25205479452054796</v>
      </c>
      <c r="U213" s="20">
        <f>_xll.qlInterpolationInterpolate(B3Minterpolation,R213,TRUE)</f>
        <v>2.0415263725906694E-3</v>
      </c>
      <c r="V213" s="197">
        <f>_xll.qlYieldTSDiscount(Discounting,R213,,AllTriggers)</f>
        <v>0.98507236725546587</v>
      </c>
      <c r="W213" s="197">
        <f>_xll.qlYieldTSDiscount(Discounting,S213,,AllTriggers)</f>
        <v>0.98101302011691127</v>
      </c>
      <c r="X213" s="20">
        <f t="shared" si="13"/>
        <v>1.6416722519045801E-2</v>
      </c>
      <c r="Y213" s="343">
        <f t="shared" si="14"/>
        <v>5.1232475090046083E-4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42587</v>
      </c>
      <c r="S214" s="141">
        <f>_xll.qlCalendarAdvance(Calendar,R214,$F$1,"mf",,Trigger)</f>
        <v>42681</v>
      </c>
      <c r="T214" s="196">
        <f>_xll.qlDayCounterYearFraction(DayCounter,R214,S214,,,Trigger)</f>
        <v>0.25753424657534246</v>
      </c>
      <c r="U214" s="20">
        <f>_xll.qlInterpolationInterpolate(B3Minterpolation,R214,TRUE)</f>
        <v>2.0418680627143555E-3</v>
      </c>
      <c r="V214" s="197">
        <f>_xll.qlYieldTSDiscount(Discounting,R214,,AllTriggers)</f>
        <v>0.9850282448934905</v>
      </c>
      <c r="W214" s="197">
        <f>_xll.qlYieldTSDiscount(Discounting,S214,,AllTriggers)</f>
        <v>0.98087992539281699</v>
      </c>
      <c r="X214" s="20">
        <f t="shared" si="13"/>
        <v>1.6421822836824324E-2</v>
      </c>
      <c r="Y214" s="343">
        <f t="shared" si="14"/>
        <v>5.2349934992226854E-4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42590</v>
      </c>
      <c r="S215" s="141">
        <f>_xll.qlCalendarAdvance(Calendar,R215,$F$1,"mf",,Trigger)</f>
        <v>42682</v>
      </c>
      <c r="T215" s="196">
        <f>_xll.qlDayCounterYearFraction(DayCounter,R215,S215,,,Trigger)</f>
        <v>0.25205479452054796</v>
      </c>
      <c r="U215" s="20">
        <f>_xll.qlInterpolationInterpolate(B3Minterpolation,R215,TRUE)</f>
        <v>2.0428243201376889E-3</v>
      </c>
      <c r="V215" s="197">
        <f>_xll.qlYieldTSDiscount(Discounting,R215,,AllTriggers)</f>
        <v>0.98489591176836311</v>
      </c>
      <c r="W215" s="197">
        <f>_xll.qlYieldTSDiscount(Discounting,S215,,AllTriggers)</f>
        <v>0.98083554374594339</v>
      </c>
      <c r="X215" s="20">
        <f t="shared" si="13"/>
        <v>1.6423822410714564E-2</v>
      </c>
      <c r="Y215" s="343">
        <f t="shared" si="14"/>
        <v>5.1264947631473451E-4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42591</v>
      </c>
      <c r="S216" s="141">
        <f>_xll.qlCalendarAdvance(Calendar,R216,$F$1,"mf",,Trigger)</f>
        <v>42683</v>
      </c>
      <c r="T216" s="196">
        <f>_xll.qlDayCounterYearFraction(DayCounter,R216,S216,,,Trigger)</f>
        <v>0.25205479452054796</v>
      </c>
      <c r="U216" s="20">
        <f>_xll.qlInterpolationInterpolate(B3Minterpolation,R216,TRUE)</f>
        <v>2.0431181031633485E-3</v>
      </c>
      <c r="V216" s="197">
        <f>_xll.qlYieldTSDiscount(Discounting,R216,,AllTriggers)</f>
        <v>0.98485181138117017</v>
      </c>
      <c r="W216" s="197">
        <f>_xll.qlYieldTSDiscount(Discounting,S216,,AllTriggers)</f>
        <v>0.98079115361800029</v>
      </c>
      <c r="X216" s="20">
        <f t="shared" si="13"/>
        <v>1.6425737773127391E-2</v>
      </c>
      <c r="Y216" s="343">
        <f t="shared" si="14"/>
        <v>5.1272293621167835E-4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42592</v>
      </c>
      <c r="S217" s="141">
        <f>_xll.qlCalendarAdvance(Calendar,R217,$F$1,"mf",,Trigger)</f>
        <v>42684</v>
      </c>
      <c r="T217" s="196">
        <f>_xll.qlDayCounterYearFraction(DayCounter,R217,S217,,,Trigger)</f>
        <v>0.25205479452054796</v>
      </c>
      <c r="U217" s="20">
        <f>_xll.qlInterpolationInterpolate(B3Minterpolation,R217,TRUE)</f>
        <v>2.043398385564844E-3</v>
      </c>
      <c r="V217" s="197">
        <f>_xll.qlYieldTSDiscount(Discounting,R217,,AllTriggers)</f>
        <v>0.98480771598844952</v>
      </c>
      <c r="W217" s="197">
        <f>_xll.qlYieldTSDiscount(Discounting,S217,,AllTriggers)</f>
        <v>0.98074675494201713</v>
      </c>
      <c r="X217" s="20">
        <f t="shared" si="13"/>
        <v>1.6427708235306142E-2</v>
      </c>
      <c r="Y217" s="343">
        <f t="shared" si="14"/>
        <v>5.1279300181389994E-4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42593</v>
      </c>
      <c r="S218" s="141">
        <f>_xll.qlCalendarAdvance(Calendar,R218,$F$1,"mf",,Trigger)</f>
        <v>42685</v>
      </c>
      <c r="T218" s="196">
        <f>_xll.qlDayCounterYearFraction(DayCounter,R218,S218,,,Trigger)</f>
        <v>0.25205479452054796</v>
      </c>
      <c r="U218" s="20">
        <f>_xll.qlInterpolationInterpolate(B3Minterpolation,R218,TRUE)</f>
        <v>2.0436645578023127E-3</v>
      </c>
      <c r="V218" s="197">
        <f>_xll.qlYieldTSDiscount(Discounting,R218,,AllTriggers)</f>
        <v>0.98476362539058349</v>
      </c>
      <c r="W218" s="197">
        <f>_xll.qlYieldTSDiscount(Discounting,S218,,AllTriggers)</f>
        <v>0.98070234765103637</v>
      </c>
      <c r="X218" s="20">
        <f t="shared" si="13"/>
        <v>1.6429733269236937E-2</v>
      </c>
      <c r="Y218" s="343">
        <f t="shared" si="14"/>
        <v>5.1285952026752628E-4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42594</v>
      </c>
      <c r="S219" s="141">
        <f>_xll.qlCalendarAdvance(Calendar,R219,$F$1,"mf",,Trigger)</f>
        <v>42688</v>
      </c>
      <c r="T219" s="196">
        <f>_xll.qlDayCounterYearFraction(DayCounter,R219,S219,,,Trigger)</f>
        <v>0.25753424657534246</v>
      </c>
      <c r="U219" s="20">
        <f>_xll.qlInterpolationInterpolate(B3Minterpolation,R219,TRUE)</f>
        <v>2.0439160103358912E-3</v>
      </c>
      <c r="V219" s="197">
        <f>_xll.qlYieldTSDiscount(Discounting,R219,,AllTriggers)</f>
        <v>0.98471953938798995</v>
      </c>
      <c r="W219" s="197">
        <f>_xll.qlYieldTSDiscount(Discounting,S219,,AllTriggers)</f>
        <v>0.98056907341871957</v>
      </c>
      <c r="X219" s="20">
        <f t="shared" si="13"/>
        <v>1.6435528600449816E-2</v>
      </c>
      <c r="Y219" s="343">
        <f t="shared" si="14"/>
        <v>5.2402242904581707E-4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42597</v>
      </c>
      <c r="S220" s="141">
        <f>_xll.qlCalendarAdvance(Calendar,R220,$F$1,"mf",,Trigger)</f>
        <v>42689</v>
      </c>
      <c r="T220" s="196">
        <f>_xll.qlDayCounterYearFraction(DayCounter,R220,S220,,,Trigger)</f>
        <v>0.25205479452054796</v>
      </c>
      <c r="U220" s="20">
        <f>_xll.qlInterpolationInterpolate(B3Minterpolation,R220,TRUE)</f>
        <v>2.0445759543146562E-3</v>
      </c>
      <c r="V220" s="197">
        <f>_xll.qlYieldTSDiscount(Discounting,R220,,AllTriggers)</f>
        <v>0.98458730695655938</v>
      </c>
      <c r="W220" s="197">
        <f>_xll.qlYieldTSDiscount(Discounting,S220,,AllTriggers)</f>
        <v>0.9805246309984228</v>
      </c>
      <c r="X220" s="20">
        <f t="shared" si="13"/>
        <v>1.64383685622277E-2</v>
      </c>
      <c r="Y220" s="343">
        <f t="shared" si="14"/>
        <v>5.1308706552662738E-4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42598</v>
      </c>
      <c r="S221" s="141">
        <f>_xll.qlCalendarAdvance(Calendar,R221,$F$1,"mf",,Trigger)</f>
        <v>42690</v>
      </c>
      <c r="T221" s="196">
        <f>_xll.qlDayCounterYearFraction(DayCounter,R221,S221,,,Trigger)</f>
        <v>0.25205479452054796</v>
      </c>
      <c r="U221" s="20">
        <f>_xll.qlInterpolationInterpolate(B3Minterpolation,R221,TRUE)</f>
        <v>2.0447624326340444E-3</v>
      </c>
      <c r="V221" s="197">
        <f>_xll.qlYieldTSDiscount(Discounting,R221,,AllTriggers)</f>
        <v>0.98454323733994931</v>
      </c>
      <c r="W221" s="197">
        <f>_xll.qlYieldTSDiscount(Discounting,S221,,AllTriggers)</f>
        <v>0.98048017962852863</v>
      </c>
      <c r="X221" s="20">
        <f t="shared" si="13"/>
        <v>1.6440658534740523E-2</v>
      </c>
      <c r="Y221" s="343">
        <f t="shared" si="14"/>
        <v>5.1313355544066182E-4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42599</v>
      </c>
      <c r="S222" s="141">
        <f>_xll.qlCalendarAdvance(Calendar,R222,$F$1,"mf",,Trigger)</f>
        <v>42691</v>
      </c>
      <c r="T222" s="196">
        <f>_xll.qlDayCounterYearFraction(DayCounter,R222,S222,,,Trigger)</f>
        <v>0.25205479452054796</v>
      </c>
      <c r="U222" s="20">
        <f>_xll.qlInterpolationInterpolate(B3Minterpolation,R222,TRUE)</f>
        <v>2.0449311435502275E-3</v>
      </c>
      <c r="V222" s="197">
        <f>_xll.qlYieldTSDiscount(Discounting,R222,,AllTriggers)</f>
        <v>0.98449917132123699</v>
      </c>
      <c r="W222" s="197">
        <f>_xll.qlYieldTSDiscount(Discounting,S222,,AllTriggers)</f>
        <v>0.980435719242155</v>
      </c>
      <c r="X222" s="20">
        <f t="shared" si="13"/>
        <v>1.6442999910943272E-2</v>
      </c>
      <c r="Y222" s="343">
        <f t="shared" si="14"/>
        <v>5.1317558109250912E-4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42600</v>
      </c>
      <c r="S223" s="141">
        <f>_xll.qlCalendarAdvance(Calendar,R223,$F$1,"mf",,Trigger)</f>
        <v>42692</v>
      </c>
      <c r="T223" s="196">
        <f>_xll.qlDayCounterYearFraction(DayCounter,R223,S223,,,Trigger)</f>
        <v>0.25205479452054796</v>
      </c>
      <c r="U223" s="20">
        <f>_xll.qlInterpolationInterpolate(B3Minterpolation,R223,TRUE)</f>
        <v>2.0450814775233427E-3</v>
      </c>
      <c r="V223" s="197">
        <f>_xll.qlYieldTSDiscount(Discounting,R223,,AllTriggers)</f>
        <v>0.98445510870105446</v>
      </c>
      <c r="W223" s="197">
        <f>_xll.qlYieldTSDiscount(Discounting,S223,,AllTriggers)</f>
        <v>0.98039124977243242</v>
      </c>
      <c r="X223" s="20">
        <f t="shared" si="13"/>
        <v>1.6445392162826478E-2</v>
      </c>
      <c r="Y223" s="343">
        <f t="shared" si="14"/>
        <v>5.1321298963197227E-4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42601</v>
      </c>
      <c r="S224" s="141">
        <f>_xll.qlCalendarAdvance(Calendar,R224,$F$1,"mf",,Trigger)</f>
        <v>42695</v>
      </c>
      <c r="T224" s="196">
        <f>_xll.qlDayCounterYearFraction(DayCounter,R224,S224,,,Trigger)</f>
        <v>0.25753424657534246</v>
      </c>
      <c r="U224" s="20">
        <f>_xll.qlInterpolationInterpolate(B3Minterpolation,R224,TRUE)</f>
        <v>2.0452128250135265E-3</v>
      </c>
      <c r="V224" s="197">
        <f>_xll.qlYieldTSDiscount(Discounting,R224,,AllTriggers)</f>
        <v>0.98441104928006962</v>
      </c>
      <c r="W224" s="197">
        <f>_xll.qlYieldTSDiscount(Discounting,S224,,AllTriggers)</f>
        <v>0.98025778619466619</v>
      </c>
      <c r="X224" s="20">
        <f t="shared" si="13"/>
        <v>1.6451827693128373E-2</v>
      </c>
      <c r="Y224" s="343">
        <f t="shared" si="14"/>
        <v>5.2435263013890304E-4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42604</v>
      </c>
      <c r="S225" s="141">
        <f>_xll.qlCalendarAdvance(Calendar,R225,$F$1,"mf",,Trigger)</f>
        <v>42696</v>
      </c>
      <c r="T225" s="196">
        <f>_xll.qlDayCounterYearFraction(DayCounter,R225,S225,,,Trigger)</f>
        <v>0.25205479452054796</v>
      </c>
      <c r="U225" s="20">
        <f>_xll.qlInterpolationInterpolate(B3Minterpolation,R225,TRUE)</f>
        <v>2.0454868531878624E-3</v>
      </c>
      <c r="V225" s="197">
        <f>_xll.qlYieldTSDiscount(Discounting,R225,,AllTriggers)</f>
        <v>0.98427888821951259</v>
      </c>
      <c r="W225" s="197">
        <f>_xll.qlYieldTSDiscount(Discounting,S225,,AllTriggers)</f>
        <v>0.9802132797231059</v>
      </c>
      <c r="X225" s="20">
        <f t="shared" si="13"/>
        <v>1.6455459367050184E-2</v>
      </c>
      <c r="Y225" s="343">
        <f t="shared" si="14"/>
        <v>5.1331339569246344E-4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42605</v>
      </c>
      <c r="S226" s="141">
        <f>_xll.qlCalendarAdvance(Calendar,R226,$F$1,"mf",,Trigger)</f>
        <v>42697</v>
      </c>
      <c r="T226" s="196">
        <f>_xll.qlDayCounterYearFraction(DayCounter,R226,S226,,,Trigger)</f>
        <v>0.25205479452054796</v>
      </c>
      <c r="U226" s="20">
        <f>_xll.qlInterpolationInterpolate(B3Minterpolation,R226,TRUE)</f>
        <v>2.0455361593476923E-3</v>
      </c>
      <c r="V226" s="197">
        <f>_xll.qlYieldTSDiscount(Discounting,R226,,AllTriggers)</f>
        <v>0.98423483960270863</v>
      </c>
      <c r="W226" s="197">
        <f>_xll.qlYieldTSDiscount(Discounting,S226,,AllTriggers)</f>
        <v>0.98016876383403895</v>
      </c>
      <c r="X226" s="20">
        <f t="shared" si="13"/>
        <v>1.6458098077251734E-2</v>
      </c>
      <c r="Y226" s="343">
        <f t="shared" si="14"/>
        <v>5.1332542594603443E-4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42606</v>
      </c>
      <c r="S227" s="141">
        <f>_xll.qlCalendarAdvance(Calendar,R227,$F$1,"mf",,Trigger)</f>
        <v>42698</v>
      </c>
      <c r="T227" s="196">
        <f>_xll.qlDayCounterYearFraction(DayCounter,R227,S227,,,Trigger)</f>
        <v>0.25205479452054796</v>
      </c>
      <c r="U227" s="20">
        <f>_xll.qlInterpolationInterpolate(B3Minterpolation,R227,TRUE)</f>
        <v>2.0455634313252761E-3</v>
      </c>
      <c r="V227" s="197">
        <f>_xll.qlYieldTSDiscount(Discounting,R227,,AllTriggers)</f>
        <v>0.98419079318897584</v>
      </c>
      <c r="W227" s="197">
        <f>_xll.qlYieldTSDiscount(Discounting,S227,,AllTriggers)</f>
        <v>0.98012423846067176</v>
      </c>
      <c r="X227" s="20">
        <f t="shared" si="13"/>
        <v>1.6460784495103336E-2</v>
      </c>
      <c r="Y227" s="343">
        <f t="shared" si="14"/>
        <v>5.1333192200270184E-4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42607</v>
      </c>
      <c r="S228" s="141">
        <f>_xll.qlCalendarAdvance(Calendar,R228,$F$1,"mf",,Trigger)</f>
        <v>42699</v>
      </c>
      <c r="T228" s="196">
        <f>_xll.qlDayCounterYearFraction(DayCounter,R228,S228,,,Trigger)</f>
        <v>0.25205479452054796</v>
      </c>
      <c r="U228" s="20">
        <f>_xll.qlInterpolationInterpolate(B3Minterpolation,R228,TRUE)</f>
        <v>2.0455680595807507E-3</v>
      </c>
      <c r="V228" s="197">
        <f>_xll.qlYieldTSDiscount(Discounting,R228,,AllTriggers)</f>
        <v>0.98414674877919583</v>
      </c>
      <c r="W228" s="197">
        <f>_xll.qlYieldTSDiscount(Discounting,S228,,AllTriggers)</f>
        <v>0.98007970353622331</v>
      </c>
      <c r="X228" s="20">
        <f t="shared" si="13"/>
        <v>1.6463518092599921E-2</v>
      </c>
      <c r="Y228" s="343">
        <f t="shared" si="14"/>
        <v>5.1333273101738033E-4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42608</v>
      </c>
      <c r="S229" s="141">
        <f>_xll.qlCalendarAdvance(Calendar,R229,$F$1,"mf",,Trigger)</f>
        <v>42702</v>
      </c>
      <c r="T229" s="196">
        <f>_xll.qlDayCounterYearFraction(DayCounter,R229,S229,,,Trigger)</f>
        <v>0.25753424657534246</v>
      </c>
      <c r="U229" s="20">
        <f>_xll.qlInterpolationInterpolate(B3Minterpolation,R229,TRUE)</f>
        <v>2.0455494345742531E-3</v>
      </c>
      <c r="V229" s="197">
        <f>_xll.qlYieldTSDiscount(Discounting,R229,,AllTriggers)</f>
        <v>0.98410270617428597</v>
      </c>
      <c r="W229" s="197">
        <f>_xll.qlYieldTSDiscount(Discounting,S229,,AllTriggers)</f>
        <v>0.97994604078877157</v>
      </c>
      <c r="X229" s="20">
        <f t="shared" si="13"/>
        <v>1.647054284669788E-2</v>
      </c>
      <c r="Y229" s="343">
        <f t="shared" si="14"/>
        <v>5.2443639128082347E-4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42611</v>
      </c>
      <c r="S230" s="141">
        <f>_xll.qlCalendarAdvance(Calendar,R230,$F$1,"mf",,Trigger)</f>
        <v>42703</v>
      </c>
      <c r="T230" s="196">
        <f>_xll.qlDayCounterYearFraction(DayCounter,R230,S230,,,Trigger)</f>
        <v>0.25205479452054796</v>
      </c>
      <c r="U230" s="20">
        <f>_xll.qlInterpolationInterpolate(B3Minterpolation,R230,TRUE)</f>
        <v>2.0453479445842987E-3</v>
      </c>
      <c r="V230" s="197">
        <f>_xll.qlYieldTSDiscount(Discounting,R230,,AllTriggers)</f>
        <v>0.98397058719848374</v>
      </c>
      <c r="W230" s="197">
        <f>_xll.qlYieldTSDiscount(Discounting,S230,,AllTriggers)</f>
        <v>0.97990146699244263</v>
      </c>
      <c r="X230" s="20">
        <f t="shared" si="13"/>
        <v>1.6474913718970901E-2</v>
      </c>
      <c r="Y230" s="343">
        <f t="shared" si="14"/>
        <v>5.1327603978472815E-4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42612</v>
      </c>
      <c r="S231" s="141">
        <f>_xll.qlCalendarAdvance(Calendar,R231,$F$1,"mf",,Trigger)</f>
        <v>42704</v>
      </c>
      <c r="T231" s="196">
        <f>_xll.qlDayCounterYearFraction(DayCounter,R231,S231,,,Trigger)</f>
        <v>0.25205479452054796</v>
      </c>
      <c r="U231" s="20">
        <f>_xll.qlInterpolationInterpolate(B3Minterpolation,R231,TRUE)</f>
        <v>2.0452302111312829E-3</v>
      </c>
      <c r="V231" s="197">
        <f>_xll.qlYieldTSDiscount(Discounting,R231,,AllTriggers)</f>
        <v>0.98392654982293926</v>
      </c>
      <c r="W231" s="197">
        <f>_xll.qlYieldTSDiscount(Discounting,S231,,AllTriggers)</f>
        <v>0.97985688331131804</v>
      </c>
      <c r="X231" s="20">
        <f t="shared" si="13"/>
        <v>1.6477875294642834E-2</v>
      </c>
      <c r="Y231" s="343">
        <f t="shared" si="14"/>
        <v>5.1324612094195304E-4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42613</v>
      </c>
      <c r="S232" s="141">
        <f>_xll.qlCalendarAdvance(Calendar,R232,$F$1,"mf",,Trigger)</f>
        <v>42704</v>
      </c>
      <c r="T232" s="196">
        <f>_xll.qlDayCounterYearFraction(DayCounter,R232,S232,,,Trigger)</f>
        <v>0.24931506849315069</v>
      </c>
      <c r="U232" s="20">
        <f>_xll.qlInterpolationInterpolate(B3Minterpolation,R232,TRUE)</f>
        <v>2.0450861767169802E-3</v>
      </c>
      <c r="V232" s="197">
        <f>_xll.qlYieldTSDiscount(Discounting,R232,,AllTriggers)</f>
        <v>0.98388251325738552</v>
      </c>
      <c r="W232" s="197">
        <f>_xll.qlYieldTSDiscount(Discounting,S232,,AllTriggers)</f>
        <v>0.97985688331131804</v>
      </c>
      <c r="X232" s="20">
        <f t="shared" si="13"/>
        <v>1.6478689644367807E-2</v>
      </c>
      <c r="Y232" s="343">
        <f t="shared" si="14"/>
        <v>5.0765574617565759E-4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42614</v>
      </c>
      <c r="S233" s="141">
        <f>_xll.qlCalendarAdvance(Calendar,R233,$F$1,"mf",,Trigger)</f>
        <v>42705</v>
      </c>
      <c r="T233" s="196">
        <f>_xll.qlDayCounterYearFraction(DayCounter,R233,S233,,,Trigger)</f>
        <v>0.24931506849315069</v>
      </c>
      <c r="U233" s="20">
        <f>_xll.qlInterpolationInterpolate(B3Minterpolation,R233,TRUE)</f>
        <v>2.0449152318015276E-3</v>
      </c>
      <c r="V233" s="197">
        <f>_xll.qlYieldTSDiscount(Discounting,R233,,AllTriggers)</f>
        <v>0.98383847730295348</v>
      </c>
      <c r="W233" s="197">
        <f>_xll.qlYieldTSDiscount(Discounting,S233,,AllTriggers)</f>
        <v>0.97981228967869316</v>
      </c>
      <c r="X233" s="20">
        <f t="shared" si="13"/>
        <v>1.6481722557678633E-2</v>
      </c>
      <c r="Y233" s="343">
        <f t="shared" si="14"/>
        <v>5.0761294078814363E-4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42615</v>
      </c>
      <c r="S234" s="141">
        <f>_xll.qlCalendarAdvance(Calendar,R234,$F$1,"mf",,Trigger)</f>
        <v>42706</v>
      </c>
      <c r="T234" s="196">
        <f>_xll.qlDayCounterYearFraction(DayCounter,R234,S234,,,Trigger)</f>
        <v>0.24931506849315069</v>
      </c>
      <c r="U234" s="20">
        <f>_xll.qlInterpolationInterpolate(B3Minterpolation,R234,TRUE)</f>
        <v>2.0447167668450617E-3</v>
      </c>
      <c r="V234" s="197">
        <f>_xll.qlYieldTSDiscount(Discounting,R234,,AllTriggers)</f>
        <v>0.98379444176080977</v>
      </c>
      <c r="W234" s="197">
        <f>_xll.qlYieldTSDiscount(Discounting,S234,,AllTriggers)</f>
        <v>0.97976768602787589</v>
      </c>
      <c r="X234" s="20">
        <f t="shared" si="13"/>
        <v>1.6484798616102619E-2</v>
      </c>
      <c r="Y234" s="343">
        <f t="shared" si="14"/>
        <v>5.0756330041708232E-4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42618</v>
      </c>
      <c r="S235" s="141">
        <f>_xll.qlCalendarAdvance(Calendar,R235,$F$1,"mf",,Trigger)</f>
        <v>42709</v>
      </c>
      <c r="T235" s="196">
        <f>_xll.qlDayCounterYearFraction(DayCounter,R235,S235,,,Trigger)</f>
        <v>0.24931506849315069</v>
      </c>
      <c r="U235" s="20">
        <f>_xll.qlInterpolationInterpolate(B3Minterpolation,R235,TRUE)</f>
        <v>2.0439501563309561E-3</v>
      </c>
      <c r="V235" s="197">
        <f>_xll.qlYieldTSDiscount(Discounting,R235,,AllTriggers)</f>
        <v>0.98366233562030836</v>
      </c>
      <c r="W235" s="197">
        <f>_xll.qlYieldTSDiscount(Discounting,S235,,AllTriggers)</f>
        <v>0.97963381429954</v>
      </c>
      <c r="X235" s="20">
        <f t="shared" si="13"/>
        <v>1.649428032421545E-2</v>
      </c>
      <c r="Y235" s="343">
        <f t="shared" si="14"/>
        <v>5.073718575547303E-4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42619</v>
      </c>
      <c r="S236" s="141">
        <f>_xll.qlCalendarAdvance(Calendar,R236,$F$1,"mf",,Trigger)</f>
        <v>42710</v>
      </c>
      <c r="T236" s="196">
        <f>_xll.qlDayCounterYearFraction(DayCounter,R236,S236,,,Trigger)</f>
        <v>0.24931506849315069</v>
      </c>
      <c r="U236" s="20">
        <f>_xll.qlInterpolationInterpolate(B3Minterpolation,R236,TRUE)</f>
        <v>2.043635515811808E-3</v>
      </c>
      <c r="V236" s="197">
        <f>_xll.qlYieldTSDiscount(Discounting,R236,,AllTriggers)</f>
        <v>0.98361829973969583</v>
      </c>
      <c r="W236" s="197">
        <f>_xll.qlYieldTSDiscount(Discounting,S236,,AllTriggers)</f>
        <v>0.97958916990928713</v>
      </c>
      <c r="X236" s="20">
        <f t="shared" si="13"/>
        <v>1.649752362524954E-2</v>
      </c>
      <c r="Y236" s="343">
        <f t="shared" si="14"/>
        <v>5.0729336540532028E-4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42620</v>
      </c>
      <c r="S237" s="141">
        <f>_xll.qlCalendarAdvance(Calendar,R237,$F$1,"mf",,Trigger)</f>
        <v>42711</v>
      </c>
      <c r="T237" s="196">
        <f>_xll.qlDayCounterYearFraction(DayCounter,R237,S237,,,Trigger)</f>
        <v>0.24931506849315069</v>
      </c>
      <c r="U237" s="20">
        <f>_xll.qlInterpolationInterpolate(B3Minterpolation,R237,TRUE)</f>
        <v>2.0432903075523322E-3</v>
      </c>
      <c r="V237" s="197">
        <f>_xll.qlYieldTSDiscount(Discounting,R237,,AllTriggers)</f>
        <v>0.98357426327773878</v>
      </c>
      <c r="W237" s="197">
        <f>_xll.qlYieldTSDiscount(Discounting,S237,,AllTriggers)</f>
        <v>0.97954451516757257</v>
      </c>
      <c r="X237" s="20">
        <f t="shared" si="13"/>
        <v>1.6500807402474182E-2</v>
      </c>
      <c r="Y237" s="343">
        <f t="shared" si="14"/>
        <v>5.0720728235408073E-4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42621</v>
      </c>
      <c r="S238" s="141">
        <f>_xll.qlCalendarAdvance(Calendar,R238,$F$1,"mf",,Trigger)</f>
        <v>42712</v>
      </c>
      <c r="T238" s="196">
        <f>_xll.qlDayCounterYearFraction(DayCounter,R238,S238,,,Trigger)</f>
        <v>0.24931506849315069</v>
      </c>
      <c r="U238" s="20">
        <f>_xll.qlInterpolationInterpolate(B3Minterpolation,R238,TRUE)</f>
        <v>2.0429139220126649E-3</v>
      </c>
      <c r="V238" s="197">
        <f>_xll.qlYieldTSDiscount(Discounting,R238,,AllTriggers)</f>
        <v>0.98353022603581719</v>
      </c>
      <c r="W238" s="197">
        <f>_xll.qlYieldTSDiscount(Discounting,S238,,AllTriggers)</f>
        <v>0.97949985000778084</v>
      </c>
      <c r="X238" s="20">
        <f t="shared" si="13"/>
        <v>1.6504131122101657E-2</v>
      </c>
      <c r="Y238" s="343">
        <f t="shared" si="14"/>
        <v>5.0711345721917345E-4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42622</v>
      </c>
      <c r="S239" s="141">
        <f>_xll.qlCalendarAdvance(Calendar,R239,$F$1,"mf",,Trigger)</f>
        <v>42713</v>
      </c>
      <c r="T239" s="196">
        <f>_xll.qlDayCounterYearFraction(DayCounter,R239,S239,,,Trigger)</f>
        <v>0.24931506849315069</v>
      </c>
      <c r="U239" s="20">
        <f>_xll.qlInterpolationInterpolate(B3Minterpolation,R239,TRUE)</f>
        <v>2.0425057496529439E-3</v>
      </c>
      <c r="V239" s="197">
        <f>_xll.qlYieldTSDiscount(Discounting,R239,,AllTriggers)</f>
        <v>0.98348618781534725</v>
      </c>
      <c r="W239" s="197">
        <f>_xll.qlYieldTSDiscount(Discounting,S239,,AllTriggers)</f>
        <v>0.97945517436330887</v>
      </c>
      <c r="X239" s="20">
        <f t="shared" si="13"/>
        <v>1.65074942503469E-2</v>
      </c>
      <c r="Y239" s="343">
        <f t="shared" si="14"/>
        <v>5.0701173881963527E-4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42625</v>
      </c>
      <c r="S240" s="141">
        <f>_xll.qlCalendarAdvance(Calendar,R240,$F$1,"mf",,Trigger)</f>
        <v>42716</v>
      </c>
      <c r="T240" s="196">
        <f>_xll.qlDayCounterYearFraction(DayCounter,R240,S240,,,Trigger)</f>
        <v>0.24931506849315069</v>
      </c>
      <c r="U240" s="20">
        <f>_xll.qlInterpolationInterpolate(B3Minterpolation,R240,TRUE)</f>
        <v>2.0410955800856155E-3</v>
      </c>
      <c r="V240" s="197">
        <f>_xll.qlYieldTSDiscount(Discounting,R240,,AllTriggers)</f>
        <v>0.98335406529733871</v>
      </c>
      <c r="W240" s="197">
        <f>_xll.qlYieldTSDiscount(Discounting,S240,,AllTriggers)</f>
        <v>0.97932108385597527</v>
      </c>
      <c r="X240" s="20">
        <f t="shared" si="13"/>
        <v>1.6517814748906665E-2</v>
      </c>
      <c r="Y240" s="343">
        <f t="shared" si="14"/>
        <v>5.0666048272648609E-4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42626</v>
      </c>
      <c r="S241" s="141">
        <f>_xll.qlCalendarAdvance(Calendar,R241,$F$1,"mf",,Trigger)</f>
        <v>42717</v>
      </c>
      <c r="T241" s="196">
        <f>_xll.qlDayCounterYearFraction(DayCounter,R241,S241,,,Trigger)</f>
        <v>0.24931506849315069</v>
      </c>
      <c r="U241" s="20">
        <f>_xll.qlInterpolationInterpolate(B3Minterpolation,R241,TRUE)</f>
        <v>2.0405653779120669E-3</v>
      </c>
      <c r="V241" s="197">
        <f>_xll.qlYieldTSDiscount(Discounting,R241,,AllTriggers)</f>
        <v>0.98331002117754551</v>
      </c>
      <c r="W241" s="197">
        <f>_xll.qlYieldTSDiscount(Discounting,S241,,AllTriggers)</f>
        <v>0.97927636560700992</v>
      </c>
      <c r="X241" s="20">
        <f t="shared" si="13"/>
        <v>1.6521330173739496E-2</v>
      </c>
      <c r="Y241" s="343">
        <f t="shared" si="14"/>
        <v>5.0652846212939271E-4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42627</v>
      </c>
      <c r="S242" s="141">
        <f>_xll.qlCalendarAdvance(Calendar,R242,$F$1,"mf",,Trigger)</f>
        <v>42718</v>
      </c>
      <c r="T242" s="196">
        <f>_xll.qlDayCounterYearFraction(DayCounter,R242,S242,,,Trigger)</f>
        <v>0.24931506849315069</v>
      </c>
      <c r="U242" s="20">
        <f>_xll.qlInterpolationInterpolate(B3Minterpolation,R242,TRUE)</f>
        <v>2.0400056681916415E-3</v>
      </c>
      <c r="V242" s="197">
        <f>_xll.qlYieldTSDiscount(Discounting,R242,,AllTriggers)</f>
        <v>0.98326597508681723</v>
      </c>
      <c r="W242" s="197">
        <f>_xll.qlYieldTSDiscount(Discounting,S242,,AllTriggers)</f>
        <v>0.97923163654054191</v>
      </c>
      <c r="X242" s="20">
        <f t="shared" si="13"/>
        <v>1.6524882338245235E-2</v>
      </c>
      <c r="Y242" s="343">
        <f t="shared" si="14"/>
        <v>5.06389114344778E-4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42628</v>
      </c>
      <c r="S243" s="141">
        <f>_xll.qlCalendarAdvance(Calendar,R243,$F$1,"mf",,Trigger)</f>
        <v>42719</v>
      </c>
      <c r="T243" s="196">
        <f>_xll.qlDayCounterYearFraction(DayCounter,R243,S243,,,Trigger)</f>
        <v>0.24931506849315069</v>
      </c>
      <c r="U243" s="20">
        <f>_xll.qlInterpolationInterpolate(B3Minterpolation,R243,TRUE)</f>
        <v>2.0394167900915443E-3</v>
      </c>
      <c r="V243" s="197">
        <f>_xll.qlYieldTSDiscount(Discounting,R243,,AllTriggers)</f>
        <v>0.98322192682678355</v>
      </c>
      <c r="W243" s="197">
        <f>_xll.qlYieldTSDiscount(Discounting,S243,,AllTriggers)</f>
        <v>0.97918689659004521</v>
      </c>
      <c r="X243" s="20">
        <f t="shared" si="13"/>
        <v>1.6528470708633475E-2</v>
      </c>
      <c r="Y243" s="343">
        <f t="shared" si="14"/>
        <v>5.0624252362925536E-4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42629</v>
      </c>
      <c r="S244" s="141">
        <f>_xll.qlCalendarAdvance(Calendar,R244,$F$1,"mf",,Trigger)</f>
        <v>42720</v>
      </c>
      <c r="T244" s="196">
        <f>_xll.qlDayCounterYearFraction(DayCounter,R244,S244,,,Trigger)</f>
        <v>0.24931506849315069</v>
      </c>
      <c r="U244" s="20">
        <f>_xll.qlInterpolationInterpolate(B3Minterpolation,R244,TRUE)</f>
        <v>2.0387990827789811E-3</v>
      </c>
      <c r="V244" s="197">
        <f>_xll.qlYieldTSDiscount(Discounting,R244,,AllTriggers)</f>
        <v>0.98317787619910957</v>
      </c>
      <c r="W244" s="197">
        <f>_xll.qlYieldTSDiscount(Discounting,S244,,AllTriggers)</f>
        <v>0.97914214568900637</v>
      </c>
      <c r="X244" s="20">
        <f t="shared" si="13"/>
        <v>1.653209475111115E-2</v>
      </c>
      <c r="Y244" s="343">
        <f t="shared" si="14"/>
        <v>5.0608877424021623E-4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42632</v>
      </c>
      <c r="S245" s="141">
        <f>_xll.qlCalendarAdvance(Calendar,R245,$F$1,"mf",,Trigger)</f>
        <v>42723</v>
      </c>
      <c r="T245" s="196">
        <f>_xll.qlDayCounterYearFraction(DayCounter,R245,S245,,,Trigger)</f>
        <v>0.24931506849315069</v>
      </c>
      <c r="U245" s="20">
        <f>_xll.qlInterpolationInterpolate(B3Minterpolation,R245,TRUE)</f>
        <v>2.0367763772385496E-3</v>
      </c>
      <c r="V245" s="197">
        <f>_xll.qlYieldTSDiscount(Discounting,R245,,AllTriggers)</f>
        <v>0.9830457081274333</v>
      </c>
      <c r="W245" s="197">
        <f>_xll.qlYieldTSDiscount(Discounting,S245,,AllTriggers)</f>
        <v>0.97900782661769759</v>
      </c>
      <c r="X245" s="20">
        <f t="shared" si="13"/>
        <v>1.6543175573150961E-2</v>
      </c>
      <c r="Y245" s="343">
        <f t="shared" si="14"/>
        <v>5.0558541659863668E-4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42633</v>
      </c>
      <c r="S246" s="141">
        <f>_xll.qlCalendarAdvance(Calendar,R246,$F$1,"mf",,Trigger)</f>
        <v>42724</v>
      </c>
      <c r="T246" s="196">
        <f>_xll.qlDayCounterYearFraction(DayCounter,R246,S246,,,Trigger)</f>
        <v>0.24931506849315069</v>
      </c>
      <c r="U246" s="20">
        <f>_xll.qlInterpolationInterpolate(B3Minterpolation,R246,TRUE)</f>
        <v>2.0360467447481764E-3</v>
      </c>
      <c r="V246" s="197">
        <f>_xll.qlYieldTSDiscount(Discounting,R246,,AllTriggers)</f>
        <v>0.98300164604656348</v>
      </c>
      <c r="W246" s="197">
        <f>_xll.qlYieldTSDiscount(Discounting,S246,,AllTriggers)</f>
        <v>0.97896303124961448</v>
      </c>
      <c r="X246" s="20">
        <f t="shared" si="13"/>
        <v>1.654693696604943E-2</v>
      </c>
      <c r="Y246" s="343">
        <f t="shared" si="14"/>
        <v>5.054038750825936E-4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42634</v>
      </c>
      <c r="S247" s="141">
        <f>_xll.qlCalendarAdvance(Calendar,R247,$F$1,"mf",,Trigger)</f>
        <v>42725</v>
      </c>
      <c r="T247" s="196">
        <f>_xll.qlDayCounterYearFraction(DayCounter,R247,S247,,,Trigger)</f>
        <v>0.24931506849315069</v>
      </c>
      <c r="U247" s="20">
        <f>_xll.qlInterpolationInterpolate(B3Minterpolation,R247,TRUE)</f>
        <v>2.0352899788813649E-3</v>
      </c>
      <c r="V247" s="197">
        <f>_xll.qlYieldTSDiscount(Discounting,R247,,AllTriggers)</f>
        <v>0.98295758060691418</v>
      </c>
      <c r="W247" s="197">
        <f>_xll.qlYieldTSDiscount(Discounting,S247,,AllTriggers)</f>
        <v>0.97891822459861544</v>
      </c>
      <c r="X247" s="20">
        <f t="shared" si="13"/>
        <v>1.6550731362062181E-2</v>
      </c>
      <c r="Y247" s="343">
        <f t="shared" si="14"/>
        <v>5.0521559617545746E-4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42635</v>
      </c>
      <c r="S248" s="141">
        <f>_xll.qlCalendarAdvance(Calendar,R248,$F$1,"mf",,Trigger)</f>
        <v>42726</v>
      </c>
      <c r="T248" s="196">
        <f>_xll.qlDayCounterYearFraction(DayCounter,R248,S248,,,Trigger)</f>
        <v>0.24931506849315069</v>
      </c>
      <c r="U248" s="20">
        <f>_xll.qlInterpolationInterpolate(B3Minterpolation,R248,TRUE)</f>
        <v>2.0345064188053204E-3</v>
      </c>
      <c r="V248" s="197">
        <f>_xll.qlYieldTSDiscount(Discounting,R248,,AllTriggers)</f>
        <v>0.98291351161036455</v>
      </c>
      <c r="W248" s="197">
        <f>_xll.qlYieldTSDiscount(Discounting,S248,,AllTriggers)</f>
        <v>0.97887340659826427</v>
      </c>
      <c r="X248" s="20">
        <f t="shared" si="13"/>
        <v>1.6554558227391689E-2</v>
      </c>
      <c r="Y248" s="343">
        <f t="shared" si="14"/>
        <v>5.0502066413431169E-4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42636</v>
      </c>
      <c r="S249" s="141">
        <f>_xll.qlCalendarAdvance(Calendar,R249,$F$1,"mf",,Trigger)</f>
        <v>42727</v>
      </c>
      <c r="T249" s="196">
        <f>_xll.qlDayCounterYearFraction(DayCounter,R249,S249,,,Trigger)</f>
        <v>0.24931506849315069</v>
      </c>
      <c r="U249" s="20">
        <f>_xll.qlInterpolationInterpolate(B3Minterpolation,R249,TRUE)</f>
        <v>2.0336964036872479E-3</v>
      </c>
      <c r="V249" s="197">
        <f>_xll.qlYieldTSDiscount(Discounting,R249,,AllTriggers)</f>
        <v>0.98286943885882927</v>
      </c>
      <c r="W249" s="197">
        <f>_xll.qlYieldTSDiscount(Discounting,S249,,AllTriggers)</f>
        <v>0.97882857718213756</v>
      </c>
      <c r="X249" s="20">
        <f t="shared" si="13"/>
        <v>1.6558417028235982E-2</v>
      </c>
      <c r="Y249" s="343">
        <f t="shared" si="14"/>
        <v>5.0481916321461781E-4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42639</v>
      </c>
      <c r="S250" s="141">
        <f>_xll.qlCalendarAdvance(Calendar,R250,$F$1,"mf",,Trigger)</f>
        <v>42732</v>
      </c>
      <c r="T250" s="196">
        <f>_xll.qlDayCounterYearFraction(DayCounter,R250,S250,,,Trigger)</f>
        <v>0.25479452054794521</v>
      </c>
      <c r="U250" s="20">
        <f>_xll.qlInterpolationInterpolate(B3Minterpolation,R250,TRUE)</f>
        <v>2.0311110197529189E-3</v>
      </c>
      <c r="V250" s="197">
        <f>_xll.qlYieldTSDiscount(Discounting,R250,,AllTriggers)</f>
        <v>0.98273719609399302</v>
      </c>
      <c r="W250" s="197">
        <f>_xll.qlYieldTSDiscount(Discounting,S250,,AllTriggers)</f>
        <v>0.97860425654095584</v>
      </c>
      <c r="X250" s="20">
        <f t="shared" si="13"/>
        <v>1.6575317991922064E-2</v>
      </c>
      <c r="Y250" s="343">
        <f t="shared" si="14"/>
        <v>5.1520678312822409E-4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42640</v>
      </c>
      <c r="S251" s="141">
        <f>_xll.qlCalendarAdvance(Calendar,R251,$F$1,"mf",,Trigger)</f>
        <v>42732</v>
      </c>
      <c r="T251" s="196">
        <f>_xll.qlDayCounterYearFraction(DayCounter,R251,S251,,,Trigger)</f>
        <v>0.25205479452054796</v>
      </c>
      <c r="U251" s="20">
        <f>_xll.qlInterpolationInterpolate(B3Minterpolation,R251,TRUE)</f>
        <v>2.0301985761387903E-3</v>
      </c>
      <c r="V251" s="197">
        <f>_xll.qlYieldTSDiscount(Discounting,R251,,AllTriggers)</f>
        <v>0.98269310634237694</v>
      </c>
      <c r="W251" s="197">
        <f>_xll.qlYieldTSDiscount(Discounting,S251,,AllTriggers)</f>
        <v>0.97860425654095584</v>
      </c>
      <c r="X251" s="20">
        <f t="shared" si="13"/>
        <v>1.6576738797644323E-2</v>
      </c>
      <c r="Y251" s="343">
        <f t="shared" si="14"/>
        <v>5.0946228565741799E-4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42641</v>
      </c>
      <c r="S252" s="141">
        <f>_xll.qlCalendarAdvance(Calendar,R252,$F$1,"mf",,Trigger)</f>
        <v>42732</v>
      </c>
      <c r="T252" s="196">
        <f>_xll.qlDayCounterYearFraction(DayCounter,R252,S252,,,Trigger)</f>
        <v>0.24931506849315069</v>
      </c>
      <c r="U252" s="20">
        <f>_xll.qlInterpolationInterpolate(B3Minterpolation,R252,TRUE)</f>
        <v>2.0292613733186617E-3</v>
      </c>
      <c r="V252" s="197">
        <f>_xll.qlYieldTSDiscount(Discounting,R252,,AllTriggers)</f>
        <v>0.9826490118458846</v>
      </c>
      <c r="W252" s="197">
        <f>_xll.qlYieldTSDiscount(Discounting,S252,,AllTriggers)</f>
        <v>0.97860425654095584</v>
      </c>
      <c r="X252" s="20">
        <f t="shared" si="13"/>
        <v>1.6578171382120668E-2</v>
      </c>
      <c r="Y252" s="343">
        <f t="shared" si="14"/>
        <v>5.0371607438831959E-4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42642</v>
      </c>
      <c r="S253" s="141">
        <f>_xll.qlCalendarAdvance(Calendar,R253,$F$1,"mf",,Trigger)</f>
        <v>42733</v>
      </c>
      <c r="T253" s="196">
        <f>_xll.qlDayCounterYearFraction(DayCounter,R253,S253,,,Trigger)</f>
        <v>0.24931506849315069</v>
      </c>
      <c r="U253" s="20">
        <f>_xll.qlInterpolationInterpolate(B3Minterpolation,R253,TRUE)</f>
        <v>2.0282997504597381E-3</v>
      </c>
      <c r="V253" s="197">
        <f>_xll.qlYieldTSDiscount(Discounting,R253,,AllTriggers)</f>
        <v>0.98260491240664505</v>
      </c>
      <c r="W253" s="197">
        <f>_xll.qlYieldTSDiscount(Discounting,S253,,AllTriggers)</f>
        <v>0.97855935723600729</v>
      </c>
      <c r="X253" s="20">
        <f t="shared" si="13"/>
        <v>1.6582210586193431E-2</v>
      </c>
      <c r="Y253" s="343">
        <f t="shared" si="14"/>
        <v>5.0347692956422972E-4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42643</v>
      </c>
      <c r="S254" s="141">
        <f>_xll.qlCalendarAdvance(Calendar,R254,$F$1,"mf",,Trigger)</f>
        <v>42734</v>
      </c>
      <c r="T254" s="196">
        <f>_xll.qlDayCounterYearFraction(DayCounter,R254,S254,,,Trigger)</f>
        <v>0.24931506849315069</v>
      </c>
      <c r="U254" s="20">
        <f>_xll.qlInterpolationInterpolate(B3Minterpolation,R254,TRUE)</f>
        <v>2.0273140467292252E-3</v>
      </c>
      <c r="V254" s="197">
        <f>_xll.qlYieldTSDiscount(Discounting,R254,,AllTriggers)</f>
        <v>0.98256080782682298</v>
      </c>
      <c r="W254" s="197">
        <f>_xll.qlYieldTSDiscount(Discounting,S254,,AllTriggers)</f>
        <v>0.97851444605068072</v>
      </c>
      <c r="X254" s="20">
        <f t="shared" si="13"/>
        <v>1.6586277989146657E-2</v>
      </c>
      <c r="Y254" s="343">
        <f t="shared" si="14"/>
        <v>5.0323180564859366E-4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42647</v>
      </c>
      <c r="S255" s="141">
        <f>_xll.qlCalendarAdvance(Calendar,R255,$F$1,"mf",,Trigger)</f>
        <v>42739</v>
      </c>
      <c r="T255" s="196">
        <f>_xll.qlDayCounterYearFraction(DayCounter,R255,S255,,,Trigger)</f>
        <v>0.25205479452054796</v>
      </c>
      <c r="U255" s="20">
        <f>_xll.qlInterpolationInterpolate(B3Minterpolation,R255,TRUE)</f>
        <v>2.0231372064353896E-3</v>
      </c>
      <c r="V255" s="197">
        <f>_xll.qlYieldTSDiscount(Discounting,R255,,AllTriggers)</f>
        <v>0.98238433414625481</v>
      </c>
      <c r="W255" s="197">
        <f>_xll.qlYieldTSDiscount(Discounting,S255,,AllTriggers)</f>
        <v>0.97828970959762718</v>
      </c>
      <c r="X255" s="20">
        <f t="shared" si="13"/>
        <v>1.6605487791010717E-2</v>
      </c>
      <c r="Y255" s="343">
        <f t="shared" si="14"/>
        <v>5.0768707785416891E-4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42648</v>
      </c>
      <c r="S256" s="141">
        <f>_xll.qlCalendarAdvance(Calendar,R256,$F$1,"mf",,Trigger)</f>
        <v>42740</v>
      </c>
      <c r="T256" s="196">
        <f>_xll.qlDayCounterYearFraction(DayCounter,R256,S256,,,Trigger)</f>
        <v>0.25205479452054796</v>
      </c>
      <c r="U256" s="20">
        <f>_xll.qlInterpolationInterpolate(B3Minterpolation,R256,TRUE)</f>
        <v>2.0220361858550124E-3</v>
      </c>
      <c r="V256" s="197">
        <f>_xll.qlYieldTSDiscount(Discounting,R256,,AllTriggers)</f>
        <v>0.98234020091894547</v>
      </c>
      <c r="W256" s="197">
        <f>_xll.qlYieldTSDiscount(Discounting,S256,,AllTriggers)</f>
        <v>0.97824472573776355</v>
      </c>
      <c r="X256" s="20">
        <f t="shared" si="13"/>
        <v>1.660970122659142E-2</v>
      </c>
      <c r="Y256" s="343">
        <f t="shared" si="14"/>
        <v>5.0741032077931568E-4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42649</v>
      </c>
      <c r="S257" s="141">
        <f>_xll.qlCalendarAdvance(Calendar,R257,$F$1,"mf",,Trigger)</f>
        <v>42741</v>
      </c>
      <c r="T257" s="196">
        <f>_xll.qlDayCounterYearFraction(DayCounter,R257,S257,,,Trigger)</f>
        <v>0.25205479452054796</v>
      </c>
      <c r="U257" s="20">
        <f>_xll.qlInterpolationInterpolate(B3Minterpolation,R257,TRUE)</f>
        <v>2.0209131194062788E-3</v>
      </c>
      <c r="V257" s="197">
        <f>_xll.qlYieldTSDiscount(Discounting,R257,,AllTriggers)</f>
        <v>0.98229606149500437</v>
      </c>
      <c r="W257" s="197">
        <f>_xll.qlYieldTSDiscount(Discounting,S257,,AllTriggers)</f>
        <v>0.97819972953355316</v>
      </c>
      <c r="X257" s="20">
        <f t="shared" si="13"/>
        <v>1.6613940193310712E-2</v>
      </c>
      <c r="Y257" s="343">
        <f t="shared" si="14"/>
        <v>5.0712803017553484E-4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42650</v>
      </c>
      <c r="S258" s="141">
        <f>_xll.qlCalendarAdvance(Calendar,R258,$F$1,"mf",,Trigger)</f>
        <v>42744</v>
      </c>
      <c r="T258" s="196">
        <f>_xll.qlDayCounterYearFraction(DayCounter,R258,S258,,,Trigger)</f>
        <v>0.25753424657534246</v>
      </c>
      <c r="U258" s="20">
        <f>_xll.qlInterpolationInterpolate(B3Minterpolation,R258,TRUE)</f>
        <v>2.0197683462563937E-3</v>
      </c>
      <c r="V258" s="197">
        <f>_xll.qlYieldTSDiscount(Discounting,R258,,AllTriggers)</f>
        <v>0.98225191580703641</v>
      </c>
      <c r="W258" s="197">
        <f>_xll.qlYieldTSDiscount(Discounting,S258,,AllTriggers)</f>
        <v>0.97806466619261323</v>
      </c>
      <c r="X258" s="20">
        <f t="shared" si="13"/>
        <v>1.662364639516167E-2</v>
      </c>
      <c r="Y258" s="343">
        <f t="shared" si="14"/>
        <v>5.1780804137313411E-4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42653</v>
      </c>
      <c r="S259" s="141">
        <f>_xll.qlCalendarAdvance(Calendar,R259,$F$1,"mf",,Trigger)</f>
        <v>42745</v>
      </c>
      <c r="T259" s="196">
        <f>_xll.qlDayCounterYearFraction(DayCounter,R259,S259,,,Trigger)</f>
        <v>0.25205479452054796</v>
      </c>
      <c r="U259" s="20">
        <f>_xll.qlInterpolationInterpolate(B3Minterpolation,R259,TRUE)</f>
        <v>2.0162071782718889E-3</v>
      </c>
      <c r="V259" s="197">
        <f>_xll.qlYieldTSDiscount(Discounting,R259,,AllTriggers)</f>
        <v>0.98211944048520938</v>
      </c>
      <c r="W259" s="197">
        <f>_xll.qlYieldTSDiscount(Discounting,S259,,AllTriggers)</f>
        <v>0.97801961994885256</v>
      </c>
      <c r="X259" s="20">
        <f t="shared" si="13"/>
        <v>1.663115137320002E-2</v>
      </c>
      <c r="Y259" s="343">
        <f t="shared" si="14"/>
        <v>5.0594523461579386E-4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42654</v>
      </c>
      <c r="S260" s="141">
        <f>_xll.qlCalendarAdvance(Calendar,R260,$F$1,"mf",,Trigger)</f>
        <v>42746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2.0149789699894552E-3</v>
      </c>
      <c r="V260" s="197">
        <f>_xll.qlYieldTSDiscount(Discounting,R260,,AllTriggers)</f>
        <v>0.98207526906743359</v>
      </c>
      <c r="W260" s="197">
        <f>_xll.qlYieldTSDiscount(Discounting,S260,,AllTriggers)</f>
        <v>0.97797456102972857</v>
      </c>
      <c r="X260" s="20">
        <f t="shared" ref="X260:X261" si="15">(V260/W260-1)/T260</f>
        <v>1.6635517996838538E-2</v>
      </c>
      <c r="Y260" s="343">
        <f t="shared" ref="Y260:Y261" si="16">LN((1+(U260+X260)*T260)/(1+X260*T260))</f>
        <v>5.0563655297498737E-4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42655</v>
      </c>
      <c r="S261" s="221">
        <f>_xll.qlCalendarAdvance(Calendar,R261,$F$1,"mf",,Trigger)</f>
        <v>42747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2.0137307508418978E-3</v>
      </c>
      <c r="V261" s="206">
        <f>_xll.qlYieldTSDiscount(Discounting,R261,,AllTriggers)</f>
        <v>0.98203109104884256</v>
      </c>
      <c r="W261" s="206">
        <f>_xll.qlYieldTSDiscount(Discounting,S261,,AllTriggers)</f>
        <v>0.97792948936907687</v>
      </c>
      <c r="X261" s="205">
        <f t="shared" si="15"/>
        <v>1.6639910152110738E-2</v>
      </c>
      <c r="Y261" s="345">
        <f t="shared" si="16"/>
        <v>5.0532284844708602E-4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U2" sqref="U2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obj_001c1#0004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176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91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115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obj_001c6#0004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2.2400000000000003E-2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42278</v>
      </c>
      <c r="U3" s="152">
        <f>_xll.qlRateHelperPillarDate(L3,Trigger)</f>
        <v>42461</v>
      </c>
    </row>
    <row r="4" spans="1:21" ht="11.25" customHeight="1" x14ac:dyDescent="0.2">
      <c r="A4" s="393"/>
      <c r="B4" s="416">
        <v>1</v>
      </c>
      <c r="C4" s="416" t="s">
        <v>115</v>
      </c>
      <c r="D4" s="376" t="s">
        <v>37</v>
      </c>
      <c r="E4" s="375" t="s">
        <v>145</v>
      </c>
      <c r="F4" s="375" t="s">
        <v>146</v>
      </c>
      <c r="G4" s="416" t="s">
        <v>174</v>
      </c>
      <c r="H4" s="417" t="s">
        <v>113</v>
      </c>
      <c r="I4" s="417" t="s">
        <v>173</v>
      </c>
      <c r="J4" s="418">
        <v>0</v>
      </c>
      <c r="K4" s="419" t="str">
        <f>'6M BBSWSwapForBasisCalc'!K3</f>
        <v>AUDQM3AB6M_S3BR6BR_Quote#0004</v>
      </c>
      <c r="L4" s="420" t="str">
        <f>_xll.qlSwapRateHelper2(,$K4,B4,D4,Calendar,$G4,$H4,$I4,$L$1,$J4,C4,Discounting,,,Permanent,Trigger,ObjectOverwrite)</f>
        <v>obj_001f1#0005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2.2173579083359634E-2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42279</v>
      </c>
      <c r="U4" s="152">
        <f>_xll.qlRateHelperPillarDate(L4,Trigger)</f>
        <v>42464</v>
      </c>
    </row>
    <row r="5" spans="1:21" ht="11.25" customHeight="1" x14ac:dyDescent="0.2">
      <c r="A5" s="393"/>
      <c r="B5" s="409">
        <v>1</v>
      </c>
      <c r="C5" s="409" t="s">
        <v>115</v>
      </c>
      <c r="D5" s="381" t="s">
        <v>23</v>
      </c>
      <c r="E5" s="380" t="s">
        <v>145</v>
      </c>
      <c r="F5" s="380" t="s">
        <v>146</v>
      </c>
      <c r="G5" s="409" t="s">
        <v>174</v>
      </c>
      <c r="H5" s="421" t="s">
        <v>113</v>
      </c>
      <c r="I5" s="421" t="s">
        <v>173</v>
      </c>
      <c r="J5" s="422">
        <v>0</v>
      </c>
      <c r="K5" s="423" t="str">
        <f>'6M BBSWSwapForBasisCalc'!K4</f>
        <v>AUDQM3AB1Y_S3BR6BR_Quote#0004</v>
      </c>
      <c r="L5" s="424" t="str">
        <f>_xll.qlSwapRateHelper2(,$K5,B5,D5,Calendar,$G5,$H5,$I5,$L$1,$J5,C5,Discounting,,,Permanent,Trigger,ObjectOverwrite)</f>
        <v>obj_001f2#0005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2.1119403733498632E-2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42279</v>
      </c>
      <c r="U5" s="152">
        <f>_xll.qlRateHelperPillarDate(L5,Trigger)</f>
        <v>42647</v>
      </c>
    </row>
    <row r="6" spans="1:21" ht="11.25" customHeight="1" x14ac:dyDescent="0.2">
      <c r="A6" s="164"/>
      <c r="B6" s="409">
        <v>1</v>
      </c>
      <c r="C6" s="409" t="s">
        <v>115</v>
      </c>
      <c r="D6" s="381" t="s">
        <v>149</v>
      </c>
      <c r="E6" s="380" t="s">
        <v>145</v>
      </c>
      <c r="F6" s="380" t="s">
        <v>146</v>
      </c>
      <c r="G6" s="409" t="s">
        <v>174</v>
      </c>
      <c r="H6" s="421" t="s">
        <v>113</v>
      </c>
      <c r="I6" s="421" t="s">
        <v>173</v>
      </c>
      <c r="J6" s="422">
        <v>0</v>
      </c>
      <c r="K6" s="423" t="str">
        <f>'6M BBSWSwapForBasisCalc'!K5</f>
        <v>AUDQM3AB2Y_S3BR6BR_Quote#0004</v>
      </c>
      <c r="L6" s="424" t="str">
        <f>_xll.qlSwapRateHelper2(,$K6,B6,D6,Calendar,$G6,$H6,$I6,$L$1,$J6,C6,Discounting,,,Permanent,Trigger,ObjectOverwrite)</f>
        <v>obj_001f0#0005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2.0963314632993557E-2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42279</v>
      </c>
      <c r="U6" s="152">
        <f>_xll.qlRateHelperPillarDate(L6,Trigger)</f>
        <v>43011</v>
      </c>
    </row>
    <row r="7" spans="1:21" ht="11.25" customHeight="1" x14ac:dyDescent="0.2">
      <c r="A7" s="164"/>
      <c r="B7" s="426">
        <v>1</v>
      </c>
      <c r="C7" s="426" t="s">
        <v>115</v>
      </c>
      <c r="D7" s="384" t="s">
        <v>73</v>
      </c>
      <c r="E7" s="383" t="s">
        <v>145</v>
      </c>
      <c r="F7" s="383" t="s">
        <v>146</v>
      </c>
      <c r="G7" s="426" t="s">
        <v>174</v>
      </c>
      <c r="H7" s="427" t="s">
        <v>113</v>
      </c>
      <c r="I7" s="427" t="s">
        <v>173</v>
      </c>
      <c r="J7" s="428">
        <v>0</v>
      </c>
      <c r="K7" s="429" t="str">
        <f>'6M BBSWSwapForBasisCalc'!K6</f>
        <v>AUDQM3AB3Y_S3BR6BR_Quote#0004</v>
      </c>
      <c r="L7" s="430" t="str">
        <f>_xll.qlSwapRateHelper2(,$K7,B7,D7,Calendar,$G7,$H7,$I7,$L$1,$J7,C7,Discounting,,,Permanent,Trigger,ObjectOverwrite)</f>
        <v>obj_001ef#0005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2.1584214976599275E-2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42279</v>
      </c>
      <c r="U7" s="160">
        <f>_xll.qlRateHelperPillarDate(L7,Trigger)</f>
        <v>43375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136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114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obj_001f1#0005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2.2173579083359634E-2</v>
      </c>
      <c r="R11" s="187">
        <f t="array" ref="R11:R19">_xll.ohFilter(R3:R7,S3:S7)</f>
        <v>0</v>
      </c>
      <c r="S11" s="152">
        <f t="array" ref="S11:S19">_xll.ohFilter(T3:T7,S3:S7)</f>
        <v>42279</v>
      </c>
      <c r="T11" s="152">
        <f t="array" ref="T11:T19">_xll.ohFilter(U3:U7,S3:S7)</f>
        <v>42464</v>
      </c>
      <c r="U11" s="162">
        <v>0.98880137864432815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obj_001f2#0005</v>
      </c>
      <c r="N12" s="400"/>
      <c r="P12" s="164" t="str">
        <v>AUDQM3AB1Y_S3BR6BR_Quote</v>
      </c>
      <c r="Q12" s="151">
        <v>2.1119403733498632E-2</v>
      </c>
      <c r="R12" s="187">
        <v>0</v>
      </c>
      <c r="S12" s="152">
        <v>42279</v>
      </c>
      <c r="T12" s="152">
        <v>42647</v>
      </c>
      <c r="U12" s="162">
        <v>0.97894302347758755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obj_001f0#0005</v>
      </c>
      <c r="N13" s="400"/>
      <c r="P13" s="164" t="str">
        <v>AUDQM3AB2Y_S3BR6BR_Quote</v>
      </c>
      <c r="Q13" s="151">
        <v>2.0963314632993557E-2</v>
      </c>
      <c r="R13" s="187">
        <v>0</v>
      </c>
      <c r="S13" s="152">
        <v>42279</v>
      </c>
      <c r="T13" s="152">
        <v>43011</v>
      </c>
      <c r="U13" s="162">
        <v>0.95890221160348688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122</v>
      </c>
      <c r="T23" s="265" t="str">
        <f>"F "&amp;K1</f>
        <v>F 6M</v>
      </c>
      <c r="U23" s="265" t="s">
        <v>125</v>
      </c>
      <c r="V23" s="265" t="s">
        <v>123</v>
      </c>
      <c r="W23" s="265" t="s">
        <v>124</v>
      </c>
      <c r="X23" s="265" t="s">
        <v>126</v>
      </c>
    </row>
    <row r="24" spans="1:24" x14ac:dyDescent="0.2">
      <c r="P24" s="439" t="s">
        <v>175</v>
      </c>
      <c r="Q24" s="440">
        <f>SettlementDate</f>
        <v>42278</v>
      </c>
      <c r="R24" s="440">
        <f>_xll.qlInterestRateIndexMaturity(iborindex6M,Q24,Trigger)</f>
        <v>42461</v>
      </c>
      <c r="S24" s="222">
        <f>_xll.qlDayCounterYearFraction(DayCounter,Q24,R24,,,Trigger)</f>
        <v>0.50136986301369868</v>
      </c>
      <c r="T24" s="205">
        <f>_xll.qlIndexFixing(iborindex6M,_xll.qlInterestRateIndexFixingDate(iborindex6M,Q24,Trigger),TRUE,AllTriggers)</f>
        <v>2.222265280669216E-2</v>
      </c>
      <c r="U24" s="205">
        <f>(V24/W24-1)/S24</f>
        <v>1.870493744135605E-2</v>
      </c>
      <c r="V24" s="206">
        <f>_xll.qlYieldTSDiscount(Discounting,Q24,,AllTriggers)</f>
        <v>1</v>
      </c>
      <c r="W24" s="206">
        <f>_xll.qlYieldTSDiscount(Discounting,R24,,AllTriggers)</f>
        <v>0.99070903955841838</v>
      </c>
      <c r="X24" s="441">
        <f>LN((1+T24*S24)/(1+U24*S24))</f>
        <v>1.7457654868021624E-3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42279</v>
      </c>
      <c r="R25" s="244">
        <f>_xll.qlInterestRateIndexMaturity(iborindex6M,Q25,Trigger)</f>
        <v>42464</v>
      </c>
      <c r="S25" s="245">
        <f>_xll.qlDayCounterYearFraction(DayCounter,Q25,R25,,,Trigger)</f>
        <v>0.50684931506849318</v>
      </c>
      <c r="T25" s="246">
        <f>_xll.qlIndexFixing(iborindex6M,_xll.qlInterestRateIndexFixingDate(iborindex6M,Q25,Trigger),TRUE,AllTriggers)</f>
        <v>2.222400086756865E-2</v>
      </c>
      <c r="U25" s="246">
        <f>(V25/W25-1)/S25</f>
        <v>1.8675000000000368E-2</v>
      </c>
      <c r="V25" s="247">
        <f>_xll.qlYieldTSDiscount(Discounting,Q25,,AllTriggers)</f>
        <v>0.99994516735706029</v>
      </c>
      <c r="W25" s="247">
        <f>_xll.qlYieldTSDiscount(Discounting,R25,,AllTriggers)</f>
        <v>0.99056902445741002</v>
      </c>
      <c r="X25" s="436">
        <f>LN((1+T25*S25)/(1+U25*S25))</f>
        <v>1.7803560722039694E-3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42464</v>
      </c>
      <c r="R26" s="169">
        <f>_xll.qlInterestRateIndexMaturity(iborindex6M,Q26,Trigger)</f>
        <v>42647</v>
      </c>
      <c r="S26" s="196">
        <f>_xll.qlDayCounterYearFraction(DayCounter,Q26,R26,,,Trigger)</f>
        <v>0.50136986301369868</v>
      </c>
      <c r="T26" s="20">
        <f>_xll.qlIndexFixing(iborindex6M,_xll.qlInterestRateIndexFixingDate(iborindex6M,Q26,Trigger),TRUE,AllTriggers)</f>
        <v>2.0085785452937037E-2</v>
      </c>
      <c r="U26" s="20">
        <f>(V26/W26-1)/S26</f>
        <v>1.6617381783505126E-2</v>
      </c>
      <c r="V26" s="197">
        <f>_xll.qlYieldTSDiscount(Discounting,Q26,,AllTriggers)</f>
        <v>0.99056902445741002</v>
      </c>
      <c r="W26" s="197">
        <f>_xll.qlYieldTSDiscount(Discounting,R26,,AllTriggers)</f>
        <v>0.98238433414625481</v>
      </c>
      <c r="X26" s="438">
        <f>LN((1+T26*S26)/(1+U26*S26))</f>
        <v>1.7230993843942721E-3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42647</v>
      </c>
      <c r="R27" s="169">
        <f>_xll.qlInterestRateIndexMaturity(iborindex6M,Q27,Trigger)</f>
        <v>42829</v>
      </c>
      <c r="S27" s="196">
        <f>_xll.qlDayCounterYearFraction(DayCounter,Q27,R27,,,Trigger)</f>
        <v>0.49863013698630138</v>
      </c>
      <c r="T27" s="20">
        <f>_xll.qlIndexFixing(iborindex6M,_xll.qlInterestRateIndexFixingDate(iborindex6M,Q27,Trigger),TRUE,AllTriggers)</f>
        <v>2.0848791752610989E-2</v>
      </c>
      <c r="U27" s="20">
        <f>(V27/W27-1)/S27</f>
        <v>1.6881588470137963E-2</v>
      </c>
      <c r="V27" s="197">
        <f>_xll.qlYieldTSDiscount(Discounting,Q27,,AllTriggers)</f>
        <v>0.98238433414625481</v>
      </c>
      <c r="W27" s="197">
        <f>_xll.qlYieldTSDiscount(Discounting,R27,,AllTriggers)</f>
        <v>0.97418397611291985</v>
      </c>
      <c r="X27" s="438">
        <f>LN((1+T27*S27)/(1+U27*S27))</f>
        <v>1.9597330260882556E-3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42829</v>
      </c>
      <c r="R28" s="440">
        <f>_xll.qlInterestRateIndexMaturity(iborindex6M,Q28,Trigger)</f>
        <v>43012</v>
      </c>
      <c r="S28" s="222">
        <f>_xll.qlDayCounterYearFraction(DayCounter,Q28,R28,,,Trigger)</f>
        <v>0.50136986301369868</v>
      </c>
      <c r="T28" s="205">
        <f>_xll.qlIndexFixing(iborindex6M,_xll.qlInterestRateIndexFixingDate(iborindex6M,Q28,Trigger),TRUE,AllTriggers)</f>
        <v>2.0849385152406544E-2</v>
      </c>
      <c r="U28" s="205">
        <f>(V28/W28-1)/S28</f>
        <v>1.8105311631623051E-2</v>
      </c>
      <c r="V28" s="206">
        <f>_xll.qlYieldTSDiscount(Discounting,Q28,,AllTriggers)</f>
        <v>0.97418397611291985</v>
      </c>
      <c r="W28" s="206">
        <f>_xll.qlYieldTSDiscount(Discounting,R28,,AllTriggers)</f>
        <v>0.96542041323348571</v>
      </c>
      <c r="X28" s="441">
        <f>LN((1+T28*S28)/(1+U28*S28))</f>
        <v>1.3624907713074026E-3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144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145</v>
      </c>
      <c r="D3" s="375" t="s">
        <v>146</v>
      </c>
      <c r="E3" s="375" t="s">
        <v>38</v>
      </c>
      <c r="F3" s="375" t="s">
        <v>147</v>
      </c>
      <c r="G3" s="375" t="s">
        <v>148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AUDQM3AB6M_S3BR6BR_Quote#0004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145</v>
      </c>
      <c r="D4" s="380" t="s">
        <v>146</v>
      </c>
      <c r="E4" s="380" t="s">
        <v>38</v>
      </c>
      <c r="F4" s="380" t="s">
        <v>147</v>
      </c>
      <c r="G4" s="380" t="s">
        <v>148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AUDQM3AB1Y_S3BR6BR_Quote#0004</v>
      </c>
      <c r="L4" s="387" t="str">
        <f>_xll.ohRangeRetrieveError(K4)</f>
        <v/>
      </c>
      <c r="M4" s="235"/>
    </row>
    <row r="5" spans="1:13" x14ac:dyDescent="0.2">
      <c r="A5" s="234"/>
      <c r="B5" s="381" t="s">
        <v>149</v>
      </c>
      <c r="C5" s="380" t="s">
        <v>145</v>
      </c>
      <c r="D5" s="380" t="s">
        <v>146</v>
      </c>
      <c r="E5" s="380" t="str">
        <f>E4</f>
        <v>1D</v>
      </c>
      <c r="F5" s="380" t="s">
        <v>147</v>
      </c>
      <c r="G5" s="380" t="s">
        <v>148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AUDQM3AB2Y_S3BR6BR_Quote#0004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145</v>
      </c>
      <c r="D6" s="383" t="s">
        <v>146</v>
      </c>
      <c r="E6" s="383" t="str">
        <f>E5</f>
        <v>1D</v>
      </c>
      <c r="F6" s="383" t="s">
        <v>147</v>
      </c>
      <c r="G6" s="383" t="s">
        <v>148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AUDQM3AB3Y_S3BR6BR_Quote#0004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144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115</v>
      </c>
      <c r="C3" s="376" t="s">
        <v>36</v>
      </c>
      <c r="D3" s="375" t="s">
        <v>145</v>
      </c>
      <c r="E3" s="375" t="s">
        <v>146</v>
      </c>
      <c r="F3" s="375" t="s">
        <v>150</v>
      </c>
      <c r="G3" s="375" t="s">
        <v>147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AUDQM3AB3M_S1BR3BR_Quote#0004</v>
      </c>
      <c r="L3" s="387" t="str">
        <f>_xll.ohRangeRetrieveError(K3)</f>
        <v/>
      </c>
      <c r="M3" s="235"/>
    </row>
    <row r="4" spans="1:13" x14ac:dyDescent="0.2">
      <c r="A4" s="241"/>
      <c r="B4" s="380" t="s">
        <v>115</v>
      </c>
      <c r="C4" s="381" t="s">
        <v>37</v>
      </c>
      <c r="D4" s="380" t="s">
        <v>145</v>
      </c>
      <c r="E4" s="380" t="s">
        <v>146</v>
      </c>
      <c r="F4" s="380" t="s">
        <v>150</v>
      </c>
      <c r="G4" s="380" t="s">
        <v>147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AUDQM3AB6M_S1BR3BR_Quote#0004</v>
      </c>
      <c r="L4" s="387" t="str">
        <f>_xll.ohRangeRetrieveError(K4)</f>
        <v/>
      </c>
      <c r="M4" s="235"/>
    </row>
    <row r="5" spans="1:13" x14ac:dyDescent="0.2">
      <c r="A5" s="241"/>
      <c r="B5" s="380" t="s">
        <v>115</v>
      </c>
      <c r="C5" s="381" t="s">
        <v>45</v>
      </c>
      <c r="D5" s="380" t="s">
        <v>145</v>
      </c>
      <c r="E5" s="380" t="s">
        <v>146</v>
      </c>
      <c r="F5" s="380" t="s">
        <v>150</v>
      </c>
      <c r="G5" s="380" t="s">
        <v>147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AUDQM3AB9M_S1BR3BR_Quote#0004</v>
      </c>
      <c r="L5" s="387" t="str">
        <f>_xll.ohRangeRetrieveError(K5)</f>
        <v/>
      </c>
      <c r="M5" s="235"/>
    </row>
    <row r="6" spans="1:13" x14ac:dyDescent="0.2">
      <c r="A6" s="241"/>
      <c r="B6" s="380" t="s">
        <v>115</v>
      </c>
      <c r="C6" s="381" t="s">
        <v>23</v>
      </c>
      <c r="D6" s="380" t="s">
        <v>145</v>
      </c>
      <c r="E6" s="380" t="s">
        <v>146</v>
      </c>
      <c r="F6" s="380" t="s">
        <v>150</v>
      </c>
      <c r="G6" s="380" t="s">
        <v>147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AUDQM3AB1Y_S1BR3BR_Quote#0004</v>
      </c>
      <c r="L6" s="387" t="str">
        <f>_xll.ohRangeRetrieveError(K6)</f>
        <v/>
      </c>
      <c r="M6" s="235"/>
    </row>
    <row r="7" spans="1:13" x14ac:dyDescent="0.2">
      <c r="A7" s="242"/>
      <c r="B7" s="380" t="s">
        <v>115</v>
      </c>
      <c r="C7" s="381" t="s">
        <v>149</v>
      </c>
      <c r="D7" s="380" t="s">
        <v>145</v>
      </c>
      <c r="E7" s="380" t="s">
        <v>146</v>
      </c>
      <c r="F7" s="380" t="s">
        <v>150</v>
      </c>
      <c r="G7" s="380" t="s">
        <v>147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AUDQM3AB2Y_S1BR3BR_Quote#0004</v>
      </c>
      <c r="L7" s="387" t="str">
        <f>_xll.ohRangeRetrieveError(K7)</f>
        <v/>
      </c>
      <c r="M7" s="235"/>
    </row>
    <row r="8" spans="1:13" x14ac:dyDescent="0.2">
      <c r="A8" s="241"/>
      <c r="B8" s="380" t="s">
        <v>115</v>
      </c>
      <c r="C8" s="381" t="s">
        <v>73</v>
      </c>
      <c r="D8" s="380" t="s">
        <v>145</v>
      </c>
      <c r="E8" s="380" t="s">
        <v>146</v>
      </c>
      <c r="F8" s="380" t="s">
        <v>150</v>
      </c>
      <c r="G8" s="380" t="s">
        <v>147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AUDQM3AB3Y_S1BR3BR_Quote#0004</v>
      </c>
      <c r="L8" s="387" t="str">
        <f>_xll.ohRangeRetrieveError(K8)</f>
        <v/>
      </c>
      <c r="M8" s="235"/>
    </row>
    <row r="9" spans="1:13" x14ac:dyDescent="0.2">
      <c r="A9" s="241"/>
      <c r="B9" s="380" t="s">
        <v>115</v>
      </c>
      <c r="C9" s="381" t="s">
        <v>74</v>
      </c>
      <c r="D9" s="380" t="s">
        <v>145</v>
      </c>
      <c r="E9" s="380" t="s">
        <v>146</v>
      </c>
      <c r="F9" s="380" t="s">
        <v>150</v>
      </c>
      <c r="G9" s="380" t="s">
        <v>147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AUDQM3AB4Y_S1BR3BR_Quote#0004</v>
      </c>
      <c r="L9" s="387" t="str">
        <f>_xll.ohRangeRetrieveError(K9)</f>
        <v/>
      </c>
      <c r="M9" s="235"/>
    </row>
    <row r="10" spans="1:13" x14ac:dyDescent="0.2">
      <c r="A10" s="241"/>
      <c r="B10" s="380" t="s">
        <v>115</v>
      </c>
      <c r="C10" s="381" t="s">
        <v>75</v>
      </c>
      <c r="D10" s="380" t="s">
        <v>145</v>
      </c>
      <c r="E10" s="380" t="s">
        <v>146</v>
      </c>
      <c r="F10" s="380" t="s">
        <v>150</v>
      </c>
      <c r="G10" s="380" t="s">
        <v>147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AUDQM3AB5Y_S1BR3BR_Quote#0004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115</v>
      </c>
      <c r="C11" s="381" t="s">
        <v>118</v>
      </c>
      <c r="D11" s="380" t="s">
        <v>145</v>
      </c>
      <c r="E11" s="380" t="s">
        <v>146</v>
      </c>
      <c r="F11" s="380" t="s">
        <v>150</v>
      </c>
      <c r="G11" s="380" t="s">
        <v>147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AUDQM3AB6Y_S1BR3BR_Quote#0004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115</v>
      </c>
      <c r="C12" s="381" t="s">
        <v>119</v>
      </c>
      <c r="D12" s="380" t="s">
        <v>145</v>
      </c>
      <c r="E12" s="380" t="s">
        <v>146</v>
      </c>
      <c r="F12" s="380" t="s">
        <v>150</v>
      </c>
      <c r="G12" s="380" t="s">
        <v>147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AUDQM3AB7Y_S1BR3BR_Quote#0004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115</v>
      </c>
      <c r="C13" s="381" t="s">
        <v>120</v>
      </c>
      <c r="D13" s="380" t="s">
        <v>145</v>
      </c>
      <c r="E13" s="380" t="s">
        <v>146</v>
      </c>
      <c r="F13" s="380" t="s">
        <v>150</v>
      </c>
      <c r="G13" s="380" t="s">
        <v>147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AUDQM3AB8Y_S1BR3BR_Quote#0004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115</v>
      </c>
      <c r="C14" s="381" t="s">
        <v>151</v>
      </c>
      <c r="D14" s="380" t="s">
        <v>145</v>
      </c>
      <c r="E14" s="380" t="s">
        <v>146</v>
      </c>
      <c r="F14" s="380" t="s">
        <v>150</v>
      </c>
      <c r="G14" s="380" t="s">
        <v>147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AUDQM3AB9Y_S1BR3BR_Quote#0004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115</v>
      </c>
      <c r="C15" s="381" t="s">
        <v>152</v>
      </c>
      <c r="D15" s="380" t="s">
        <v>145</v>
      </c>
      <c r="E15" s="380" t="s">
        <v>146</v>
      </c>
      <c r="F15" s="380" t="s">
        <v>150</v>
      </c>
      <c r="G15" s="380" t="s">
        <v>147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AUDQM3AB10Y_S1BR3BR_Quote#0004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115</v>
      </c>
      <c r="C16" s="381" t="s">
        <v>153</v>
      </c>
      <c r="D16" s="380" t="s">
        <v>145</v>
      </c>
      <c r="E16" s="380" t="s">
        <v>146</v>
      </c>
      <c r="F16" s="380" t="s">
        <v>150</v>
      </c>
      <c r="G16" s="380" t="s">
        <v>147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AUDQM3AB11Y_S1BR3BR_Quote#0004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115</v>
      </c>
      <c r="C17" s="381" t="s">
        <v>154</v>
      </c>
      <c r="D17" s="380" t="s">
        <v>145</v>
      </c>
      <c r="E17" s="380" t="s">
        <v>146</v>
      </c>
      <c r="F17" s="380" t="s">
        <v>150</v>
      </c>
      <c r="G17" s="380" t="s">
        <v>147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AUDQM3AB12Y_S1BR3BR_Quote#0004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115</v>
      </c>
      <c r="C18" s="381" t="s">
        <v>155</v>
      </c>
      <c r="D18" s="380" t="s">
        <v>145</v>
      </c>
      <c r="E18" s="380" t="s">
        <v>146</v>
      </c>
      <c r="F18" s="380" t="s">
        <v>150</v>
      </c>
      <c r="G18" s="380" t="s">
        <v>147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AUDQM3AB13Y_S1BR3BR_Quote#0004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115</v>
      </c>
      <c r="C19" s="381" t="s">
        <v>156</v>
      </c>
      <c r="D19" s="380" t="s">
        <v>145</v>
      </c>
      <c r="E19" s="380" t="s">
        <v>146</v>
      </c>
      <c r="F19" s="380" t="s">
        <v>150</v>
      </c>
      <c r="G19" s="380" t="s">
        <v>147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AUDQM3AB14Y_S1BR3BR_Quote#0004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115</v>
      </c>
      <c r="C20" s="381" t="s">
        <v>157</v>
      </c>
      <c r="D20" s="380" t="s">
        <v>145</v>
      </c>
      <c r="E20" s="380" t="s">
        <v>146</v>
      </c>
      <c r="F20" s="380" t="s">
        <v>150</v>
      </c>
      <c r="G20" s="380" t="s">
        <v>147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AUDQM3AB15Y_S1BR3BR_Quote#0004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115</v>
      </c>
      <c r="C21" s="381" t="s">
        <v>158</v>
      </c>
      <c r="D21" s="380" t="s">
        <v>145</v>
      </c>
      <c r="E21" s="380" t="s">
        <v>146</v>
      </c>
      <c r="F21" s="380" t="s">
        <v>150</v>
      </c>
      <c r="G21" s="380" t="s">
        <v>147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AUDQM3AB16Y_S1BR3BR_Quote#0004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115</v>
      </c>
      <c r="C22" s="381" t="s">
        <v>159</v>
      </c>
      <c r="D22" s="380" t="s">
        <v>145</v>
      </c>
      <c r="E22" s="380" t="s">
        <v>146</v>
      </c>
      <c r="F22" s="380" t="s">
        <v>150</v>
      </c>
      <c r="G22" s="380" t="s">
        <v>147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AUDQM3AB17Y_S1BR3BR_Quote#0004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115</v>
      </c>
      <c r="C23" s="381" t="s">
        <v>160</v>
      </c>
      <c r="D23" s="380" t="s">
        <v>145</v>
      </c>
      <c r="E23" s="380" t="s">
        <v>146</v>
      </c>
      <c r="F23" s="380" t="s">
        <v>150</v>
      </c>
      <c r="G23" s="380" t="s">
        <v>147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AUDQM3AB18Y_S1BR3BR_Quote#0004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115</v>
      </c>
      <c r="C24" s="381" t="s">
        <v>161</v>
      </c>
      <c r="D24" s="380" t="s">
        <v>145</v>
      </c>
      <c r="E24" s="380" t="s">
        <v>146</v>
      </c>
      <c r="F24" s="380" t="s">
        <v>150</v>
      </c>
      <c r="G24" s="380" t="s">
        <v>147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AUDQM3AB19Y_S1BR3BR_Quote#0004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115</v>
      </c>
      <c r="C25" s="381" t="s">
        <v>162</v>
      </c>
      <c r="D25" s="380" t="s">
        <v>145</v>
      </c>
      <c r="E25" s="380" t="s">
        <v>146</v>
      </c>
      <c r="F25" s="380" t="s">
        <v>150</v>
      </c>
      <c r="G25" s="380" t="s">
        <v>147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AUDQM3AB20Y_S1BR3BR_Quote#0004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115</v>
      </c>
      <c r="C26" s="381" t="s">
        <v>163</v>
      </c>
      <c r="D26" s="380" t="s">
        <v>145</v>
      </c>
      <c r="E26" s="380" t="s">
        <v>146</v>
      </c>
      <c r="F26" s="380" t="s">
        <v>150</v>
      </c>
      <c r="G26" s="380" t="s">
        <v>147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AUDQM3AB21Y_S1BR3BR_Quote#0004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115</v>
      </c>
      <c r="C27" s="381" t="s">
        <v>164</v>
      </c>
      <c r="D27" s="380" t="s">
        <v>145</v>
      </c>
      <c r="E27" s="380" t="s">
        <v>146</v>
      </c>
      <c r="F27" s="380" t="s">
        <v>150</v>
      </c>
      <c r="G27" s="380" t="s">
        <v>147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AUDQM3AB22Y_S1BR3BR_Quote#0004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115</v>
      </c>
      <c r="C28" s="381" t="s">
        <v>165</v>
      </c>
      <c r="D28" s="380" t="s">
        <v>145</v>
      </c>
      <c r="E28" s="380" t="s">
        <v>146</v>
      </c>
      <c r="F28" s="380" t="s">
        <v>150</v>
      </c>
      <c r="G28" s="380" t="s">
        <v>147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AUDQM3AB23Y_S1BR3BR_Quote#0004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115</v>
      </c>
      <c r="C29" s="381" t="s">
        <v>166</v>
      </c>
      <c r="D29" s="380" t="s">
        <v>145</v>
      </c>
      <c r="E29" s="380" t="s">
        <v>146</v>
      </c>
      <c r="F29" s="380" t="s">
        <v>150</v>
      </c>
      <c r="G29" s="380" t="s">
        <v>147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AUDQM3AB24Y_S1BR3BR_Quote#0004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115</v>
      </c>
      <c r="C30" s="381" t="s">
        <v>167</v>
      </c>
      <c r="D30" s="380" t="s">
        <v>145</v>
      </c>
      <c r="E30" s="380" t="s">
        <v>146</v>
      </c>
      <c r="F30" s="380" t="s">
        <v>150</v>
      </c>
      <c r="G30" s="380" t="s">
        <v>147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AUDQM3AB25Y_S1BR3BR_Quote#0004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115</v>
      </c>
      <c r="C31" s="381" t="s">
        <v>168</v>
      </c>
      <c r="D31" s="380" t="s">
        <v>145</v>
      </c>
      <c r="E31" s="380" t="s">
        <v>146</v>
      </c>
      <c r="F31" s="380" t="s">
        <v>150</v>
      </c>
      <c r="G31" s="380" t="s">
        <v>147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AUDQM3AB26Y_S1BR3BR_Quote#0004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115</v>
      </c>
      <c r="C32" s="381" t="s">
        <v>169</v>
      </c>
      <c r="D32" s="380" t="s">
        <v>145</v>
      </c>
      <c r="E32" s="380" t="s">
        <v>146</v>
      </c>
      <c r="F32" s="380" t="s">
        <v>150</v>
      </c>
      <c r="G32" s="380" t="s">
        <v>147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AUDQM3AB27Y_S1BR3BR_Quote#0004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115</v>
      </c>
      <c r="C33" s="381" t="s">
        <v>170</v>
      </c>
      <c r="D33" s="380" t="s">
        <v>145</v>
      </c>
      <c r="E33" s="380" t="s">
        <v>146</v>
      </c>
      <c r="F33" s="380" t="s">
        <v>150</v>
      </c>
      <c r="G33" s="380" t="s">
        <v>147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AUDQM3AB28Y_S1BR3BR_Quote#0004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115</v>
      </c>
      <c r="C34" s="381" t="s">
        <v>171</v>
      </c>
      <c r="D34" s="380" t="s">
        <v>145</v>
      </c>
      <c r="E34" s="380" t="s">
        <v>146</v>
      </c>
      <c r="F34" s="380" t="s">
        <v>150</v>
      </c>
      <c r="G34" s="380" t="s">
        <v>147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AUDQM3AB29Y_S1BR3BR_Quote#0004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115</v>
      </c>
      <c r="C35" s="384" t="s">
        <v>172</v>
      </c>
      <c r="D35" s="383" t="s">
        <v>145</v>
      </c>
      <c r="E35" s="383" t="s">
        <v>146</v>
      </c>
      <c r="F35" s="383" t="s">
        <v>150</v>
      </c>
      <c r="G35" s="383" t="s">
        <v>147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AUDQM3AB30Y_S1BR3BR_Quote#0004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2015-10-01T10:44:24Z</dcterms:modified>
</cp:coreProperties>
</file>