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8630" yWindow="-15" windowWidth="18690" windowHeight="12030"/>
  </bookViews>
  <sheets>
    <sheet name="GeneralSettings" sheetId="1" r:id="rId1"/>
    <sheet name="GBPON" sheetId="14" r:id="rId2"/>
    <sheet name="GBP3M" sheetId="15" r:id="rId3"/>
    <sheet name="GBP6M" sheetId="16" r:id="rId4"/>
    <sheet name="GBP1M" sheetId="17" r:id="rId5"/>
    <sheet name="GBP1Y" sheetId="18" r:id="rId6"/>
  </sheets>
  <externalReferences>
    <externalReference r:id="rId7"/>
  </externalReferences>
  <definedNames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FuturesType" localSheetId="2">GBP3M!$H$24</definedName>
    <definedName name="IncludeFlag" localSheetId="4">GBP1M!$P$3:$P$55</definedName>
    <definedName name="IncludeFlag" localSheetId="5">GBP1Y!$P$3:$P$79</definedName>
    <definedName name="IncludeFlag" localSheetId="2">GBP3M!$P$3:$P$130</definedName>
    <definedName name="IncludeFlag" localSheetId="3">GBP6M!$P$3:$P$64</definedName>
    <definedName name="IncludeFlag" localSheetId="1">GBPON!$L$3:$L$41</definedName>
    <definedName name="JumpDates_1M">GBP1M!$AF$11:$AF$23</definedName>
    <definedName name="JumpDates_3M">GBP3M!$AF$11:$AF$23</definedName>
    <definedName name="JumpDates_6M">GBP6M!$AF$11:$AF$23</definedName>
    <definedName name="JumpDates_ON">GBPON!$AB$11:$AB$23</definedName>
    <definedName name="JumpQuotes_1M">GBP1M!$AL$11:$AL$23</definedName>
    <definedName name="JumpQuotes_3M">GBP3M!$AL$11:$AL$23</definedName>
    <definedName name="JumpQuotes_6M">GBP6M!$AL$11:$AL$23</definedName>
    <definedName name="JumpQuotes_ON">GBPON!$AH$11:$AH$23</definedName>
    <definedName name="JumpSuffix">GeneralSettings!$I$9</definedName>
    <definedName name="MinDistance" localSheetId="4">GBP1M!$R$3:$R$55</definedName>
    <definedName name="MinDistance" localSheetId="5">GBP1Y!$R$3:$R$79</definedName>
    <definedName name="MinDistance" localSheetId="2">GBP3M!$R$3:$R$130</definedName>
    <definedName name="MinDistance" localSheetId="3">GBP6M!$R$3:$R$64</definedName>
    <definedName name="MinDistance" localSheetId="1">GBPON!$N$3:$N$41</definedName>
    <definedName name="ObjectOverwrite">GeneralSettings!$D$6</definedName>
    <definedName name="Permanent">GeneralSettings!$D$4</definedName>
    <definedName name="PillarDate">GeneralSettings!$D$8</definedName>
    <definedName name="Priority" localSheetId="4">GBP1M!$Q$3:$Q$55</definedName>
    <definedName name="Priority" localSheetId="5">GBP1Y!$Q$3:$Q$79</definedName>
    <definedName name="Priority" localSheetId="2">GBP3M!$Q$3:$Q$130</definedName>
    <definedName name="Priority" localSheetId="3">GBP6M!$Q$3:$Q$64</definedName>
    <definedName name="Priority" localSheetId="1">GBPON!$M$3:$M$41</definedName>
    <definedName name="QuoteSuffix">GeneralSettings!$I$8</definedName>
    <definedName name="RateHelpers" localSheetId="4">GBP1M!$M$3:$M$55</definedName>
    <definedName name="RateHelpers" localSheetId="5">GBP1Y!$M$3:$M$79</definedName>
    <definedName name="RateHelpers" localSheetId="2">GBP3M!$M$3:$M$130</definedName>
    <definedName name="RateHelpers" localSheetId="3">GBP6M!$M$3:$M$64</definedName>
    <definedName name="RateHelpers" localSheetId="1">GBPON!$I$3:$I$41</definedName>
    <definedName name="RateHelpers1M">GBP1M!$W$3:$W$55</definedName>
    <definedName name="RateHelpers1Y">GBP1Y!$W$3:$W$79</definedName>
    <definedName name="RateHelpers3M">GBP3M!$W$3:$W$130</definedName>
    <definedName name="RateHelpers6M">GBP6M!$W$3:$W$64</definedName>
    <definedName name="RateHelpersON">GBPON!$S$3:$S$41</definedName>
    <definedName name="Settlementdate">GeneralSettings!$I$4</definedName>
    <definedName name="Tenor" localSheetId="4">GBP1M!$G$1</definedName>
    <definedName name="Tenor" localSheetId="5">GBP1Y!$G$1</definedName>
    <definedName name="Tenor" localSheetId="2">GBP3M!$G$1</definedName>
    <definedName name="Tenor" localSheetId="3">GBP6M!$G$1</definedName>
    <definedName name="Trigger">GeneralSettings!$D$5</definedName>
    <definedName name="YieldCurve_1M">GeneralSettings!$I$28</definedName>
    <definedName name="YieldCurve_1Y">GeneralSettings!$D$43</definedName>
    <definedName name="YieldCurve_3M">GeneralSettings!$I$13</definedName>
    <definedName name="YieldCurve_6M">GeneralSettings!$D$28</definedName>
    <definedName name="YieldCurve_ON">GeneralSettings!$D$13</definedName>
  </definedNames>
  <calcPr calcId="145621"/>
</workbook>
</file>

<file path=xl/calcChain.xml><?xml version="1.0" encoding="utf-8"?>
<calcChain xmlns="http://schemas.openxmlformats.org/spreadsheetml/2006/main">
  <c r="H83" i="18" l="1"/>
  <c r="H82" i="18"/>
  <c r="H81" i="18"/>
  <c r="H80" i="18"/>
  <c r="H79" i="18"/>
  <c r="H78" i="18"/>
  <c r="H77" i="18"/>
  <c r="H76" i="18"/>
  <c r="H75" i="18"/>
  <c r="H74" i="18"/>
  <c r="H73" i="18"/>
  <c r="H72" i="18"/>
  <c r="H71" i="18"/>
  <c r="H70" i="18"/>
  <c r="H69" i="18"/>
  <c r="H68" i="18"/>
  <c r="H67" i="18"/>
  <c r="H66" i="18"/>
  <c r="H65" i="18"/>
  <c r="H64" i="18"/>
  <c r="H63" i="18"/>
  <c r="H62" i="18"/>
  <c r="H61" i="18"/>
  <c r="H60" i="18"/>
  <c r="H59" i="18"/>
  <c r="H58" i="18"/>
  <c r="H57" i="18"/>
  <c r="H56" i="18"/>
  <c r="H55" i="18"/>
  <c r="H54" i="18"/>
  <c r="H53" i="18"/>
  <c r="H52" i="18"/>
  <c r="H51" i="18"/>
  <c r="H50" i="18"/>
  <c r="H49" i="18"/>
  <c r="H48" i="18"/>
  <c r="H47" i="18"/>
  <c r="I142" i="15"/>
  <c r="I141" i="15"/>
  <c r="I140" i="15"/>
  <c r="I139" i="15"/>
  <c r="I138" i="15"/>
  <c r="I137" i="15"/>
  <c r="I136" i="15"/>
  <c r="I135" i="15"/>
  <c r="I134" i="15"/>
  <c r="I133" i="15"/>
  <c r="I132" i="15"/>
  <c r="I131" i="15"/>
  <c r="I130" i="15"/>
  <c r="I129" i="15"/>
  <c r="I128" i="15"/>
  <c r="I127" i="15"/>
  <c r="I126" i="15"/>
  <c r="I125" i="15"/>
  <c r="I124" i="15"/>
  <c r="I123" i="15"/>
  <c r="I122" i="15"/>
  <c r="I121" i="15"/>
  <c r="I120" i="15"/>
  <c r="I119" i="15"/>
  <c r="I118" i="15"/>
  <c r="I117" i="15"/>
  <c r="I116" i="15"/>
  <c r="I115" i="15"/>
  <c r="I114" i="15"/>
  <c r="I113" i="15"/>
  <c r="I112" i="15"/>
  <c r="I111" i="15"/>
  <c r="I110" i="15"/>
  <c r="I109" i="15"/>
  <c r="I108" i="15"/>
  <c r="I107" i="15"/>
  <c r="I106" i="15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I59" i="17"/>
  <c r="I58" i="17"/>
  <c r="I57" i="17"/>
  <c r="I56" i="17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M49" i="15"/>
  <c r="M48" i="15"/>
  <c r="M47" i="15"/>
  <c r="M46" i="15"/>
  <c r="M45" i="15"/>
  <c r="M44" i="15"/>
  <c r="H55" i="15"/>
  <c r="G55" i="15"/>
  <c r="H54" i="15"/>
  <c r="G54" i="15"/>
  <c r="H53" i="15"/>
  <c r="G53" i="15"/>
  <c r="H52" i="15"/>
  <c r="G52" i="15"/>
  <c r="H51" i="15"/>
  <c r="G51" i="15"/>
  <c r="H50" i="15"/>
  <c r="G50" i="15"/>
  <c r="C4" i="15"/>
  <c r="C3" i="15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J83" i="18"/>
  <c r="J55" i="18"/>
  <c r="J58" i="18"/>
  <c r="J81" i="18"/>
  <c r="J75" i="18"/>
  <c r="J62" i="18"/>
  <c r="J73" i="18"/>
  <c r="J56" i="18"/>
  <c r="J67" i="18"/>
  <c r="J77" i="18"/>
  <c r="J80" i="18"/>
  <c r="J63" i="18"/>
  <c r="J59" i="18"/>
  <c r="J53" i="18"/>
  <c r="J64" i="18"/>
  <c r="J70" i="18"/>
  <c r="J65" i="18"/>
  <c r="J60" i="18"/>
  <c r="J71" i="18"/>
  <c r="J54" i="18"/>
  <c r="J57" i="18"/>
  <c r="J82" i="18"/>
  <c r="J78" i="18"/>
  <c r="J61" i="18"/>
  <c r="J72" i="18"/>
  <c r="J74" i="18"/>
  <c r="J69" i="18"/>
  <c r="J68" i="18"/>
  <c r="J79" i="18"/>
  <c r="J66" i="18"/>
  <c r="J76" i="18"/>
  <c r="J52" i="18"/>
  <c r="T49" i="15"/>
  <c r="S47" i="15"/>
  <c r="J42" i="16"/>
  <c r="G3" i="17"/>
  <c r="O46" i="15"/>
  <c r="J71" i="16"/>
  <c r="J48" i="16"/>
  <c r="N46" i="15"/>
  <c r="G3" i="18"/>
  <c r="J49" i="16"/>
  <c r="N47" i="15"/>
  <c r="O49" i="15"/>
  <c r="N45" i="15"/>
  <c r="G10" i="18"/>
  <c r="G10" i="16"/>
  <c r="O48" i="15"/>
  <c r="G16" i="18"/>
  <c r="J39" i="16"/>
  <c r="G11" i="18"/>
  <c r="S44" i="15"/>
  <c r="J67" i="16"/>
  <c r="T48" i="15"/>
  <c r="J12" i="18"/>
  <c r="J41" i="16"/>
  <c r="S49" i="15"/>
  <c r="J70" i="16"/>
  <c r="N48" i="15"/>
  <c r="O47" i="15"/>
  <c r="S45" i="15"/>
  <c r="N49" i="15"/>
  <c r="N44" i="15"/>
  <c r="J8" i="18"/>
  <c r="G3" i="16"/>
  <c r="J46" i="16"/>
  <c r="J44" i="16"/>
  <c r="G13" i="18"/>
  <c r="G17" i="18"/>
  <c r="S48" i="15"/>
  <c r="G15" i="18"/>
  <c r="T45" i="15"/>
  <c r="J43" i="16"/>
  <c r="G14" i="18"/>
  <c r="G6" i="16"/>
  <c r="T46" i="15"/>
  <c r="G3" i="15"/>
  <c r="J52" i="16"/>
  <c r="T44" i="15"/>
  <c r="G11" i="16"/>
  <c r="G6" i="18"/>
  <c r="J69" i="16"/>
  <c r="J40" i="16"/>
  <c r="J47" i="16"/>
  <c r="J62" i="16"/>
  <c r="J18" i="18"/>
  <c r="O45" i="15"/>
  <c r="O44" i="15"/>
  <c r="J57" i="16"/>
  <c r="S46" i="15"/>
  <c r="J45" i="16"/>
  <c r="T47" i="15"/>
  <c r="J7" i="18"/>
  <c r="L79" i="18" l="1"/>
  <c r="G83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82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18" i="18"/>
  <c r="G12" i="18"/>
  <c r="G9" i="18"/>
  <c r="G8" i="18"/>
  <c r="G7" i="18"/>
  <c r="G4" i="18"/>
  <c r="H1" i="18"/>
  <c r="H3" i="18"/>
  <c r="AG23" i="17"/>
  <c r="AG22" i="17"/>
  <c r="AG21" i="17"/>
  <c r="AG20" i="17"/>
  <c r="AG19" i="17"/>
  <c r="AG18" i="17"/>
  <c r="AG17" i="17"/>
  <c r="AG16" i="17"/>
  <c r="AG15" i="17"/>
  <c r="AG14" i="17"/>
  <c r="AG13" i="17"/>
  <c r="AG12" i="17"/>
  <c r="AG11" i="17"/>
  <c r="M52" i="17"/>
  <c r="M50" i="17"/>
  <c r="M49" i="17"/>
  <c r="M48" i="17"/>
  <c r="M47" i="17"/>
  <c r="M45" i="17"/>
  <c r="M44" i="17"/>
  <c r="M43" i="17"/>
  <c r="M42" i="17"/>
  <c r="M40" i="17"/>
  <c r="M39" i="17"/>
  <c r="M38" i="17"/>
  <c r="M37" i="17"/>
  <c r="M35" i="17"/>
  <c r="M34" i="17"/>
  <c r="M32" i="17"/>
  <c r="M22" i="17"/>
  <c r="M21" i="17"/>
  <c r="M20" i="17"/>
  <c r="M19" i="17"/>
  <c r="L55" i="17"/>
  <c r="L54" i="17"/>
  <c r="L53" i="17"/>
  <c r="L52" i="17"/>
  <c r="L51" i="17"/>
  <c r="L50" i="17"/>
  <c r="L49" i="17"/>
  <c r="L48" i="17"/>
  <c r="L47" i="17"/>
  <c r="L46" i="17"/>
  <c r="L45" i="17"/>
  <c r="L44" i="17"/>
  <c r="L43" i="17"/>
  <c r="L42" i="17"/>
  <c r="L41" i="17"/>
  <c r="L40" i="17"/>
  <c r="L39" i="17"/>
  <c r="L38" i="17"/>
  <c r="L37" i="17"/>
  <c r="L36" i="17"/>
  <c r="L35" i="17"/>
  <c r="L34" i="17"/>
  <c r="L33" i="17"/>
  <c r="L32" i="17"/>
  <c r="L31" i="17"/>
  <c r="L30" i="17"/>
  <c r="L29" i="17"/>
  <c r="L28" i="17"/>
  <c r="L27" i="17"/>
  <c r="L26" i="17"/>
  <c r="L25" i="17"/>
  <c r="L24" i="17"/>
  <c r="L23" i="17"/>
  <c r="L22" i="17"/>
  <c r="L21" i="17"/>
  <c r="L20" i="17"/>
  <c r="L19" i="17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H8" i="17"/>
  <c r="H18" i="17" s="1"/>
  <c r="G20" i="17"/>
  <c r="G19" i="17"/>
  <c r="G18" i="17"/>
  <c r="G17" i="17"/>
  <c r="G16" i="17"/>
  <c r="G15" i="17"/>
  <c r="G14" i="17"/>
  <c r="G13" i="17"/>
  <c r="G12" i="17"/>
  <c r="G11" i="17"/>
  <c r="G10" i="17"/>
  <c r="H1" i="17"/>
  <c r="H7" i="17" s="1"/>
  <c r="G7" i="17"/>
  <c r="C7" i="17"/>
  <c r="H6" i="17"/>
  <c r="C6" i="17"/>
  <c r="C5" i="17"/>
  <c r="G4" i="17"/>
  <c r="N32" i="17"/>
  <c r="J33" i="17"/>
  <c r="J31" i="17"/>
  <c r="J58" i="17"/>
  <c r="J29" i="17"/>
  <c r="J57" i="17"/>
  <c r="S40" i="17"/>
  <c r="S44" i="17"/>
  <c r="T52" i="17"/>
  <c r="S39" i="17"/>
  <c r="O43" i="17"/>
  <c r="N47" i="17"/>
  <c r="J40" i="17"/>
  <c r="S35" i="17"/>
  <c r="N22" i="17"/>
  <c r="T34" i="17"/>
  <c r="T22" i="17"/>
  <c r="S49" i="17"/>
  <c r="T32" i="17"/>
  <c r="O52" i="17"/>
  <c r="J10" i="18"/>
  <c r="N37" i="17"/>
  <c r="N40" i="17"/>
  <c r="J18" i="17"/>
  <c r="T20" i="17"/>
  <c r="N44" i="17"/>
  <c r="N21" i="17"/>
  <c r="T21" i="17"/>
  <c r="O48" i="17"/>
  <c r="O47" i="17"/>
  <c r="J45" i="17"/>
  <c r="N45" i="17"/>
  <c r="O22" i="17"/>
  <c r="T48" i="17"/>
  <c r="J34" i="17"/>
  <c r="S22" i="17"/>
  <c r="S20" i="17"/>
  <c r="O40" i="17"/>
  <c r="N38" i="17"/>
  <c r="J17" i="18"/>
  <c r="S42" i="17"/>
  <c r="J11" i="18"/>
  <c r="O49" i="17"/>
  <c r="S19" i="17"/>
  <c r="O42" i="17"/>
  <c r="J32" i="17"/>
  <c r="O38" i="17"/>
  <c r="N20" i="17"/>
  <c r="S32" i="17"/>
  <c r="S37" i="17"/>
  <c r="S52" i="17"/>
  <c r="J13" i="18"/>
  <c r="N52" i="17"/>
  <c r="N19" i="17"/>
  <c r="S21" i="17"/>
  <c r="J55" i="17"/>
  <c r="S43" i="17"/>
  <c r="T44" i="17"/>
  <c r="J15" i="18"/>
  <c r="T50" i="17"/>
  <c r="J7" i="17"/>
  <c r="O35" i="17"/>
  <c r="N43" i="17"/>
  <c r="G5" i="17"/>
  <c r="N34" i="17"/>
  <c r="O50" i="17"/>
  <c r="J28" i="17"/>
  <c r="O21" i="17"/>
  <c r="T19" i="17"/>
  <c r="T40" i="17"/>
  <c r="J14" i="18"/>
  <c r="T39" i="17"/>
  <c r="O44" i="17"/>
  <c r="J30" i="17"/>
  <c r="T38" i="17"/>
  <c r="N50" i="17"/>
  <c r="S47" i="17"/>
  <c r="O39" i="17"/>
  <c r="T45" i="17"/>
  <c r="N35" i="17"/>
  <c r="O20" i="17"/>
  <c r="O32" i="17"/>
  <c r="T42" i="17"/>
  <c r="J50" i="17"/>
  <c r="J37" i="17"/>
  <c r="O37" i="17"/>
  <c r="T35" i="17"/>
  <c r="S45" i="17"/>
  <c r="S50" i="17"/>
  <c r="J35" i="17"/>
  <c r="N48" i="17"/>
  <c r="N42" i="17"/>
  <c r="T47" i="17"/>
  <c r="S48" i="17"/>
  <c r="O45" i="17"/>
  <c r="N49" i="17"/>
  <c r="N39" i="17"/>
  <c r="J59" i="17"/>
  <c r="J27" i="17"/>
  <c r="O34" i="17"/>
  <c r="G6" i="17"/>
  <c r="J16" i="18"/>
  <c r="S38" i="17"/>
  <c r="T43" i="17"/>
  <c r="T49" i="17"/>
  <c r="T37" i="17"/>
  <c r="S34" i="17"/>
  <c r="O19" i="17"/>
  <c r="H3" i="17" l="1"/>
  <c r="H12" i="17"/>
  <c r="H14" i="17"/>
  <c r="H15" i="17"/>
  <c r="H13" i="17"/>
  <c r="H16" i="17"/>
  <c r="H19" i="17"/>
  <c r="H11" i="17"/>
  <c r="H5" i="17"/>
  <c r="H20" i="17"/>
  <c r="H4" i="17"/>
  <c r="H17" i="17"/>
  <c r="H10" i="17"/>
  <c r="AG23" i="16"/>
  <c r="AL23" i="16" s="1"/>
  <c r="AG22" i="16"/>
  <c r="AL22" i="16" s="1"/>
  <c r="AG21" i="16"/>
  <c r="AL21" i="16" s="1"/>
  <c r="AG20" i="16"/>
  <c r="AL20" i="16" s="1"/>
  <c r="AG19" i="16"/>
  <c r="AL19" i="16" s="1"/>
  <c r="AG18" i="16"/>
  <c r="AL18" i="16" s="1"/>
  <c r="AG17" i="16"/>
  <c r="AL17" i="16" s="1"/>
  <c r="AG16" i="16"/>
  <c r="AL16" i="16" s="1"/>
  <c r="AG15" i="16"/>
  <c r="AL15" i="16" s="1"/>
  <c r="AG14" i="16"/>
  <c r="AL14" i="16" s="1"/>
  <c r="AG13" i="16"/>
  <c r="AL13" i="16" s="1"/>
  <c r="AG12" i="16"/>
  <c r="AL12" i="16" s="1"/>
  <c r="AG11" i="16"/>
  <c r="AL11" i="16" s="1"/>
  <c r="G36" i="16"/>
  <c r="H36" i="16"/>
  <c r="G37" i="16"/>
  <c r="H37" i="16"/>
  <c r="G38" i="16"/>
  <c r="H38" i="16"/>
  <c r="L64" i="16"/>
  <c r="L63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5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5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H3" i="16" s="1"/>
  <c r="G12" i="16"/>
  <c r="G9" i="16"/>
  <c r="G8" i="16"/>
  <c r="G7" i="16"/>
  <c r="G4" i="16"/>
  <c r="J11" i="17"/>
  <c r="J10" i="17"/>
  <c r="J12" i="17"/>
  <c r="J17" i="17"/>
  <c r="J14" i="17"/>
  <c r="J20" i="17"/>
  <c r="J13" i="17"/>
  <c r="J15" i="17"/>
  <c r="J19" i="17"/>
  <c r="J16" i="17"/>
  <c r="M46" i="17" l="1"/>
  <c r="M31" i="17"/>
  <c r="M33" i="17"/>
  <c r="M55" i="17"/>
  <c r="M30" i="17"/>
  <c r="M54" i="17"/>
  <c r="M23" i="17"/>
  <c r="M26" i="17"/>
  <c r="M25" i="17"/>
  <c r="M24" i="17"/>
  <c r="M41" i="17"/>
  <c r="M28" i="17"/>
  <c r="M27" i="17"/>
  <c r="M53" i="17"/>
  <c r="M29" i="17"/>
  <c r="M36" i="17"/>
  <c r="M51" i="17"/>
  <c r="M43" i="16"/>
  <c r="M59" i="16"/>
  <c r="M44" i="16"/>
  <c r="M52" i="16"/>
  <c r="M53" i="16"/>
  <c r="M54" i="16"/>
  <c r="M32" i="16"/>
  <c r="M48" i="16"/>
  <c r="M41" i="16"/>
  <c r="M49" i="16"/>
  <c r="M57" i="16"/>
  <c r="M51" i="16"/>
  <c r="M46" i="16"/>
  <c r="M47" i="16"/>
  <c r="M56" i="16"/>
  <c r="M58" i="16"/>
  <c r="AG23" i="15"/>
  <c r="AL23" i="15" s="1"/>
  <c r="AG22" i="15"/>
  <c r="AL22" i="15" s="1"/>
  <c r="AG21" i="15"/>
  <c r="AL21" i="15" s="1"/>
  <c r="AG20" i="15"/>
  <c r="AL20" i="15" s="1"/>
  <c r="AG19" i="15"/>
  <c r="AL19" i="15" s="1"/>
  <c r="AG18" i="15"/>
  <c r="AL18" i="15" s="1"/>
  <c r="AG17" i="15"/>
  <c r="AL17" i="15" s="1"/>
  <c r="AG16" i="15"/>
  <c r="AL16" i="15" s="1"/>
  <c r="AG15" i="15"/>
  <c r="AL15" i="15" s="1"/>
  <c r="AG14" i="15"/>
  <c r="AL14" i="15" s="1"/>
  <c r="AG13" i="15"/>
  <c r="AL13" i="15" s="1"/>
  <c r="AG12" i="15"/>
  <c r="AL12" i="15" s="1"/>
  <c r="AG11" i="15"/>
  <c r="AL11" i="15" s="1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3" i="15"/>
  <c r="G102" i="15"/>
  <c r="G101" i="15"/>
  <c r="G100" i="15"/>
  <c r="G99" i="15"/>
  <c r="G98" i="15"/>
  <c r="G97" i="15"/>
  <c r="H103" i="15"/>
  <c r="H102" i="15"/>
  <c r="H101" i="15"/>
  <c r="H100" i="15"/>
  <c r="H99" i="15"/>
  <c r="H98" i="15"/>
  <c r="H97" i="15"/>
  <c r="H58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H1" i="15"/>
  <c r="C13" i="15"/>
  <c r="C23" i="15"/>
  <c r="C22" i="15"/>
  <c r="C21" i="15"/>
  <c r="C20" i="15"/>
  <c r="C19" i="15"/>
  <c r="C18" i="15"/>
  <c r="C17" i="15"/>
  <c r="C16" i="15"/>
  <c r="C15" i="15"/>
  <c r="C14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O54" i="17"/>
  <c r="J66" i="15"/>
  <c r="N26" i="17"/>
  <c r="J85" i="15"/>
  <c r="O24" i="17"/>
  <c r="N25" i="17"/>
  <c r="O41" i="17"/>
  <c r="J93" i="15"/>
  <c r="S41" i="17"/>
  <c r="J65" i="15"/>
  <c r="O55" i="17"/>
  <c r="T24" i="17"/>
  <c r="O27" i="17"/>
  <c r="J64" i="15"/>
  <c r="T31" i="17"/>
  <c r="N24" i="17"/>
  <c r="S55" i="17"/>
  <c r="O23" i="17"/>
  <c r="T23" i="17"/>
  <c r="S51" i="17"/>
  <c r="T29" i="17"/>
  <c r="O28" i="17"/>
  <c r="O26" i="17"/>
  <c r="T53" i="17"/>
  <c r="N33" i="17"/>
  <c r="S24" i="17"/>
  <c r="N27" i="17"/>
  <c r="T33" i="17"/>
  <c r="T36" i="17"/>
  <c r="T27" i="17"/>
  <c r="O51" i="17"/>
  <c r="J72" i="15"/>
  <c r="O46" i="17"/>
  <c r="T26" i="17"/>
  <c r="O25" i="17"/>
  <c r="N28" i="17"/>
  <c r="S28" i="17"/>
  <c r="J63" i="15"/>
  <c r="S53" i="17"/>
  <c r="S54" i="17"/>
  <c r="T55" i="17"/>
  <c r="N54" i="17"/>
  <c r="N29" i="17"/>
  <c r="J80" i="15"/>
  <c r="S23" i="17"/>
  <c r="J68" i="15"/>
  <c r="S29" i="17"/>
  <c r="T54" i="17"/>
  <c r="N46" i="17"/>
  <c r="S31" i="17"/>
  <c r="S30" i="17"/>
  <c r="T41" i="17"/>
  <c r="T28" i="17"/>
  <c r="O30" i="17"/>
  <c r="J92" i="15"/>
  <c r="N55" i="17"/>
  <c r="O53" i="17"/>
  <c r="S26" i="17"/>
  <c r="J94" i="15"/>
  <c r="T46" i="17"/>
  <c r="O31" i="17"/>
  <c r="S33" i="17"/>
  <c r="T30" i="17"/>
  <c r="O36" i="17"/>
  <c r="S27" i="17"/>
  <c r="N23" i="17"/>
  <c r="S25" i="17"/>
  <c r="J69" i="15"/>
  <c r="J70" i="15"/>
  <c r="N51" i="17"/>
  <c r="S36" i="17"/>
  <c r="N36" i="17"/>
  <c r="T25" i="17"/>
  <c r="N41" i="17"/>
  <c r="S46" i="17"/>
  <c r="N30" i="17"/>
  <c r="J67" i="15"/>
  <c r="J75" i="15"/>
  <c r="O29" i="17"/>
  <c r="N31" i="17"/>
  <c r="N53" i="17"/>
  <c r="O33" i="17"/>
  <c r="J90" i="15"/>
  <c r="T51" i="17"/>
  <c r="L95" i="15" l="1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125" i="15"/>
  <c r="L126" i="15"/>
  <c r="L127" i="15"/>
  <c r="L128" i="15"/>
  <c r="L129" i="15"/>
  <c r="L130" i="15"/>
  <c r="L94" i="15"/>
  <c r="G7" i="15"/>
  <c r="G8" i="15"/>
  <c r="G9" i="15"/>
  <c r="G4" i="15"/>
  <c r="M123" i="15" l="1"/>
  <c r="M116" i="15"/>
  <c r="M104" i="15"/>
  <c r="M113" i="15"/>
  <c r="M124" i="15"/>
  <c r="M121" i="15"/>
  <c r="M102" i="15"/>
  <c r="M129" i="15"/>
  <c r="M110" i="15"/>
  <c r="M118" i="15"/>
  <c r="M127" i="15"/>
  <c r="M96" i="15"/>
  <c r="M101" i="15"/>
  <c r="M112" i="15"/>
  <c r="M109" i="15"/>
  <c r="M106" i="15"/>
  <c r="M117" i="15"/>
  <c r="M128" i="15"/>
  <c r="M111" i="15"/>
  <c r="M108" i="15"/>
  <c r="M126" i="15"/>
  <c r="M98" i="15"/>
  <c r="M100" i="15"/>
  <c r="M95" i="15"/>
  <c r="M120" i="15"/>
  <c r="M99" i="15"/>
  <c r="M103" i="15"/>
  <c r="M114" i="15"/>
  <c r="M107" i="15"/>
  <c r="M125" i="15"/>
  <c r="M97" i="15"/>
  <c r="M122" i="15"/>
  <c r="M115" i="15"/>
  <c r="M94" i="15"/>
  <c r="M119" i="15"/>
  <c r="M105" i="15"/>
  <c r="M130" i="15"/>
  <c r="D45" i="1"/>
  <c r="I30" i="1"/>
  <c r="D30" i="1"/>
  <c r="I15" i="1"/>
  <c r="AC23" i="14" l="1"/>
  <c r="AH23" i="14" s="1"/>
  <c r="AC22" i="14"/>
  <c r="AH22" i="14" s="1"/>
  <c r="AC21" i="14"/>
  <c r="AH21" i="14" s="1"/>
  <c r="AC20" i="14"/>
  <c r="AH20" i="14" s="1"/>
  <c r="AC19" i="14"/>
  <c r="AH19" i="14" s="1"/>
  <c r="AC18" i="14"/>
  <c r="AH18" i="14" s="1"/>
  <c r="AC17" i="14"/>
  <c r="AH17" i="14" s="1"/>
  <c r="AC16" i="14"/>
  <c r="AH16" i="14" s="1"/>
  <c r="AC15" i="14"/>
  <c r="AH15" i="14" s="1"/>
  <c r="AC14" i="14"/>
  <c r="AH14" i="14" s="1"/>
  <c r="AC13" i="14"/>
  <c r="AH13" i="14" s="1"/>
  <c r="AC12" i="14"/>
  <c r="AH12" i="14" s="1"/>
  <c r="AC11" i="14"/>
  <c r="AH11" i="14" s="1"/>
  <c r="R1" i="14"/>
  <c r="H36" i="14"/>
  <c r="H37" i="14"/>
  <c r="H38" i="14"/>
  <c r="H39" i="14"/>
  <c r="H40" i="14"/>
  <c r="H41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6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5" i="14"/>
  <c r="D4" i="14"/>
  <c r="D3" i="14"/>
  <c r="D15" i="1"/>
  <c r="N97" i="15"/>
  <c r="F14" i="14"/>
  <c r="T108" i="15"/>
  <c r="F37" i="14"/>
  <c r="O117" i="15"/>
  <c r="O109" i="15"/>
  <c r="AI12" i="17"/>
  <c r="O106" i="15"/>
  <c r="F32" i="14"/>
  <c r="AI15" i="16"/>
  <c r="S117" i="15"/>
  <c r="N99" i="15"/>
  <c r="O94" i="15"/>
  <c r="AE15" i="14"/>
  <c r="N112" i="15"/>
  <c r="N117" i="15"/>
  <c r="AI14" i="17"/>
  <c r="O101" i="15"/>
  <c r="F9" i="14"/>
  <c r="AI20" i="17"/>
  <c r="F24" i="14"/>
  <c r="S104" i="15"/>
  <c r="N94" i="15"/>
  <c r="F33" i="14"/>
  <c r="S118" i="15"/>
  <c r="N116" i="15"/>
  <c r="O120" i="15"/>
  <c r="T129" i="15"/>
  <c r="O103" i="15"/>
  <c r="T100" i="15"/>
  <c r="N109" i="15"/>
  <c r="AE18" i="14"/>
  <c r="N118" i="15"/>
  <c r="S103" i="15"/>
  <c r="N124" i="15"/>
  <c r="N100" i="15"/>
  <c r="T117" i="15"/>
  <c r="N130" i="15"/>
  <c r="AI14" i="16"/>
  <c r="S114" i="15"/>
  <c r="N102" i="15"/>
  <c r="AI20" i="15"/>
  <c r="O96" i="15"/>
  <c r="AE11" i="14"/>
  <c r="T105" i="15"/>
  <c r="T114" i="15"/>
  <c r="O123" i="15"/>
  <c r="T104" i="15"/>
  <c r="T106" i="15"/>
  <c r="S124" i="15"/>
  <c r="T125" i="15"/>
  <c r="O122" i="15"/>
  <c r="T124" i="15"/>
  <c r="T116" i="15"/>
  <c r="T128" i="15"/>
  <c r="F15" i="14"/>
  <c r="S123" i="15"/>
  <c r="T115" i="15"/>
  <c r="O116" i="15"/>
  <c r="AE23" i="14"/>
  <c r="S121" i="15"/>
  <c r="S109" i="15"/>
  <c r="F18" i="14"/>
  <c r="N126" i="15"/>
  <c r="T99" i="15"/>
  <c r="N106" i="15"/>
  <c r="O119" i="15"/>
  <c r="O99" i="15"/>
  <c r="F31" i="14"/>
  <c r="AI21" i="17"/>
  <c r="F30" i="14"/>
  <c r="S110" i="15"/>
  <c r="N119" i="15"/>
  <c r="T101" i="15"/>
  <c r="O127" i="15"/>
  <c r="AE12" i="14"/>
  <c r="N104" i="15"/>
  <c r="F34" i="14"/>
  <c r="N114" i="15"/>
  <c r="S125" i="15"/>
  <c r="AE21" i="14"/>
  <c r="S108" i="15"/>
  <c r="S111" i="15"/>
  <c r="F38" i="14"/>
  <c r="O121" i="15"/>
  <c r="F40" i="14"/>
  <c r="S107" i="15"/>
  <c r="AI23" i="15"/>
  <c r="F42" i="14"/>
  <c r="AI17" i="17"/>
  <c r="AI16" i="17"/>
  <c r="O108" i="15"/>
  <c r="F11" i="14"/>
  <c r="N107" i="15"/>
  <c r="O124" i="15"/>
  <c r="F27" i="14"/>
  <c r="F26" i="14"/>
  <c r="F21" i="14"/>
  <c r="AI11" i="15"/>
  <c r="T126" i="15"/>
  <c r="S96" i="15"/>
  <c r="AI18" i="16"/>
  <c r="O118" i="15"/>
  <c r="AI22" i="17"/>
  <c r="S116" i="15"/>
  <c r="S105" i="15"/>
  <c r="N128" i="15"/>
  <c r="N96" i="15"/>
  <c r="N127" i="15"/>
  <c r="S115" i="15"/>
  <c r="T110" i="15"/>
  <c r="O115" i="15"/>
  <c r="F23" i="14"/>
  <c r="O104" i="15"/>
  <c r="T120" i="15"/>
  <c r="AE13" i="14"/>
  <c r="O97" i="15"/>
  <c r="O112" i="15"/>
  <c r="AI17" i="15"/>
  <c r="AI12" i="16"/>
  <c r="S129" i="15"/>
  <c r="S127" i="15"/>
  <c r="N103" i="15"/>
  <c r="AI12" i="15"/>
  <c r="AI17" i="16"/>
  <c r="S130" i="15"/>
  <c r="S120" i="15"/>
  <c r="AI21" i="16"/>
  <c r="T111" i="15"/>
  <c r="T98" i="15"/>
  <c r="N108" i="15"/>
  <c r="AI13" i="17"/>
  <c r="O110" i="15"/>
  <c r="AI15" i="17"/>
  <c r="F39" i="14"/>
  <c r="T123" i="15"/>
  <c r="T130" i="15"/>
  <c r="S100" i="15"/>
  <c r="O98" i="15"/>
  <c r="F13" i="14"/>
  <c r="T127" i="15"/>
  <c r="AI19" i="15"/>
  <c r="AI22" i="16"/>
  <c r="O130" i="15"/>
  <c r="AI18" i="15"/>
  <c r="T107" i="15"/>
  <c r="F20" i="14"/>
  <c r="F41" i="14"/>
  <c r="T113" i="15"/>
  <c r="N121" i="15"/>
  <c r="S128" i="15"/>
  <c r="T112" i="15"/>
  <c r="T121" i="15"/>
  <c r="N95" i="15"/>
  <c r="S94" i="15"/>
  <c r="AI23" i="17"/>
  <c r="T102" i="15"/>
  <c r="AI11" i="17"/>
  <c r="O105" i="15"/>
  <c r="F36" i="14"/>
  <c r="O113" i="15"/>
  <c r="AI19" i="17"/>
  <c r="S112" i="15"/>
  <c r="F12" i="14"/>
  <c r="F29" i="14"/>
  <c r="O100" i="15"/>
  <c r="AI11" i="16"/>
  <c r="AE22" i="14"/>
  <c r="AI16" i="15"/>
  <c r="N115" i="15"/>
  <c r="AE14" i="14"/>
  <c r="AE16" i="14"/>
  <c r="S97" i="15"/>
  <c r="AE20" i="14"/>
  <c r="AI23" i="16"/>
  <c r="AI13" i="16"/>
  <c r="N123" i="15"/>
  <c r="O128" i="15"/>
  <c r="F16" i="14"/>
  <c r="N125" i="15"/>
  <c r="F28" i="14"/>
  <c r="O129" i="15"/>
  <c r="O114" i="15"/>
  <c r="S102" i="15"/>
  <c r="N110" i="15"/>
  <c r="O95" i="15"/>
  <c r="AI20" i="16"/>
  <c r="N101" i="15"/>
  <c r="AE19" i="14"/>
  <c r="S122" i="15"/>
  <c r="AI19" i="16"/>
  <c r="T122" i="15"/>
  <c r="AI13" i="15"/>
  <c r="N122" i="15"/>
  <c r="S113" i="15"/>
  <c r="N111" i="15"/>
  <c r="O107" i="15"/>
  <c r="N98" i="15"/>
  <c r="AI21" i="15"/>
  <c r="F22" i="14"/>
  <c r="AE17" i="14"/>
  <c r="S126" i="15"/>
  <c r="T103" i="15"/>
  <c r="F43" i="14"/>
  <c r="T118" i="15"/>
  <c r="AI15" i="15"/>
  <c r="S98" i="15"/>
  <c r="N113" i="15"/>
  <c r="O111" i="15"/>
  <c r="AI16" i="16"/>
  <c r="S95" i="15"/>
  <c r="AI14" i="15"/>
  <c r="T96" i="15"/>
  <c r="AI22" i="15"/>
  <c r="S119" i="15"/>
  <c r="T119" i="15"/>
  <c r="F19" i="14"/>
  <c r="AI18" i="17"/>
  <c r="N120" i="15"/>
  <c r="S106" i="15"/>
  <c r="T94" i="15"/>
  <c r="O125" i="15"/>
  <c r="F17" i="14"/>
  <c r="O126" i="15"/>
  <c r="S101" i="15"/>
  <c r="N129" i="15"/>
  <c r="T95" i="15"/>
  <c r="T109" i="15"/>
  <c r="T97" i="15"/>
  <c r="N105" i="15"/>
  <c r="O102" i="15"/>
  <c r="S99" i="15"/>
  <c r="I14" i="14" l="1"/>
  <c r="I15" i="14"/>
  <c r="I16" i="14"/>
  <c r="I17" i="14"/>
  <c r="I18" i="14"/>
  <c r="I19" i="14"/>
  <c r="I12" i="14"/>
  <c r="I20" i="14"/>
  <c r="I11" i="14"/>
  <c r="I13" i="14"/>
  <c r="I5" i="14"/>
  <c r="M58" i="18" l="1"/>
  <c r="M59" i="18"/>
  <c r="M61" i="18"/>
  <c r="M63" i="18"/>
  <c r="M64" i="18"/>
  <c r="M66" i="18"/>
  <c r="M68" i="18"/>
  <c r="M69" i="18"/>
  <c r="M71" i="18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M43" i="18"/>
  <c r="L43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0" i="18"/>
  <c r="H33" i="18"/>
  <c r="H34" i="18"/>
  <c r="H41" i="18"/>
  <c r="H42" i="18"/>
  <c r="C44" i="18"/>
  <c r="H44" i="18" s="1"/>
  <c r="C43" i="18"/>
  <c r="H43" i="18" s="1"/>
  <c r="C42" i="18"/>
  <c r="C41" i="18"/>
  <c r="C40" i="18"/>
  <c r="H40" i="18" s="1"/>
  <c r="C39" i="18"/>
  <c r="H39" i="18" s="1"/>
  <c r="C22" i="18"/>
  <c r="C23" i="18"/>
  <c r="H23" i="18" s="1"/>
  <c r="C24" i="18"/>
  <c r="H24" i="18" s="1"/>
  <c r="C25" i="18"/>
  <c r="H25" i="18" s="1"/>
  <c r="C26" i="18"/>
  <c r="H26" i="18" s="1"/>
  <c r="C27" i="18"/>
  <c r="H27" i="18" s="1"/>
  <c r="C28" i="18"/>
  <c r="H28" i="18" s="1"/>
  <c r="C29" i="18"/>
  <c r="H29" i="18" s="1"/>
  <c r="C30" i="18"/>
  <c r="C31" i="18"/>
  <c r="H31" i="18" s="1"/>
  <c r="C32" i="18"/>
  <c r="H32" i="18" s="1"/>
  <c r="C33" i="18"/>
  <c r="C34" i="18"/>
  <c r="C35" i="18"/>
  <c r="H35" i="18" s="1"/>
  <c r="C36" i="18"/>
  <c r="H36" i="18" s="1"/>
  <c r="C37" i="18"/>
  <c r="H37" i="18" s="1"/>
  <c r="C38" i="18"/>
  <c r="H38" i="18" s="1"/>
  <c r="C21" i="18"/>
  <c r="H21" i="18" s="1"/>
  <c r="L11" i="18"/>
  <c r="L12" i="18"/>
  <c r="L13" i="18"/>
  <c r="L14" i="18"/>
  <c r="L15" i="18"/>
  <c r="L16" i="18"/>
  <c r="L17" i="18"/>
  <c r="L18" i="18"/>
  <c r="C18" i="18"/>
  <c r="C17" i="18"/>
  <c r="C16" i="18"/>
  <c r="C15" i="18"/>
  <c r="C14" i="18"/>
  <c r="C13" i="18"/>
  <c r="H22" i="18"/>
  <c r="C12" i="18"/>
  <c r="C11" i="18"/>
  <c r="L10" i="18"/>
  <c r="C10" i="18"/>
  <c r="L9" i="18"/>
  <c r="C9" i="18"/>
  <c r="L8" i="18"/>
  <c r="C8" i="18"/>
  <c r="L7" i="18"/>
  <c r="C7" i="18"/>
  <c r="M6" i="18"/>
  <c r="L6" i="18"/>
  <c r="C6" i="18"/>
  <c r="L5" i="18"/>
  <c r="C5" i="18"/>
  <c r="M4" i="18"/>
  <c r="L4" i="18"/>
  <c r="M3" i="18"/>
  <c r="L3" i="18"/>
  <c r="V1" i="18"/>
  <c r="H12" i="18"/>
  <c r="L9" i="17"/>
  <c r="L10" i="17"/>
  <c r="L11" i="17"/>
  <c r="L12" i="17"/>
  <c r="L13" i="17"/>
  <c r="L14" i="17"/>
  <c r="L15" i="17"/>
  <c r="L16" i="17"/>
  <c r="L17" i="17"/>
  <c r="L18" i="17"/>
  <c r="L8" i="17"/>
  <c r="L7" i="17"/>
  <c r="M6" i="17"/>
  <c r="L6" i="17"/>
  <c r="M5" i="17"/>
  <c r="L5" i="17"/>
  <c r="L4" i="17"/>
  <c r="M3" i="17"/>
  <c r="L3" i="17"/>
  <c r="V1" i="17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C10" i="16"/>
  <c r="C11" i="16"/>
  <c r="C12" i="16"/>
  <c r="H24" i="16"/>
  <c r="H23" i="16"/>
  <c r="H22" i="16"/>
  <c r="H21" i="16"/>
  <c r="H20" i="16"/>
  <c r="H19" i="16"/>
  <c r="H18" i="16"/>
  <c r="H17" i="16"/>
  <c r="H16" i="16"/>
  <c r="H15" i="16"/>
  <c r="L9" i="16"/>
  <c r="C9" i="16"/>
  <c r="L8" i="16"/>
  <c r="C8" i="16"/>
  <c r="L7" i="16"/>
  <c r="C7" i="16"/>
  <c r="L6" i="16"/>
  <c r="C6" i="16"/>
  <c r="L5" i="16"/>
  <c r="C5" i="16"/>
  <c r="L4" i="16"/>
  <c r="M3" i="16"/>
  <c r="L3" i="16"/>
  <c r="V1" i="16"/>
  <c r="H8" i="16"/>
  <c r="G5" i="16"/>
  <c r="J29" i="18"/>
  <c r="J20" i="16"/>
  <c r="J24" i="18"/>
  <c r="J17" i="16"/>
  <c r="J15" i="16"/>
  <c r="J22" i="18"/>
  <c r="J32" i="18"/>
  <c r="J26" i="18"/>
  <c r="J23" i="16"/>
  <c r="J19" i="16"/>
  <c r="J26" i="16"/>
  <c r="J23" i="18"/>
  <c r="J18" i="16"/>
  <c r="G5" i="18"/>
  <c r="J21" i="18"/>
  <c r="J16" i="16"/>
  <c r="J25" i="18"/>
  <c r="M25" i="18" l="1"/>
  <c r="M26" i="18"/>
  <c r="M29" i="18"/>
  <c r="M28" i="18"/>
  <c r="H17" i="18"/>
  <c r="H13" i="18"/>
  <c r="H18" i="18"/>
  <c r="H16" i="18"/>
  <c r="H15" i="18"/>
  <c r="H14" i="18"/>
  <c r="H7" i="18"/>
  <c r="H6" i="18"/>
  <c r="H5" i="18"/>
  <c r="H9" i="18"/>
  <c r="H4" i="18"/>
  <c r="H8" i="18"/>
  <c r="H10" i="18"/>
  <c r="H11" i="18"/>
  <c r="M29" i="16"/>
  <c r="M28" i="16"/>
  <c r="M27" i="16"/>
  <c r="M26" i="16"/>
  <c r="M23" i="16"/>
  <c r="M30" i="16"/>
  <c r="M31" i="16"/>
  <c r="H11" i="16"/>
  <c r="H12" i="16"/>
  <c r="H10" i="16"/>
  <c r="H4" i="16"/>
  <c r="H9" i="16"/>
  <c r="H7" i="16"/>
  <c r="H6" i="16"/>
  <c r="H5" i="16"/>
  <c r="L88" i="15"/>
  <c r="L89" i="15"/>
  <c r="L90" i="15"/>
  <c r="L91" i="15"/>
  <c r="L92" i="15"/>
  <c r="L93" i="15"/>
  <c r="L87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C6" i="15"/>
  <c r="C7" i="15"/>
  <c r="C8" i="15"/>
  <c r="C9" i="15"/>
  <c r="C5" i="15"/>
  <c r="V1" i="15"/>
  <c r="L3" i="15"/>
  <c r="H4" i="14"/>
  <c r="H5" i="14"/>
  <c r="H3" i="14"/>
  <c r="E5" i="14"/>
  <c r="E4" i="14"/>
  <c r="E3" i="14"/>
  <c r="G6" i="15"/>
  <c r="T46" i="16"/>
  <c r="S26" i="16"/>
  <c r="T49" i="16"/>
  <c r="S54" i="16"/>
  <c r="N47" i="16"/>
  <c r="S43" i="18"/>
  <c r="N49" i="16"/>
  <c r="O31" i="18"/>
  <c r="N68" i="18"/>
  <c r="T61" i="18"/>
  <c r="T69" i="18"/>
  <c r="T25" i="18"/>
  <c r="S46" i="16"/>
  <c r="O59" i="18"/>
  <c r="S56" i="16"/>
  <c r="T59" i="18"/>
  <c r="O68" i="18"/>
  <c r="O23" i="16"/>
  <c r="T54" i="16"/>
  <c r="O41" i="18"/>
  <c r="S29" i="18"/>
  <c r="T68" i="18"/>
  <c r="S69" i="18"/>
  <c r="S6" i="18"/>
  <c r="G5" i="15"/>
  <c r="N51" i="16"/>
  <c r="N46" i="16"/>
  <c r="O31" i="16"/>
  <c r="T58" i="18"/>
  <c r="S71" i="18"/>
  <c r="N56" i="16"/>
  <c r="T23" i="16"/>
  <c r="O46" i="16"/>
  <c r="T41" i="18"/>
  <c r="O3" i="18"/>
  <c r="S26" i="18"/>
  <c r="T26" i="16"/>
  <c r="O30" i="16"/>
  <c r="O58" i="18"/>
  <c r="N59" i="18"/>
  <c r="S59" i="16"/>
  <c r="S49" i="16"/>
  <c r="T71" i="18"/>
  <c r="T26" i="18"/>
  <c r="O29" i="18"/>
  <c r="N28" i="16"/>
  <c r="T4" i="18"/>
  <c r="N5" i="17"/>
  <c r="O59" i="16"/>
  <c r="T66" i="18"/>
  <c r="N44" i="16"/>
  <c r="N4" i="18"/>
  <c r="S25" i="18"/>
  <c r="T64" i="18"/>
  <c r="T30" i="16"/>
  <c r="T59" i="16"/>
  <c r="O43" i="18"/>
  <c r="N27" i="16"/>
  <c r="N61" i="18"/>
  <c r="S64" i="18"/>
  <c r="N52" i="16"/>
  <c r="T52" i="16"/>
  <c r="S6" i="17"/>
  <c r="T28" i="16"/>
  <c r="N29" i="16"/>
  <c r="N28" i="18"/>
  <c r="S58" i="18"/>
  <c r="O52" i="16"/>
  <c r="O28" i="18"/>
  <c r="O3" i="17"/>
  <c r="O63" i="18"/>
  <c r="S3" i="17"/>
  <c r="T63" i="18"/>
  <c r="O26" i="18"/>
  <c r="T31" i="18"/>
  <c r="O6" i="18"/>
  <c r="O47" i="16"/>
  <c r="S3" i="18"/>
  <c r="S4" i="18"/>
  <c r="O6" i="17"/>
  <c r="N64" i="18"/>
  <c r="O44" i="16"/>
  <c r="N71" i="18"/>
  <c r="N59" i="16"/>
  <c r="T29" i="18"/>
  <c r="N31" i="18"/>
  <c r="T6" i="17"/>
  <c r="O3" i="16"/>
  <c r="O64" i="18"/>
  <c r="T3" i="18"/>
  <c r="O61" i="18"/>
  <c r="T5" i="17"/>
  <c r="S57" i="16"/>
  <c r="T57" i="16"/>
  <c r="N69" i="18"/>
  <c r="S44" i="16"/>
  <c r="N31" i="16"/>
  <c r="S63" i="18"/>
  <c r="O71" i="18"/>
  <c r="T27" i="16"/>
  <c r="N6" i="17"/>
  <c r="S5" i="17"/>
  <c r="N3" i="16"/>
  <c r="O29" i="16"/>
  <c r="T6" i="18"/>
  <c r="S51" i="16"/>
  <c r="T47" i="16"/>
  <c r="S3" i="16"/>
  <c r="S31" i="18"/>
  <c r="O54" i="16"/>
  <c r="T29" i="16"/>
  <c r="N23" i="16"/>
  <c r="N54" i="16"/>
  <c r="N30" i="16"/>
  <c r="N3" i="18"/>
  <c r="O5" i="17"/>
  <c r="S27" i="16"/>
  <c r="T3" i="17"/>
  <c r="N26" i="16"/>
  <c r="N43" i="18"/>
  <c r="N66" i="18"/>
  <c r="S52" i="16"/>
  <c r="O57" i="16"/>
  <c r="T3" i="16"/>
  <c r="S28" i="18"/>
  <c r="N3" i="17"/>
  <c r="T56" i="16"/>
  <c r="F3" i="14"/>
  <c r="O28" i="16"/>
  <c r="S31" i="16"/>
  <c r="S66" i="18"/>
  <c r="T43" i="18"/>
  <c r="S28" i="16"/>
  <c r="O27" i="16"/>
  <c r="T44" i="16"/>
  <c r="O49" i="16"/>
  <c r="O56" i="16"/>
  <c r="T51" i="16"/>
  <c r="O4" i="18"/>
  <c r="O66" i="18"/>
  <c r="N41" i="18"/>
  <c r="S23" i="16"/>
  <c r="T31" i="16"/>
  <c r="S59" i="18"/>
  <c r="O25" i="18"/>
  <c r="N57" i="16"/>
  <c r="S29" i="16"/>
  <c r="N25" i="18"/>
  <c r="O69" i="18"/>
  <c r="J9" i="18"/>
  <c r="S47" i="16"/>
  <c r="N63" i="18"/>
  <c r="N26" i="18"/>
  <c r="O51" i="16"/>
  <c r="N29" i="18"/>
  <c r="S41" i="18"/>
  <c r="S68" i="18"/>
  <c r="O26" i="16"/>
  <c r="T28" i="18"/>
  <c r="N6" i="18"/>
  <c r="N58" i="18"/>
  <c r="S61" i="18"/>
  <c r="S30" i="16"/>
  <c r="M5" i="18" l="1"/>
  <c r="M6" i="16"/>
  <c r="M4" i="16"/>
  <c r="M5" i="16"/>
  <c r="I4" i="14"/>
  <c r="M22" i="18"/>
  <c r="M23" i="18"/>
  <c r="M27" i="18"/>
  <c r="M25" i="16"/>
  <c r="M24" i="16"/>
  <c r="M21" i="16"/>
  <c r="M20" i="18"/>
  <c r="M18" i="16"/>
  <c r="M14" i="16"/>
  <c r="M13" i="16"/>
  <c r="M21" i="18"/>
  <c r="M22" i="16"/>
  <c r="M16" i="16"/>
  <c r="M17" i="16"/>
  <c r="M19" i="16"/>
  <c r="M19" i="18"/>
  <c r="M20" i="16"/>
  <c r="M24" i="18"/>
  <c r="M30" i="18"/>
  <c r="M15" i="16"/>
  <c r="I3" i="14"/>
  <c r="M14" i="18"/>
  <c r="M16" i="18"/>
  <c r="M13" i="18"/>
  <c r="M17" i="18"/>
  <c r="M4" i="15"/>
  <c r="M10" i="15"/>
  <c r="M17" i="15"/>
  <c r="M15" i="15"/>
  <c r="M14" i="15"/>
  <c r="M13" i="15"/>
  <c r="M20" i="15"/>
  <c r="M12" i="15"/>
  <c r="M18" i="15"/>
  <c r="M16" i="15"/>
  <c r="M21" i="15"/>
  <c r="M19" i="15"/>
  <c r="M11" i="15"/>
  <c r="M50" i="15"/>
  <c r="M51" i="15"/>
  <c r="M52" i="15"/>
  <c r="M53" i="15"/>
  <c r="M80" i="15"/>
  <c r="M79" i="15"/>
  <c r="M78" i="15"/>
  <c r="M70" i="15"/>
  <c r="M69" i="15"/>
  <c r="M68" i="15"/>
  <c r="M75" i="15"/>
  <c r="M74" i="15"/>
  <c r="M73" i="15"/>
  <c r="M65" i="15"/>
  <c r="M89" i="15"/>
  <c r="M91" i="15"/>
  <c r="M92" i="15"/>
  <c r="M88" i="15"/>
  <c r="M90" i="15"/>
  <c r="M93" i="15"/>
  <c r="H8" i="15"/>
  <c r="H7" i="15"/>
  <c r="H5" i="15"/>
  <c r="H3" i="15"/>
  <c r="H6" i="15"/>
  <c r="M9" i="18" l="1"/>
  <c r="M10" i="18"/>
  <c r="M15" i="18"/>
  <c r="M7" i="17"/>
  <c r="M4" i="17"/>
  <c r="M7" i="18"/>
  <c r="M8" i="18"/>
  <c r="M18" i="18"/>
  <c r="M11" i="18"/>
  <c r="M12" i="18"/>
  <c r="M6" i="15"/>
  <c r="M3" i="15"/>
  <c r="M5" i="15"/>
  <c r="D7" i="1"/>
  <c r="T75" i="15"/>
  <c r="O90" i="15"/>
  <c r="S53" i="15"/>
  <c r="O19" i="15"/>
  <c r="N74" i="15"/>
  <c r="N15" i="18"/>
  <c r="T21" i="18"/>
  <c r="T20" i="16"/>
  <c r="S20" i="18"/>
  <c r="S24" i="16"/>
  <c r="T70" i="15"/>
  <c r="T11" i="15"/>
  <c r="S22" i="18"/>
  <c r="O52" i="15"/>
  <c r="O89" i="15"/>
  <c r="S52" i="15"/>
  <c r="N50" i="15"/>
  <c r="S7" i="17"/>
  <c r="S13" i="18"/>
  <c r="N93" i="15"/>
  <c r="T24" i="16"/>
  <c r="T21" i="15"/>
  <c r="O25" i="16"/>
  <c r="S8" i="18"/>
  <c r="T19" i="18"/>
  <c r="O15" i="16"/>
  <c r="S91" i="15"/>
  <c r="O3" i="15"/>
  <c r="S25" i="16"/>
  <c r="O6" i="16"/>
  <c r="S5" i="15"/>
  <c r="N23" i="18"/>
  <c r="S74" i="15"/>
  <c r="O14" i="16"/>
  <c r="N19" i="15"/>
  <c r="O4" i="17"/>
  <c r="O74" i="15"/>
  <c r="N52" i="15"/>
  <c r="T16" i="18"/>
  <c r="T19" i="16"/>
  <c r="S19" i="15"/>
  <c r="T50" i="15"/>
  <c r="O80" i="15"/>
  <c r="O4" i="15"/>
  <c r="T53" i="15"/>
  <c r="T15" i="16"/>
  <c r="N17" i="15"/>
  <c r="O18" i="16"/>
  <c r="O16" i="16"/>
  <c r="T10" i="18"/>
  <c r="T14" i="16"/>
  <c r="N27" i="18"/>
  <c r="N13" i="18"/>
  <c r="S88" i="15"/>
  <c r="S21" i="15"/>
  <c r="T7" i="18"/>
  <c r="T16" i="16"/>
  <c r="S3" i="15"/>
  <c r="J7" i="16"/>
  <c r="T6" i="15"/>
  <c r="T25" i="16"/>
  <c r="O20" i="18"/>
  <c r="O27" i="18"/>
  <c r="O69" i="15"/>
  <c r="S19" i="18"/>
  <c r="N90" i="15"/>
  <c r="O13" i="18"/>
  <c r="O21" i="16"/>
  <c r="O12" i="18"/>
  <c r="O8" i="18"/>
  <c r="N80" i="15"/>
  <c r="N16" i="18"/>
  <c r="O68" i="15"/>
  <c r="N21" i="16"/>
  <c r="S14" i="16"/>
  <c r="S68" i="15"/>
  <c r="T24" i="18"/>
  <c r="S5" i="16"/>
  <c r="N21" i="18"/>
  <c r="N7" i="18"/>
  <c r="T79" i="15"/>
  <c r="N13" i="16"/>
  <c r="T13" i="16"/>
  <c r="S20" i="15"/>
  <c r="N65" i="15"/>
  <c r="T69" i="15"/>
  <c r="S21" i="16"/>
  <c r="T74" i="15"/>
  <c r="J11" i="16"/>
  <c r="N12" i="15"/>
  <c r="N75" i="15"/>
  <c r="O17" i="15"/>
  <c r="T65" i="15"/>
  <c r="T15" i="15"/>
  <c r="O18" i="15"/>
  <c r="O9" i="18"/>
  <c r="S12" i="15"/>
  <c r="S15" i="16"/>
  <c r="S14" i="15"/>
  <c r="S89" i="15"/>
  <c r="O18" i="18"/>
  <c r="S17" i="15"/>
  <c r="N24" i="18"/>
  <c r="O13" i="16"/>
  <c r="N88" i="15"/>
  <c r="O22" i="16"/>
  <c r="N11" i="18"/>
  <c r="N14" i="18"/>
  <c r="N24" i="16"/>
  <c r="O16" i="18"/>
  <c r="N25" i="16"/>
  <c r="T13" i="18"/>
  <c r="S70" i="15"/>
  <c r="O53" i="15"/>
  <c r="O75" i="15"/>
  <c r="S78" i="15"/>
  <c r="N70" i="15"/>
  <c r="S6" i="15"/>
  <c r="N20" i="16"/>
  <c r="O15" i="18"/>
  <c r="S18" i="18"/>
  <c r="O79" i="15"/>
  <c r="T51" i="15"/>
  <c r="S13" i="15"/>
  <c r="O93" i="15"/>
  <c r="T18" i="16"/>
  <c r="J9" i="16"/>
  <c r="T4" i="17"/>
  <c r="O12" i="15"/>
  <c r="T8" i="18"/>
  <c r="T17" i="16"/>
  <c r="T11" i="18"/>
  <c r="N20" i="15"/>
  <c r="J7" i="15"/>
  <c r="S50" i="15"/>
  <c r="O20" i="16"/>
  <c r="S79" i="15"/>
  <c r="S6" i="16"/>
  <c r="N8" i="18"/>
  <c r="N17" i="16"/>
  <c r="O4" i="16"/>
  <c r="T92" i="15"/>
  <c r="O24" i="16"/>
  <c r="N17" i="18"/>
  <c r="N89" i="15"/>
  <c r="S18" i="15"/>
  <c r="N22" i="18"/>
  <c r="N18" i="18"/>
  <c r="N19" i="16"/>
  <c r="N20" i="18"/>
  <c r="S20" i="16"/>
  <c r="S15" i="18"/>
  <c r="O51" i="15"/>
  <c r="S21" i="18"/>
  <c r="O11" i="15"/>
  <c r="T20" i="15"/>
  <c r="O14" i="15"/>
  <c r="N79" i="15"/>
  <c r="S16" i="16"/>
  <c r="T21" i="16"/>
  <c r="N78" i="15"/>
  <c r="O20" i="15"/>
  <c r="T20" i="18"/>
  <c r="N10" i="15"/>
  <c r="N10" i="18"/>
  <c r="N21" i="15"/>
  <c r="T88" i="15"/>
  <c r="O21" i="18"/>
  <c r="S69" i="15"/>
  <c r="J8" i="16"/>
  <c r="O6" i="15"/>
  <c r="O17" i="18"/>
  <c r="T5" i="16"/>
  <c r="N69" i="15"/>
  <c r="O5" i="15"/>
  <c r="N12" i="18"/>
  <c r="N68" i="15"/>
  <c r="T4" i="15"/>
  <c r="N5" i="16"/>
  <c r="T17" i="18"/>
  <c r="O17" i="16"/>
  <c r="S22" i="16"/>
  <c r="O15" i="15"/>
  <c r="S18" i="16"/>
  <c r="N4" i="16"/>
  <c r="N6" i="16"/>
  <c r="T30" i="18"/>
  <c r="S17" i="18"/>
  <c r="T14" i="18"/>
  <c r="T10" i="15"/>
  <c r="T68" i="15"/>
  <c r="S5" i="18"/>
  <c r="O88" i="15"/>
  <c r="N30" i="18"/>
  <c r="S4" i="17"/>
  <c r="T7" i="17"/>
  <c r="S75" i="15"/>
  <c r="T23" i="18"/>
  <c r="N4" i="17"/>
  <c r="O7" i="17"/>
  <c r="T9" i="18"/>
  <c r="N19" i="18"/>
  <c r="N15" i="16"/>
  <c r="N91" i="15"/>
  <c r="N14" i="16"/>
  <c r="T19" i="15"/>
  <c r="S90" i="15"/>
  <c r="T15" i="18"/>
  <c r="O50" i="15"/>
  <c r="T12" i="15"/>
  <c r="O30" i="18"/>
  <c r="S16" i="18"/>
  <c r="S27" i="18"/>
  <c r="O16" i="15"/>
  <c r="T16" i="15"/>
  <c r="N4" i="15"/>
  <c r="N73" i="15"/>
  <c r="O5" i="18"/>
  <c r="J12" i="16"/>
  <c r="S65" i="15"/>
  <c r="S24" i="18"/>
  <c r="O73" i="15"/>
  <c r="S4" i="15"/>
  <c r="N53" i="15"/>
  <c r="T27" i="18"/>
  <c r="T73" i="15"/>
  <c r="O22" i="18"/>
  <c r="N5" i="15"/>
  <c r="J8" i="15"/>
  <c r="T78" i="15"/>
  <c r="N6" i="15"/>
  <c r="O24" i="18"/>
  <c r="T93" i="15"/>
  <c r="T91" i="15"/>
  <c r="O21" i="15"/>
  <c r="O65" i="15"/>
  <c r="O91" i="15"/>
  <c r="T18" i="15"/>
  <c r="S11" i="15"/>
  <c r="N13" i="15"/>
  <c r="N5" i="18"/>
  <c r="T52" i="15"/>
  <c r="O5" i="16"/>
  <c r="N11" i="15"/>
  <c r="N16" i="16"/>
  <c r="T18" i="18"/>
  <c r="O13" i="15"/>
  <c r="J10" i="16"/>
  <c r="S51" i="15"/>
  <c r="O19" i="18"/>
  <c r="O11" i="18"/>
  <c r="N9" i="18"/>
  <c r="T80" i="15"/>
  <c r="N22" i="16"/>
  <c r="S30" i="18"/>
  <c r="S14" i="18"/>
  <c r="T90" i="15"/>
  <c r="S7" i="18"/>
  <c r="O14" i="18"/>
  <c r="O78" i="15"/>
  <c r="T14" i="15"/>
  <c r="S19" i="16"/>
  <c r="S16" i="15"/>
  <c r="T89" i="15"/>
  <c r="O19" i="16"/>
  <c r="N18" i="16"/>
  <c r="O7" i="18"/>
  <c r="N3" i="15"/>
  <c r="N51" i="15"/>
  <c r="N15" i="15"/>
  <c r="S93" i="15"/>
  <c r="T4" i="16"/>
  <c r="T22" i="18"/>
  <c r="S73" i="15"/>
  <c r="J9" i="15"/>
  <c r="N92" i="15"/>
  <c r="S17" i="16"/>
  <c r="S80" i="15"/>
  <c r="O92" i="15"/>
  <c r="S12" i="18"/>
  <c r="T12" i="18"/>
  <c r="N14" i="15"/>
  <c r="T5" i="15"/>
  <c r="T17" i="15"/>
  <c r="N16" i="15"/>
  <c r="S10" i="18"/>
  <c r="S4" i="16"/>
  <c r="T6" i="16"/>
  <c r="S10" i="15"/>
  <c r="O23" i="18"/>
  <c r="S23" i="18"/>
  <c r="S92" i="15"/>
  <c r="O70" i="15"/>
  <c r="N18" i="15"/>
  <c r="T13" i="15"/>
  <c r="O10" i="15"/>
  <c r="S15" i="15"/>
  <c r="S11" i="18"/>
  <c r="S9" i="18"/>
  <c r="O10" i="18"/>
  <c r="S13" i="16"/>
  <c r="T22" i="16"/>
  <c r="T3" i="15"/>
  <c r="N7" i="17"/>
  <c r="T5" i="18"/>
  <c r="M10" i="16" l="1"/>
  <c r="M9" i="16"/>
  <c r="M7" i="15"/>
  <c r="M7" i="16"/>
  <c r="M8" i="16"/>
  <c r="M9" i="15"/>
  <c r="M11" i="16"/>
  <c r="M12" i="16"/>
  <c r="M8" i="15"/>
  <c r="M70" i="18"/>
  <c r="M79" i="18"/>
  <c r="M75" i="18"/>
  <c r="M33" i="16"/>
  <c r="M37" i="16"/>
  <c r="M64" i="16"/>
  <c r="M50" i="16"/>
  <c r="M34" i="16"/>
  <c r="M38" i="16"/>
  <c r="M77" i="18"/>
  <c r="M63" i="16"/>
  <c r="M40" i="16"/>
  <c r="M8" i="17"/>
  <c r="M60" i="16"/>
  <c r="M35" i="16"/>
  <c r="M42" i="16"/>
  <c r="M61" i="16"/>
  <c r="M55" i="16"/>
  <c r="M62" i="16"/>
  <c r="M65" i="18"/>
  <c r="M36" i="16"/>
  <c r="M60" i="18"/>
  <c r="M45" i="16"/>
  <c r="M39" i="16"/>
  <c r="M67" i="15"/>
  <c r="M64" i="15"/>
  <c r="M82" i="15"/>
  <c r="M72" i="15"/>
  <c r="M77" i="15"/>
  <c r="M62" i="15"/>
  <c r="M84" i="15"/>
  <c r="M54" i="18"/>
  <c r="M50" i="18"/>
  <c r="M74" i="18"/>
  <c r="M47" i="18"/>
  <c r="M67" i="18"/>
  <c r="M48" i="18"/>
  <c r="M45" i="18"/>
  <c r="M49" i="18"/>
  <c r="M73" i="18"/>
  <c r="M62" i="18"/>
  <c r="M51" i="18"/>
  <c r="M55" i="18"/>
  <c r="M52" i="18"/>
  <c r="M76" i="18"/>
  <c r="M53" i="18"/>
  <c r="M46" i="18"/>
  <c r="M56" i="18"/>
  <c r="M72" i="18"/>
  <c r="M57" i="18"/>
  <c r="M78" i="18"/>
  <c r="M44" i="18"/>
  <c r="M18" i="17"/>
  <c r="M16" i="17"/>
  <c r="M13" i="17"/>
  <c r="M17" i="17"/>
  <c r="M14" i="17"/>
  <c r="M11" i="17"/>
  <c r="M12" i="17"/>
  <c r="M15" i="17"/>
  <c r="M9" i="17"/>
  <c r="M10" i="17"/>
  <c r="M63" i="15"/>
  <c r="M56" i="15"/>
  <c r="M81" i="15"/>
  <c r="M55" i="15"/>
  <c r="M66" i="15"/>
  <c r="M54" i="15"/>
  <c r="M83" i="15"/>
  <c r="M60" i="15"/>
  <c r="M85" i="15"/>
  <c r="M86" i="15"/>
  <c r="M71" i="15"/>
  <c r="M61" i="15"/>
  <c r="M76" i="15"/>
  <c r="M59" i="15"/>
  <c r="M58" i="15"/>
  <c r="M57" i="15"/>
  <c r="T70" i="18"/>
  <c r="O77" i="15"/>
  <c r="T75" i="18"/>
  <c r="S12" i="16"/>
  <c r="S82" i="15"/>
  <c r="W3" i="16" a="1"/>
  <c r="T8" i="17"/>
  <c r="N8" i="16"/>
  <c r="O64" i="15"/>
  <c r="S11" i="16"/>
  <c r="T9" i="15"/>
  <c r="S72" i="15"/>
  <c r="N77" i="18"/>
  <c r="O60" i="18"/>
  <c r="N62" i="15"/>
  <c r="T67" i="15"/>
  <c r="S62" i="15"/>
  <c r="O12" i="16"/>
  <c r="N70" i="18"/>
  <c r="O67" i="15"/>
  <c r="N7" i="16"/>
  <c r="N12" i="16"/>
  <c r="S70" i="18"/>
  <c r="O7" i="15"/>
  <c r="N72" i="15"/>
  <c r="T65" i="18"/>
  <c r="O84" i="15"/>
  <c r="O82" i="15"/>
  <c r="S7" i="15"/>
  <c r="O9" i="15"/>
  <c r="T79" i="18"/>
  <c r="N84" i="15"/>
  <c r="T77" i="15"/>
  <c r="N9" i="16"/>
  <c r="S8" i="15"/>
  <c r="N64" i="15"/>
  <c r="S8" i="16"/>
  <c r="O8" i="15"/>
  <c r="S77" i="15"/>
  <c r="S67" i="15"/>
  <c r="T7" i="15"/>
  <c r="T77" i="18"/>
  <c r="T84" i="15"/>
  <c r="N79" i="18"/>
  <c r="O79" i="18"/>
  <c r="S9" i="16"/>
  <c r="N8" i="15"/>
  <c r="S84" i="15"/>
  <c r="S7" i="16"/>
  <c r="O9" i="16"/>
  <c r="N75" i="18"/>
  <c r="T9" i="16"/>
  <c r="W3" i="17" a="1"/>
  <c r="N11" i="16"/>
  <c r="S77" i="18"/>
  <c r="S8" i="17"/>
  <c r="N9" i="15"/>
  <c r="S64" i="15"/>
  <c r="S75" i="18"/>
  <c r="T64" i="15"/>
  <c r="N8" i="17"/>
  <c r="N10" i="16"/>
  <c r="T12" i="16"/>
  <c r="S60" i="18"/>
  <c r="O62" i="15"/>
  <c r="T62" i="15"/>
  <c r="O8" i="16"/>
  <c r="O75" i="18"/>
  <c r="O11" i="16"/>
  <c r="T10" i="16"/>
  <c r="S9" i="15"/>
  <c r="N65" i="18"/>
  <c r="S79" i="18"/>
  <c r="T11" i="16"/>
  <c r="T8" i="15"/>
  <c r="N7" i="15"/>
  <c r="O10" i="16"/>
  <c r="T82" i="15"/>
  <c r="O70" i="18"/>
  <c r="N82" i="15"/>
  <c r="T7" i="16"/>
  <c r="S65" i="18"/>
  <c r="O72" i="15"/>
  <c r="O7" i="16"/>
  <c r="N77" i="15"/>
  <c r="T72" i="15"/>
  <c r="N60" i="18"/>
  <c r="T8" i="16"/>
  <c r="S10" i="16"/>
  <c r="O65" i="18"/>
  <c r="N67" i="15"/>
  <c r="O77" i="18"/>
  <c r="T60" i="18"/>
  <c r="O8" i="17"/>
  <c r="W26" i="17" l="1"/>
  <c r="W35" i="17"/>
  <c r="W44" i="17"/>
  <c r="W53" i="17"/>
  <c r="W7" i="17"/>
  <c r="W16" i="17"/>
  <c r="W33" i="17"/>
  <c r="W34" i="17"/>
  <c r="W43" i="17"/>
  <c r="W52" i="17"/>
  <c r="W6" i="17"/>
  <c r="W15" i="17"/>
  <c r="W24" i="17"/>
  <c r="W41" i="17"/>
  <c r="W42" i="17"/>
  <c r="W51" i="17"/>
  <c r="W5" i="17"/>
  <c r="W14" i="17"/>
  <c r="W23" i="17"/>
  <c r="W32" i="17"/>
  <c r="W49" i="17"/>
  <c r="W50" i="17"/>
  <c r="W4" i="17"/>
  <c r="W13" i="17"/>
  <c r="W22" i="17"/>
  <c r="W31" i="17"/>
  <c r="W40" i="17"/>
  <c r="W3" i="17"/>
  <c r="W12" i="17"/>
  <c r="W21" i="17"/>
  <c r="W30" i="17"/>
  <c r="W39" i="17"/>
  <c r="W48" i="17"/>
  <c r="W11" i="17"/>
  <c r="W20" i="17"/>
  <c r="W29" i="17"/>
  <c r="W38" i="17"/>
  <c r="W47" i="17"/>
  <c r="W9" i="17"/>
  <c r="W10" i="17"/>
  <c r="W46" i="17"/>
  <c r="W18" i="17"/>
  <c r="W54" i="17"/>
  <c r="W19" i="17"/>
  <c r="W55" i="17"/>
  <c r="W27" i="17"/>
  <c r="W8" i="17"/>
  <c r="W28" i="17"/>
  <c r="W17" i="17"/>
  <c r="W36" i="17"/>
  <c r="W25" i="17"/>
  <c r="W37" i="17"/>
  <c r="W45" i="17"/>
  <c r="W18" i="16"/>
  <c r="W19" i="16"/>
  <c r="W20" i="16"/>
  <c r="W21" i="16"/>
  <c r="W22" i="16"/>
  <c r="W23" i="16"/>
  <c r="W64" i="16"/>
  <c r="W55" i="16"/>
  <c r="W26" i="16"/>
  <c r="W27" i="16"/>
  <c r="W28" i="16"/>
  <c r="W29" i="16"/>
  <c r="W30" i="16"/>
  <c r="W31" i="16"/>
  <c r="W16" i="16"/>
  <c r="W32" i="16"/>
  <c r="W34" i="16"/>
  <c r="W35" i="16"/>
  <c r="W36" i="16"/>
  <c r="W37" i="16"/>
  <c r="W38" i="16"/>
  <c r="W39" i="16"/>
  <c r="W47" i="16"/>
  <c r="W56" i="16"/>
  <c r="W42" i="16"/>
  <c r="W4" i="16"/>
  <c r="W53" i="16"/>
  <c r="W15" i="16"/>
  <c r="W24" i="16"/>
  <c r="W50" i="16"/>
  <c r="W12" i="16"/>
  <c r="W61" i="16"/>
  <c r="W8" i="16"/>
  <c r="W49" i="16"/>
  <c r="W58" i="16"/>
  <c r="W44" i="16"/>
  <c r="W6" i="16"/>
  <c r="W40" i="16"/>
  <c r="W25" i="16"/>
  <c r="W3" i="16"/>
  <c r="W52" i="16"/>
  <c r="W14" i="16"/>
  <c r="W63" i="16"/>
  <c r="W33" i="16"/>
  <c r="W11" i="16"/>
  <c r="W60" i="16"/>
  <c r="W46" i="16"/>
  <c r="W9" i="16"/>
  <c r="W57" i="16"/>
  <c r="W43" i="16"/>
  <c r="W5" i="16"/>
  <c r="W54" i="16"/>
  <c r="W41" i="16"/>
  <c r="W51" i="16"/>
  <c r="W13" i="16"/>
  <c r="W62" i="16"/>
  <c r="W17" i="16"/>
  <c r="W10" i="16"/>
  <c r="W59" i="16"/>
  <c r="W45" i="16"/>
  <c r="W7" i="16"/>
  <c r="W48" i="16"/>
  <c r="M87" i="15"/>
  <c r="O48" i="18"/>
  <c r="T54" i="18"/>
  <c r="N16" i="17"/>
  <c r="O54" i="18"/>
  <c r="T49" i="18"/>
  <c r="O61" i="15"/>
  <c r="S43" i="16"/>
  <c r="T35" i="16"/>
  <c r="P13" i="14"/>
  <c r="O38" i="18"/>
  <c r="T39" i="16"/>
  <c r="T34" i="16"/>
  <c r="S9" i="17"/>
  <c r="S47" i="18"/>
  <c r="O49" i="18"/>
  <c r="S32" i="18"/>
  <c r="N35" i="16"/>
  <c r="T42" i="16"/>
  <c r="S53" i="16"/>
  <c r="O46" i="18"/>
  <c r="N59" i="15"/>
  <c r="J14" i="14"/>
  <c r="N34" i="16"/>
  <c r="K19" i="14"/>
  <c r="T45" i="18"/>
  <c r="N62" i="18"/>
  <c r="N34" i="18"/>
  <c r="S40" i="16"/>
  <c r="T74" i="18"/>
  <c r="T46" i="18"/>
  <c r="S37" i="16"/>
  <c r="O14" i="17"/>
  <c r="S34" i="16"/>
  <c r="S51" i="18"/>
  <c r="S45" i="16"/>
  <c r="O50" i="18"/>
  <c r="S38" i="18"/>
  <c r="O56" i="15"/>
  <c r="O35" i="18"/>
  <c r="O78" i="18"/>
  <c r="N62" i="16"/>
  <c r="S67" i="18"/>
  <c r="T59" i="15"/>
  <c r="N76" i="15"/>
  <c r="O74" i="18"/>
  <c r="N61" i="16"/>
  <c r="P16" i="14"/>
  <c r="O13" i="14"/>
  <c r="N42" i="18"/>
  <c r="S18" i="17"/>
  <c r="O32" i="16"/>
  <c r="S73" i="18"/>
  <c r="T10" i="17"/>
  <c r="N40" i="18"/>
  <c r="N55" i="15"/>
  <c r="T57" i="15"/>
  <c r="N57" i="15"/>
  <c r="K14" i="14"/>
  <c r="S86" i="15"/>
  <c r="K20" i="14"/>
  <c r="S76" i="15"/>
  <c r="O45" i="18"/>
  <c r="O73" i="18"/>
  <c r="W3" i="18" a="1"/>
  <c r="T51" i="18"/>
  <c r="O63" i="16"/>
  <c r="O56" i="18"/>
  <c r="J19" i="14"/>
  <c r="T44" i="18"/>
  <c r="O40" i="18"/>
  <c r="O35" i="16"/>
  <c r="O50" i="16"/>
  <c r="T63" i="16"/>
  <c r="O13" i="17"/>
  <c r="T52" i="18"/>
  <c r="O76" i="15"/>
  <c r="T45" i="16"/>
  <c r="N64" i="16"/>
  <c r="N60" i="16"/>
  <c r="S48" i="18"/>
  <c r="T57" i="18"/>
  <c r="S36" i="16"/>
  <c r="T55" i="18"/>
  <c r="O83" i="15"/>
  <c r="S55" i="15"/>
  <c r="N38" i="18"/>
  <c r="T76" i="15"/>
  <c r="T56" i="18"/>
  <c r="T16" i="17"/>
  <c r="N35" i="18"/>
  <c r="N56" i="15"/>
  <c r="T54" i="15"/>
  <c r="N46" i="18"/>
  <c r="S49" i="18"/>
  <c r="S15" i="17"/>
  <c r="T71" i="15"/>
  <c r="O52" i="18"/>
  <c r="N72" i="18"/>
  <c r="S52" i="18"/>
  <c r="T36" i="18"/>
  <c r="P14" i="14"/>
  <c r="O44" i="18"/>
  <c r="J13" i="14"/>
  <c r="O17" i="17"/>
  <c r="T83" i="15"/>
  <c r="S38" i="16"/>
  <c r="P20" i="14"/>
  <c r="S37" i="18"/>
  <c r="T56" i="15"/>
  <c r="T12" i="17"/>
  <c r="O42" i="18"/>
  <c r="N38" i="16"/>
  <c r="S71" i="15"/>
  <c r="T11" i="17"/>
  <c r="T50" i="16"/>
  <c r="T48" i="18"/>
  <c r="T41" i="16"/>
  <c r="O51" i="18"/>
  <c r="N48" i="18"/>
  <c r="O16" i="17"/>
  <c r="T17" i="17"/>
  <c r="O33" i="18"/>
  <c r="T58" i="16"/>
  <c r="O64" i="16"/>
  <c r="O43" i="16"/>
  <c r="S85" i="15"/>
  <c r="T50" i="18"/>
  <c r="S58" i="16"/>
  <c r="T40" i="18"/>
  <c r="O62" i="18"/>
  <c r="S57" i="15"/>
  <c r="I3" i="1"/>
  <c r="T81" i="15"/>
  <c r="S63" i="15"/>
  <c r="O86" i="15"/>
  <c r="N78" i="18"/>
  <c r="S35" i="16"/>
  <c r="S42" i="16"/>
  <c r="N50" i="16"/>
  <c r="O9" i="17"/>
  <c r="S39" i="18"/>
  <c r="S55" i="16"/>
  <c r="N54" i="18"/>
  <c r="N36" i="18"/>
  <c r="N32" i="16"/>
  <c r="O14" i="14"/>
  <c r="S58" i="15"/>
  <c r="O37" i="18"/>
  <c r="S10" i="17"/>
  <c r="O11" i="17"/>
  <c r="T35" i="18"/>
  <c r="S61" i="15"/>
  <c r="T63" i="15"/>
  <c r="S14" i="17"/>
  <c r="O85" i="15"/>
  <c r="N53" i="16"/>
  <c r="T37" i="18"/>
  <c r="S39" i="16"/>
  <c r="S76" i="18"/>
  <c r="N36" i="16"/>
  <c r="S78" i="18"/>
  <c r="T62" i="18"/>
  <c r="O55" i="16"/>
  <c r="N11" i="17"/>
  <c r="N81" i="15"/>
  <c r="N32" i="18"/>
  <c r="N18" i="17"/>
  <c r="J16" i="14"/>
  <c r="N58" i="15"/>
  <c r="N9" i="17"/>
  <c r="O60" i="16"/>
  <c r="T55" i="15"/>
  <c r="T73" i="18"/>
  <c r="P19" i="14"/>
  <c r="O45" i="16"/>
  <c r="T36" i="16"/>
  <c r="S83" i="15"/>
  <c r="S62" i="18"/>
  <c r="S74" i="18"/>
  <c r="S46" i="18"/>
  <c r="S33" i="18"/>
  <c r="S66" i="15"/>
  <c r="N53" i="18"/>
  <c r="O76" i="18"/>
  <c r="N33" i="18"/>
  <c r="S54" i="18"/>
  <c r="N63" i="16"/>
  <c r="O53" i="18"/>
  <c r="O17" i="14"/>
  <c r="T42" i="18"/>
  <c r="O39" i="16"/>
  <c r="N45" i="18"/>
  <c r="T33" i="16"/>
  <c r="O72" i="18"/>
  <c r="N42" i="16"/>
  <c r="T61" i="15"/>
  <c r="N66" i="15"/>
  <c r="N44" i="18"/>
  <c r="T86" i="15"/>
  <c r="T60" i="15"/>
  <c r="O15" i="17"/>
  <c r="T38" i="16"/>
  <c r="T76" i="18"/>
  <c r="T55" i="16"/>
  <c r="O59" i="15"/>
  <c r="K16" i="14"/>
  <c r="N40" i="16"/>
  <c r="S36" i="18"/>
  <c r="N61" i="15"/>
  <c r="S42" i="18"/>
  <c r="T62" i="16"/>
  <c r="N49" i="18"/>
  <c r="T78" i="18"/>
  <c r="J20" i="14"/>
  <c r="O63" i="15"/>
  <c r="T38" i="18"/>
  <c r="S41" i="16"/>
  <c r="N56" i="18"/>
  <c r="O53" i="16"/>
  <c r="T14" i="17"/>
  <c r="N17" i="17"/>
  <c r="S72" i="18"/>
  <c r="O39" i="18"/>
  <c r="O18" i="17"/>
  <c r="S45" i="18"/>
  <c r="T47" i="18"/>
  <c r="K13" i="14"/>
  <c r="S55" i="18"/>
  <c r="S60" i="16"/>
  <c r="N74" i="18"/>
  <c r="N55" i="16"/>
  <c r="O38" i="16"/>
  <c r="N39" i="16"/>
  <c r="O19" i="14"/>
  <c r="N15" i="17"/>
  <c r="N85" i="15"/>
  <c r="T43" i="16"/>
  <c r="N73" i="18"/>
  <c r="O37" i="16"/>
  <c r="N10" i="17"/>
  <c r="O48" i="16"/>
  <c r="N43" i="16"/>
  <c r="N51" i="18"/>
  <c r="N37" i="18"/>
  <c r="O57" i="15"/>
  <c r="N83" i="15"/>
  <c r="S56" i="15"/>
  <c r="O81" i="15"/>
  <c r="S81" i="15"/>
  <c r="T32" i="18"/>
  <c r="J11" i="14"/>
  <c r="O62" i="16"/>
  <c r="O34" i="16"/>
  <c r="O67" i="18"/>
  <c r="T34" i="18"/>
  <c r="S11" i="17"/>
  <c r="T61" i="16"/>
  <c r="S33" i="16"/>
  <c r="T33" i="18"/>
  <c r="O32" i="18"/>
  <c r="T48" i="16"/>
  <c r="S56" i="18"/>
  <c r="S60" i="15"/>
  <c r="N58" i="16"/>
  <c r="O55" i="15"/>
  <c r="O20" i="14"/>
  <c r="O54" i="15"/>
  <c r="S44" i="18"/>
  <c r="O40" i="16"/>
  <c r="N48" i="16"/>
  <c r="N13" i="17"/>
  <c r="S53" i="18"/>
  <c r="N47" i="18"/>
  <c r="T37" i="16"/>
  <c r="S54" i="15"/>
  <c r="T40" i="16"/>
  <c r="N86" i="15"/>
  <c r="T72" i="18"/>
  <c r="T15" i="17"/>
  <c r="N54" i="15"/>
  <c r="N41" i="16"/>
  <c r="O58" i="15"/>
  <c r="T67" i="18"/>
  <c r="S32" i="16"/>
  <c r="S57" i="18"/>
  <c r="T39" i="18"/>
  <c r="T53" i="16"/>
  <c r="S34" i="18"/>
  <c r="N50" i="18"/>
  <c r="S40" i="18"/>
  <c r="S16" i="17"/>
  <c r="S63" i="16"/>
  <c r="T53" i="18"/>
  <c r="O71" i="15"/>
  <c r="N63" i="15"/>
  <c r="S62" i="16"/>
  <c r="T18" i="17"/>
  <c r="N12" i="17"/>
  <c r="T9" i="17"/>
  <c r="O34" i="18"/>
  <c r="T60" i="16"/>
  <c r="N39" i="18"/>
  <c r="T13" i="17"/>
  <c r="N67" i="18"/>
  <c r="T66" i="15"/>
  <c r="O41" i="16"/>
  <c r="P11" i="14"/>
  <c r="O36" i="16"/>
  <c r="S59" i="15"/>
  <c r="K17" i="14"/>
  <c r="S12" i="17"/>
  <c r="O60" i="15"/>
  <c r="N45" i="16"/>
  <c r="J17" i="14"/>
  <c r="N57" i="18"/>
  <c r="N33" i="16"/>
  <c r="S64" i="16"/>
  <c r="N52" i="18"/>
  <c r="N14" i="17"/>
  <c r="O61" i="16"/>
  <c r="S35" i="18"/>
  <c r="T85" i="15"/>
  <c r="S50" i="16"/>
  <c r="S50" i="18"/>
  <c r="T64" i="16"/>
  <c r="S48" i="16"/>
  <c r="O47" i="18"/>
  <c r="S13" i="17"/>
  <c r="N60" i="15"/>
  <c r="O66" i="15"/>
  <c r="O57" i="18"/>
  <c r="N76" i="18"/>
  <c r="S61" i="16"/>
  <c r="N55" i="18"/>
  <c r="T32" i="16"/>
  <c r="P17" i="14"/>
  <c r="K11" i="14"/>
  <c r="T58" i="15"/>
  <c r="N71" i="15"/>
  <c r="O55" i="18"/>
  <c r="O33" i="16"/>
  <c r="O42" i="16"/>
  <c r="O16" i="14"/>
  <c r="S17" i="17"/>
  <c r="O58" i="16"/>
  <c r="O10" i="17"/>
  <c r="O12" i="17"/>
  <c r="N37" i="16"/>
  <c r="O36" i="18"/>
  <c r="O11" i="14"/>
  <c r="I38" i="14" l="1"/>
  <c r="I21" i="14"/>
  <c r="I23" i="14"/>
  <c r="I26" i="14"/>
  <c r="I41" i="14"/>
  <c r="I10" i="14"/>
  <c r="W15" i="18"/>
  <c r="W43" i="18"/>
  <c r="W27" i="18"/>
  <c r="W11" i="18"/>
  <c r="W56" i="18"/>
  <c r="W75" i="18"/>
  <c r="W9" i="18"/>
  <c r="W36" i="18"/>
  <c r="W32" i="18"/>
  <c r="W7" i="18"/>
  <c r="W58" i="18"/>
  <c r="W73" i="18"/>
  <c r="W22" i="18"/>
  <c r="W54" i="18"/>
  <c r="W77" i="18"/>
  <c r="W66" i="18"/>
  <c r="W69" i="18"/>
  <c r="W6" i="18"/>
  <c r="W4" i="18"/>
  <c r="W34" i="18"/>
  <c r="W18" i="18"/>
  <c r="W12" i="18"/>
  <c r="W5" i="18"/>
  <c r="W59" i="18"/>
  <c r="W8" i="18"/>
  <c r="W30" i="18"/>
  <c r="W51" i="18"/>
  <c r="W48" i="18"/>
  <c r="W16" i="18"/>
  <c r="W20" i="18"/>
  <c r="W78" i="18"/>
  <c r="W55" i="18"/>
  <c r="W47" i="18"/>
  <c r="W62" i="18"/>
  <c r="W64" i="18"/>
  <c r="W31" i="18"/>
  <c r="W25" i="18"/>
  <c r="W70" i="18"/>
  <c r="W74" i="18"/>
  <c r="W38" i="18"/>
  <c r="W42" i="18"/>
  <c r="W14" i="18"/>
  <c r="W23" i="18"/>
  <c r="W67" i="18"/>
  <c r="W53" i="18"/>
  <c r="W24" i="18"/>
  <c r="W49" i="18"/>
  <c r="W40" i="18"/>
  <c r="W39" i="18"/>
  <c r="W28" i="18"/>
  <c r="W46" i="18"/>
  <c r="W13" i="18"/>
  <c r="W44" i="18"/>
  <c r="W57" i="18"/>
  <c r="W65" i="18"/>
  <c r="W37" i="18"/>
  <c r="W76" i="18"/>
  <c r="W79" i="18"/>
  <c r="W68" i="18"/>
  <c r="W50" i="18"/>
  <c r="W33" i="18"/>
  <c r="W71" i="18"/>
  <c r="W29" i="18"/>
  <c r="W41" i="18"/>
  <c r="W72" i="18"/>
  <c r="W63" i="18"/>
  <c r="W17" i="18"/>
  <c r="W35" i="18"/>
  <c r="W61" i="18"/>
  <c r="W19" i="18"/>
  <c r="W26" i="18"/>
  <c r="W52" i="18"/>
  <c r="W10" i="18"/>
  <c r="W60" i="18"/>
  <c r="W3" i="18"/>
  <c r="W45" i="18"/>
  <c r="W21" i="18"/>
  <c r="I39" i="14"/>
  <c r="I24" i="14"/>
  <c r="I22" i="14"/>
  <c r="I40" i="14"/>
  <c r="I28" i="14"/>
  <c r="I33" i="14"/>
  <c r="I7" i="14"/>
  <c r="I37" i="14"/>
  <c r="I27" i="14"/>
  <c r="I32" i="14"/>
  <c r="I34" i="14"/>
  <c r="I8" i="14"/>
  <c r="I9" i="14"/>
  <c r="I25" i="14"/>
  <c r="I31" i="14"/>
  <c r="I35" i="14"/>
  <c r="I30" i="14"/>
  <c r="I29" i="14"/>
  <c r="I36" i="14"/>
  <c r="X27" i="17"/>
  <c r="AB42" i="17"/>
  <c r="AA13" i="18"/>
  <c r="O25" i="14"/>
  <c r="AB4" i="17"/>
  <c r="AA36" i="17"/>
  <c r="AA49" i="17"/>
  <c r="AA26" i="17"/>
  <c r="Z25" i="16"/>
  <c r="Z63" i="16"/>
  <c r="K7" i="14"/>
  <c r="AA33" i="18"/>
  <c r="AB10" i="18"/>
  <c r="AA26" i="16"/>
  <c r="AB18" i="18"/>
  <c r="AB12" i="18"/>
  <c r="Z75" i="18"/>
  <c r="X24" i="17"/>
  <c r="AB33" i="18"/>
  <c r="J15" i="14"/>
  <c r="Y36" i="17"/>
  <c r="AA49" i="16"/>
  <c r="AA64" i="16"/>
  <c r="AA9" i="17"/>
  <c r="J18" i="14"/>
  <c r="Z79" i="18"/>
  <c r="O24" i="14"/>
  <c r="AB31" i="16"/>
  <c r="Z6" i="18"/>
  <c r="Z64" i="18"/>
  <c r="AB34" i="17"/>
  <c r="AA50" i="17"/>
  <c r="X78" i="18"/>
  <c r="Y32" i="17"/>
  <c r="Z60" i="16"/>
  <c r="Y48" i="17"/>
  <c r="AA54" i="18"/>
  <c r="X5" i="16"/>
  <c r="X53" i="16"/>
  <c r="X7" i="16"/>
  <c r="Z46" i="17"/>
  <c r="Y64" i="16"/>
  <c r="O87" i="15"/>
  <c r="Z13" i="17"/>
  <c r="O10" i="14"/>
  <c r="X39" i="18"/>
  <c r="J36" i="14"/>
  <c r="Y73" i="18"/>
  <c r="O21" i="14"/>
  <c r="O36" i="14"/>
  <c r="Z17" i="16"/>
  <c r="Z45" i="18"/>
  <c r="X23" i="18"/>
  <c r="AA34" i="17"/>
  <c r="O38" i="14"/>
  <c r="X17" i="16"/>
  <c r="Z51" i="17"/>
  <c r="AA20" i="17"/>
  <c r="AA53" i="18"/>
  <c r="Z26" i="18"/>
  <c r="X37" i="18"/>
  <c r="X5" i="17"/>
  <c r="AB52" i="18"/>
  <c r="Z39" i="16"/>
  <c r="O5" i="14"/>
  <c r="AB38" i="17"/>
  <c r="X33" i="17"/>
  <c r="AB40" i="18"/>
  <c r="P21" i="14"/>
  <c r="Z65" i="18"/>
  <c r="Y17" i="16"/>
  <c r="X43" i="17"/>
  <c r="P31" i="14"/>
  <c r="J34" i="14"/>
  <c r="Y3" i="18"/>
  <c r="Y37" i="17"/>
  <c r="X68" i="18"/>
  <c r="Y13" i="16"/>
  <c r="Y55" i="16"/>
  <c r="K33" i="14"/>
  <c r="Y16" i="17"/>
  <c r="X75" i="18"/>
  <c r="AA15" i="17"/>
  <c r="Z44" i="16"/>
  <c r="Y31" i="16"/>
  <c r="P41" i="14"/>
  <c r="X44" i="16"/>
  <c r="Y12" i="17"/>
  <c r="Y33" i="17"/>
  <c r="AB27" i="16"/>
  <c r="AB24" i="16"/>
  <c r="AA43" i="18"/>
  <c r="K18" i="14"/>
  <c r="Y30" i="17"/>
  <c r="X36" i="16"/>
  <c r="AA23" i="17"/>
  <c r="P23" i="14"/>
  <c r="O3" i="14"/>
  <c r="D28" i="1"/>
  <c r="AB49" i="16"/>
  <c r="Y71" i="18"/>
  <c r="AB32" i="17"/>
  <c r="X13" i="17"/>
  <c r="AA49" i="18"/>
  <c r="AA21" i="17"/>
  <c r="P8" i="14"/>
  <c r="Z57" i="16"/>
  <c r="AA43" i="17"/>
  <c r="Z35" i="16"/>
  <c r="X55" i="16"/>
  <c r="J40" i="14"/>
  <c r="O30" i="14"/>
  <c r="Z3" i="17"/>
  <c r="AB27" i="17"/>
  <c r="AB54" i="18"/>
  <c r="Z29" i="16"/>
  <c r="Y17" i="18"/>
  <c r="Y70" i="18"/>
  <c r="Y39" i="16"/>
  <c r="K26" i="14"/>
  <c r="Z14" i="18"/>
  <c r="X35" i="17"/>
  <c r="AA57" i="18"/>
  <c r="AB25" i="16"/>
  <c r="Y35" i="17"/>
  <c r="AB36" i="18"/>
  <c r="Z18" i="16"/>
  <c r="AA51" i="18"/>
  <c r="Z31" i="17"/>
  <c r="AA8" i="16"/>
  <c r="Y38" i="18"/>
  <c r="Z33" i="16"/>
  <c r="X26" i="18"/>
  <c r="Z22" i="18"/>
  <c r="Y8" i="18"/>
  <c r="O28" i="14"/>
  <c r="Z24" i="18"/>
  <c r="Y10" i="18"/>
  <c r="X24" i="18"/>
  <c r="AA8" i="18"/>
  <c r="AA18" i="18"/>
  <c r="K25" i="14"/>
  <c r="X20" i="16"/>
  <c r="Y21" i="18"/>
  <c r="AB11" i="17"/>
  <c r="AB65" i="18"/>
  <c r="Z9" i="16"/>
  <c r="Z7" i="17"/>
  <c r="Z23" i="17"/>
  <c r="Y26" i="18"/>
  <c r="Z22" i="17"/>
  <c r="Y26" i="17"/>
  <c r="Y5" i="18"/>
  <c r="AB70" i="18"/>
  <c r="Y52" i="18"/>
  <c r="Y72" i="18"/>
  <c r="X22" i="17"/>
  <c r="AA4" i="16"/>
  <c r="X39" i="17"/>
  <c r="AB74" i="18"/>
  <c r="Y4" i="17"/>
  <c r="AA5" i="17"/>
  <c r="AB55" i="17"/>
  <c r="J35" i="14"/>
  <c r="AA35" i="18"/>
  <c r="Y14" i="17"/>
  <c r="AB47" i="16"/>
  <c r="Z53" i="18"/>
  <c r="AA54" i="16"/>
  <c r="Y26" i="16"/>
  <c r="AA55" i="17"/>
  <c r="P37" i="14"/>
  <c r="K39" i="14"/>
  <c r="X14" i="18"/>
  <c r="X18" i="17"/>
  <c r="Y11" i="16"/>
  <c r="AB41" i="17"/>
  <c r="Y37" i="16"/>
  <c r="Y14" i="18"/>
  <c r="X9" i="17"/>
  <c r="K15" i="14"/>
  <c r="Z19" i="18"/>
  <c r="X25" i="17"/>
  <c r="J21" i="14"/>
  <c r="Z5" i="17"/>
  <c r="Y50" i="17"/>
  <c r="Y45" i="18"/>
  <c r="Z39" i="18"/>
  <c r="Y50" i="18"/>
  <c r="AA12" i="17"/>
  <c r="P24" i="14"/>
  <c r="AA16" i="17"/>
  <c r="AB53" i="17"/>
  <c r="Y49" i="16"/>
  <c r="AB46" i="17"/>
  <c r="AA22" i="16"/>
  <c r="AA48" i="17"/>
  <c r="Y34" i="16"/>
  <c r="AB58" i="18"/>
  <c r="Z6" i="17"/>
  <c r="Z15" i="18"/>
  <c r="Y65" i="18"/>
  <c r="Z76" i="18"/>
  <c r="X3" i="16"/>
  <c r="AB18" i="16"/>
  <c r="AB36" i="17"/>
  <c r="AB32" i="16"/>
  <c r="X49" i="17"/>
  <c r="X25" i="18"/>
  <c r="Z7" i="16"/>
  <c r="Z23" i="18"/>
  <c r="K27" i="14"/>
  <c r="AA61" i="18"/>
  <c r="Z49" i="17"/>
  <c r="Y29" i="18"/>
  <c r="Z4" i="17"/>
  <c r="Z34" i="18"/>
  <c r="X29" i="17"/>
  <c r="Y5" i="17"/>
  <c r="Y19" i="16"/>
  <c r="P5" i="14"/>
  <c r="P29" i="14"/>
  <c r="AA48" i="16"/>
  <c r="Y7" i="16"/>
  <c r="AB53" i="18"/>
  <c r="X23" i="16"/>
  <c r="X60" i="18"/>
  <c r="X74" i="18"/>
  <c r="Z8" i="18"/>
  <c r="X33" i="16"/>
  <c r="AA64" i="18"/>
  <c r="AB9" i="16"/>
  <c r="X70" i="18"/>
  <c r="Z16" i="18"/>
  <c r="Y6" i="16"/>
  <c r="X10" i="16"/>
  <c r="Y22" i="18"/>
  <c r="P30" i="14"/>
  <c r="Y47" i="17"/>
  <c r="Z11" i="17"/>
  <c r="Y34" i="18"/>
  <c r="J32" i="14"/>
  <c r="AB54" i="17"/>
  <c r="AB26" i="16"/>
  <c r="Y56" i="16"/>
  <c r="AA59" i="16"/>
  <c r="AA36" i="16"/>
  <c r="X18" i="18"/>
  <c r="X57" i="18"/>
  <c r="K37" i="14"/>
  <c r="AA43" i="16"/>
  <c r="X26" i="17"/>
  <c r="Y62" i="18"/>
  <c r="AB73" i="18"/>
  <c r="AB31" i="18"/>
  <c r="AA38" i="16"/>
  <c r="Z19" i="16"/>
  <c r="Z36" i="17"/>
  <c r="AB30" i="17"/>
  <c r="X21" i="17"/>
  <c r="AA15" i="16"/>
  <c r="AB20" i="18"/>
  <c r="Z12" i="17"/>
  <c r="Y75" i="18"/>
  <c r="AA79" i="18"/>
  <c r="X64" i="16"/>
  <c r="O40" i="14"/>
  <c r="Z9" i="17"/>
  <c r="AA14" i="18"/>
  <c r="X27" i="18"/>
  <c r="Y58" i="16"/>
  <c r="AB75" i="18"/>
  <c r="AA78" i="18"/>
  <c r="AA55" i="18"/>
  <c r="X49" i="18"/>
  <c r="Y41" i="17"/>
  <c r="P12" i="14"/>
  <c r="Y49" i="17"/>
  <c r="J28" i="14"/>
  <c r="Z45" i="16"/>
  <c r="Z12" i="16"/>
  <c r="AB68" i="18"/>
  <c r="AA36" i="18"/>
  <c r="X30" i="17"/>
  <c r="X61" i="18"/>
  <c r="X59" i="18"/>
  <c r="X48" i="18"/>
  <c r="Z47" i="18"/>
  <c r="Y42" i="17"/>
  <c r="Y15" i="17"/>
  <c r="J38" i="14"/>
  <c r="AA40" i="17"/>
  <c r="P10" i="14"/>
  <c r="Z16" i="16"/>
  <c r="Y57" i="16"/>
  <c r="AA6" i="18"/>
  <c r="AA58" i="16"/>
  <c r="Z27" i="18"/>
  <c r="Y63" i="18"/>
  <c r="Z24" i="17"/>
  <c r="Y39" i="17"/>
  <c r="AB67" i="18"/>
  <c r="K23" i="14"/>
  <c r="Z16" i="17"/>
  <c r="X44" i="17"/>
  <c r="AA25" i="18"/>
  <c r="Z28" i="18"/>
  <c r="Y58" i="18"/>
  <c r="Z10" i="16"/>
  <c r="K10" i="14"/>
  <c r="Z33" i="17"/>
  <c r="J23" i="14"/>
  <c r="AA9" i="16"/>
  <c r="X40" i="18"/>
  <c r="Z52" i="17"/>
  <c r="Z41" i="18"/>
  <c r="Y36" i="16"/>
  <c r="AB79" i="18"/>
  <c r="X47" i="16"/>
  <c r="AB59" i="16"/>
  <c r="D43" i="1"/>
  <c r="C51" i="1" s="1"/>
  <c r="Y30" i="16"/>
  <c r="Z61" i="16"/>
  <c r="Z36" i="16"/>
  <c r="AB24" i="18"/>
  <c r="X32" i="18"/>
  <c r="Y25" i="16"/>
  <c r="AB39" i="17"/>
  <c r="X16" i="18"/>
  <c r="X64" i="18"/>
  <c r="AB44" i="18"/>
  <c r="AB14" i="17"/>
  <c r="AB64" i="16"/>
  <c r="AA29" i="17"/>
  <c r="AB45" i="18"/>
  <c r="Z30" i="17"/>
  <c r="O18" i="14"/>
  <c r="Y44" i="18"/>
  <c r="Z48" i="16"/>
  <c r="Y33" i="16"/>
  <c r="AA14" i="16"/>
  <c r="AA31" i="17"/>
  <c r="Z14" i="16"/>
  <c r="X13" i="16"/>
  <c r="AA28" i="18"/>
  <c r="Y40" i="18"/>
  <c r="AB22" i="17"/>
  <c r="AA10" i="16"/>
  <c r="X12" i="16"/>
  <c r="AB44" i="16"/>
  <c r="Z41" i="17"/>
  <c r="AA7" i="17"/>
  <c r="J37" i="14"/>
  <c r="Y53" i="16"/>
  <c r="AA63" i="16"/>
  <c r="AB24" i="17"/>
  <c r="AA62" i="16"/>
  <c r="X10" i="17"/>
  <c r="AB58" i="16"/>
  <c r="AA28" i="17"/>
  <c r="AB33" i="17"/>
  <c r="AB52" i="17"/>
  <c r="AA68" i="18"/>
  <c r="AB34" i="18"/>
  <c r="Y54" i="18"/>
  <c r="Z29" i="18"/>
  <c r="AA39" i="16"/>
  <c r="AB38" i="16"/>
  <c r="Y10" i="16"/>
  <c r="Z72" i="18"/>
  <c r="Y13" i="17"/>
  <c r="Z59" i="18"/>
  <c r="Z49" i="16"/>
  <c r="AA12" i="18"/>
  <c r="AA28" i="16"/>
  <c r="AB43" i="18"/>
  <c r="AB26" i="18"/>
  <c r="AA59" i="18"/>
  <c r="AB46" i="16"/>
  <c r="AB39" i="18"/>
  <c r="X6" i="18"/>
  <c r="Z54" i="18"/>
  <c r="AB47" i="18"/>
  <c r="I4" i="1"/>
  <c r="Y35" i="16"/>
  <c r="Y3" i="16"/>
  <c r="AA30" i="16"/>
  <c r="X7" i="18"/>
  <c r="X30" i="18"/>
  <c r="Y53" i="17"/>
  <c r="Y25" i="18"/>
  <c r="Z78" i="18"/>
  <c r="AB3" i="16"/>
  <c r="Y19" i="17"/>
  <c r="Y48" i="16"/>
  <c r="Y43" i="18"/>
  <c r="X31" i="18"/>
  <c r="Y43" i="17"/>
  <c r="X4" i="17"/>
  <c r="AB48" i="16"/>
  <c r="X20" i="18"/>
  <c r="AB40" i="17"/>
  <c r="AB14" i="16"/>
  <c r="AB78" i="18"/>
  <c r="Z27" i="16"/>
  <c r="J24" i="14"/>
  <c r="X5" i="18"/>
  <c r="AA30" i="18"/>
  <c r="Y45" i="17"/>
  <c r="Y18" i="16"/>
  <c r="Z11" i="16"/>
  <c r="C52" i="1"/>
  <c r="K41" i="14"/>
  <c r="AA11" i="17"/>
  <c r="Z36" i="18"/>
  <c r="AF11" i="16"/>
  <c r="X8" i="17"/>
  <c r="AB60" i="16"/>
  <c r="AB18" i="17"/>
  <c r="X32" i="16"/>
  <c r="X53" i="17"/>
  <c r="AA50" i="16"/>
  <c r="Y77" i="18"/>
  <c r="K21" i="14"/>
  <c r="J22" i="14"/>
  <c r="Z73" i="18"/>
  <c r="O7" i="14"/>
  <c r="AA66" i="18"/>
  <c r="AA46" i="18"/>
  <c r="AA41" i="16"/>
  <c r="AA42" i="17"/>
  <c r="X44" i="18"/>
  <c r="P15" i="14"/>
  <c r="K8" i="14"/>
  <c r="AA22" i="17"/>
  <c r="Z11" i="18"/>
  <c r="AB17" i="16"/>
  <c r="AA34" i="18"/>
  <c r="Z24" i="16"/>
  <c r="X31" i="16"/>
  <c r="P36" i="14"/>
  <c r="AA77" i="18"/>
  <c r="Y6" i="18"/>
  <c r="Y57" i="18"/>
  <c r="AA40" i="16"/>
  <c r="Z9" i="18"/>
  <c r="X29" i="18"/>
  <c r="Y4" i="18"/>
  <c r="AA51" i="16"/>
  <c r="Z53" i="17"/>
  <c r="AB28" i="16"/>
  <c r="AA39" i="18"/>
  <c r="J10" i="14"/>
  <c r="J41" i="14"/>
  <c r="AA8" i="17"/>
  <c r="AB7" i="17"/>
  <c r="AB21" i="18"/>
  <c r="AA48" i="18"/>
  <c r="J31" i="14"/>
  <c r="Z51" i="16"/>
  <c r="AB3" i="17"/>
  <c r="J7" i="14"/>
  <c r="O32" i="14"/>
  <c r="X11" i="16"/>
  <c r="Z37" i="17"/>
  <c r="Z68" i="18"/>
  <c r="AB43" i="17"/>
  <c r="Z14" i="17"/>
  <c r="X16" i="16"/>
  <c r="X23" i="17"/>
  <c r="K32" i="14"/>
  <c r="AB13" i="16"/>
  <c r="X37" i="17"/>
  <c r="AA17" i="18"/>
  <c r="Z6" i="16"/>
  <c r="X58" i="18"/>
  <c r="X33" i="18"/>
  <c r="AA52" i="16"/>
  <c r="Y15" i="16"/>
  <c r="Y10" i="17"/>
  <c r="AB15" i="17"/>
  <c r="Z55" i="18"/>
  <c r="AB6" i="18"/>
  <c r="AA24" i="17"/>
  <c r="X21" i="16"/>
  <c r="Z45" i="17"/>
  <c r="AA67" i="18"/>
  <c r="Y7" i="17"/>
  <c r="Y32" i="16"/>
  <c r="AB5" i="18"/>
  <c r="J29" i="14"/>
  <c r="Y35" i="18"/>
  <c r="Z15" i="17"/>
  <c r="X55" i="17"/>
  <c r="AA56" i="16"/>
  <c r="Y21" i="16"/>
  <c r="Y11" i="18"/>
  <c r="AA19" i="18"/>
  <c r="AA17" i="16"/>
  <c r="P18" i="14"/>
  <c r="X7" i="17"/>
  <c r="AA27" i="18"/>
  <c r="AA70" i="18"/>
  <c r="AB57" i="16"/>
  <c r="Z25" i="17"/>
  <c r="AB69" i="18"/>
  <c r="AA65" i="18"/>
  <c r="X12" i="17"/>
  <c r="AA44" i="16"/>
  <c r="X52" i="17"/>
  <c r="X21" i="18"/>
  <c r="Z32" i="17"/>
  <c r="X54" i="16"/>
  <c r="AA53" i="16"/>
  <c r="Y42" i="16"/>
  <c r="X27" i="16"/>
  <c r="X19" i="17"/>
  <c r="Y68" i="18"/>
  <c r="Y37" i="18"/>
  <c r="AA37" i="16"/>
  <c r="Z8" i="16"/>
  <c r="AA47" i="17"/>
  <c r="Z43" i="18"/>
  <c r="AB41" i="16"/>
  <c r="X15" i="16"/>
  <c r="Y8" i="16"/>
  <c r="AB25" i="18"/>
  <c r="Y38" i="16"/>
  <c r="Z21" i="17"/>
  <c r="O15" i="14"/>
  <c r="Z58" i="18"/>
  <c r="AB34" i="16"/>
  <c r="AA4" i="18"/>
  <c r="AA30" i="17"/>
  <c r="AB20" i="17"/>
  <c r="AB8" i="17"/>
  <c r="AB16" i="17"/>
  <c r="AA25" i="16"/>
  <c r="AA58" i="18"/>
  <c r="Z58" i="16"/>
  <c r="Y34" i="17"/>
  <c r="AF11" i="17"/>
  <c r="K12" i="14"/>
  <c r="Z43" i="16"/>
  <c r="Y52" i="16"/>
  <c r="Y56" i="18"/>
  <c r="X54" i="17"/>
  <c r="AB12" i="16"/>
  <c r="X50" i="16"/>
  <c r="N87" i="15"/>
  <c r="X40" i="17"/>
  <c r="K36" i="14"/>
  <c r="AA23" i="18"/>
  <c r="Y60" i="18"/>
  <c r="Y49" i="18"/>
  <c r="Y28" i="17"/>
  <c r="Z42" i="17"/>
  <c r="AB10" i="17"/>
  <c r="Y59" i="16"/>
  <c r="Z53" i="16"/>
  <c r="AB64" i="18"/>
  <c r="P35" i="14"/>
  <c r="X18" i="16"/>
  <c r="O35" i="14"/>
  <c r="Y36" i="18"/>
  <c r="Y64" i="18"/>
  <c r="Z60" i="18"/>
  <c r="Z4" i="18"/>
  <c r="X10" i="18"/>
  <c r="Y31" i="18"/>
  <c r="AA16" i="16"/>
  <c r="X71" i="18"/>
  <c r="Z18" i="18"/>
  <c r="X3" i="18"/>
  <c r="X60" i="16"/>
  <c r="X22" i="18"/>
  <c r="Y9" i="17"/>
  <c r="X51" i="18"/>
  <c r="X51" i="16"/>
  <c r="Z27" i="17"/>
  <c r="J12" i="14"/>
  <c r="Y3" i="17"/>
  <c r="AB4" i="18"/>
  <c r="AA41" i="18"/>
  <c r="AB47" i="17"/>
  <c r="AA14" i="17"/>
  <c r="O8" i="14"/>
  <c r="O41" i="14"/>
  <c r="X28" i="16"/>
  <c r="AA57" i="16"/>
  <c r="X79" i="18"/>
  <c r="X29" i="16"/>
  <c r="X4" i="16"/>
  <c r="AB49" i="17"/>
  <c r="AB50" i="17"/>
  <c r="Z62" i="16"/>
  <c r="Z66" i="18"/>
  <c r="K30" i="14"/>
  <c r="Z21" i="16"/>
  <c r="Z43" i="17"/>
  <c r="X4" i="18"/>
  <c r="Y28" i="18"/>
  <c r="Z69" i="18"/>
  <c r="Z42" i="16"/>
  <c r="K9" i="14"/>
  <c r="X11" i="17"/>
  <c r="AB30" i="16"/>
  <c r="AA12" i="16"/>
  <c r="Z28" i="16"/>
  <c r="AA6" i="16"/>
  <c r="AF12" i="16"/>
  <c r="X36" i="18"/>
  <c r="X69" i="18"/>
  <c r="AB32" i="18"/>
  <c r="AA76" i="18"/>
  <c r="Y12" i="18"/>
  <c r="K38" i="14"/>
  <c r="Z52" i="18"/>
  <c r="Z10" i="17"/>
  <c r="X6" i="17"/>
  <c r="AB13" i="18"/>
  <c r="AB17" i="18"/>
  <c r="AB8" i="16"/>
  <c r="Y30" i="18"/>
  <c r="Y22" i="16"/>
  <c r="Z41" i="16"/>
  <c r="Y55" i="18"/>
  <c r="AA13" i="17"/>
  <c r="X41" i="18"/>
  <c r="Z31" i="18"/>
  <c r="AA69" i="18"/>
  <c r="Z52" i="16"/>
  <c r="AB23" i="18"/>
  <c r="Y23" i="18"/>
  <c r="Y78" i="18"/>
  <c r="AB9" i="17"/>
  <c r="AB7" i="18"/>
  <c r="X43" i="16"/>
  <c r="Y18" i="17"/>
  <c r="AB27" i="18"/>
  <c r="Z34" i="16"/>
  <c r="Z32" i="16"/>
  <c r="AB62" i="18"/>
  <c r="X43" i="18"/>
  <c r="O22" i="14"/>
  <c r="Z74" i="18"/>
  <c r="X20" i="17"/>
  <c r="Y44" i="16"/>
  <c r="AA10" i="17"/>
  <c r="AA21" i="16"/>
  <c r="X24" i="16"/>
  <c r="AB9" i="18"/>
  <c r="K31" i="14"/>
  <c r="Z35" i="17"/>
  <c r="F8" i="14"/>
  <c r="X38" i="16"/>
  <c r="P39" i="14"/>
  <c r="Z20" i="17"/>
  <c r="X45" i="18"/>
  <c r="AA20" i="16"/>
  <c r="Y41" i="16"/>
  <c r="Y9" i="18"/>
  <c r="AB29" i="17"/>
  <c r="AB13" i="17"/>
  <c r="Z40" i="17"/>
  <c r="K22" i="14"/>
  <c r="AA17" i="17"/>
  <c r="AA9" i="18"/>
  <c r="Y51" i="17"/>
  <c r="Y43" i="16"/>
  <c r="Y76" i="18"/>
  <c r="Y74" i="18"/>
  <c r="Y51" i="16"/>
  <c r="Y54" i="17"/>
  <c r="J25" i="14"/>
  <c r="X73" i="18"/>
  <c r="Z19" i="17"/>
  <c r="P33" i="14"/>
  <c r="Z51" i="18"/>
  <c r="AB48" i="17"/>
  <c r="Z28" i="17"/>
  <c r="AA3" i="18"/>
  <c r="Z5" i="18"/>
  <c r="X36" i="17"/>
  <c r="Z15" i="16"/>
  <c r="AB46" i="18"/>
  <c r="X72" i="18"/>
  <c r="AA50" i="18"/>
  <c r="Y40" i="17"/>
  <c r="AA33" i="16"/>
  <c r="AB54" i="16"/>
  <c r="AA32" i="17"/>
  <c r="X8" i="16"/>
  <c r="X14" i="16"/>
  <c r="Y38" i="17"/>
  <c r="Z61" i="18"/>
  <c r="P25" i="14"/>
  <c r="AB35" i="17"/>
  <c r="Y46" i="16"/>
  <c r="Z62" i="18"/>
  <c r="Y28" i="16"/>
  <c r="Z46" i="16"/>
  <c r="Z54" i="16"/>
  <c r="AA19" i="16"/>
  <c r="AA11" i="16"/>
  <c r="AB3" i="18"/>
  <c r="AB22" i="16"/>
  <c r="AA38" i="17"/>
  <c r="X66" i="18"/>
  <c r="X9" i="16"/>
  <c r="Z56" i="16"/>
  <c r="AB14" i="18"/>
  <c r="Y24" i="18"/>
  <c r="Z47" i="16"/>
  <c r="Y45" i="16"/>
  <c r="X16" i="17"/>
  <c r="O27" i="14"/>
  <c r="Z13" i="16"/>
  <c r="P34" i="14"/>
  <c r="AB45" i="16"/>
  <c r="AA38" i="18"/>
  <c r="AB39" i="16"/>
  <c r="AB36" i="16"/>
  <c r="Z67" i="18"/>
  <c r="X13" i="18"/>
  <c r="AB28" i="18"/>
  <c r="X54" i="18"/>
  <c r="AA52" i="17"/>
  <c r="AB28" i="17"/>
  <c r="Y46" i="18"/>
  <c r="J39" i="14"/>
  <c r="Y24" i="16"/>
  <c r="AB51" i="17"/>
  <c r="Y12" i="16"/>
  <c r="AB61" i="18"/>
  <c r="X63" i="16"/>
  <c r="AA41" i="17"/>
  <c r="X49" i="16"/>
  <c r="Y62" i="16"/>
  <c r="Z50" i="18"/>
  <c r="Z70" i="18"/>
  <c r="P26" i="14"/>
  <c r="AB31" i="17"/>
  <c r="Z42" i="18"/>
  <c r="Y13" i="18"/>
  <c r="D29" i="1"/>
  <c r="X51" i="17"/>
  <c r="Y41" i="18"/>
  <c r="Z57" i="18"/>
  <c r="AA45" i="16"/>
  <c r="Z37" i="18"/>
  <c r="Z55" i="17"/>
  <c r="X59" i="16"/>
  <c r="Z46" i="18"/>
  <c r="Y39" i="18"/>
  <c r="AB37" i="18"/>
  <c r="Z63" i="18"/>
  <c r="X55" i="18"/>
  <c r="Z34" i="17"/>
  <c r="AB12" i="17"/>
  <c r="AA52" i="18"/>
  <c r="K5" i="14"/>
  <c r="Y19" i="18"/>
  <c r="X35" i="18"/>
  <c r="AB6" i="17"/>
  <c r="AB66" i="18"/>
  <c r="P3" i="14"/>
  <c r="O33" i="14"/>
  <c r="J30" i="14"/>
  <c r="X50" i="18"/>
  <c r="X35" i="16"/>
  <c r="X62" i="16"/>
  <c r="Z4" i="16"/>
  <c r="Y4" i="16"/>
  <c r="D44" i="1"/>
  <c r="Y51" i="18"/>
  <c r="Z22" i="16"/>
  <c r="AB42" i="16"/>
  <c r="Y23" i="17"/>
  <c r="Y47" i="16"/>
  <c r="Y29" i="16"/>
  <c r="C37" i="1"/>
  <c r="AA56" i="18"/>
  <c r="AB29" i="18"/>
  <c r="X17" i="17"/>
  <c r="AB41" i="18"/>
  <c r="AA24" i="16"/>
  <c r="AB23" i="16"/>
  <c r="J3" i="14"/>
  <c r="Y11" i="17"/>
  <c r="AA45" i="17"/>
  <c r="AA33" i="17"/>
  <c r="AA25" i="17"/>
  <c r="AB5" i="17"/>
  <c r="AB61" i="16"/>
  <c r="AB26" i="17"/>
  <c r="AB35" i="18"/>
  <c r="X19" i="16"/>
  <c r="AB20" i="16"/>
  <c r="P28" i="14"/>
  <c r="K3" i="14"/>
  <c r="O29" i="14"/>
  <c r="AA74" i="18"/>
  <c r="Y29" i="17"/>
  <c r="AB72" i="18"/>
  <c r="AB11" i="16"/>
  <c r="X3" i="17"/>
  <c r="AB10" i="16"/>
  <c r="AA37" i="18"/>
  <c r="O26" i="14"/>
  <c r="O12" i="14"/>
  <c r="AA47" i="18"/>
  <c r="AA75" i="18"/>
  <c r="AA42" i="18"/>
  <c r="Y23" i="16"/>
  <c r="X34" i="17"/>
  <c r="AA6" i="17"/>
  <c r="X47" i="18"/>
  <c r="O4" i="14"/>
  <c r="Z37" i="16"/>
  <c r="Z55" i="16"/>
  <c r="Y33" i="18"/>
  <c r="Z77" i="18"/>
  <c r="AB7" i="16"/>
  <c r="AA71" i="18"/>
  <c r="K34" i="14"/>
  <c r="P38" i="14"/>
  <c r="Y14" i="16"/>
  <c r="X52" i="18"/>
  <c r="X38" i="18"/>
  <c r="X48" i="17"/>
  <c r="X42" i="17"/>
  <c r="X15" i="18"/>
  <c r="AA35" i="16"/>
  <c r="Z38" i="16"/>
  <c r="Y59" i="18"/>
  <c r="AA31" i="16"/>
  <c r="AB30" i="18"/>
  <c r="Y42" i="18"/>
  <c r="Z38" i="17"/>
  <c r="AB63" i="16"/>
  <c r="AB25" i="17"/>
  <c r="X67" i="18"/>
  <c r="AA45" i="18"/>
  <c r="X9" i="18"/>
  <c r="X31" i="17"/>
  <c r="AA24" i="18"/>
  <c r="X26" i="16"/>
  <c r="Y15" i="18"/>
  <c r="O39" i="14"/>
  <c r="AB71" i="18"/>
  <c r="Y32" i="18"/>
  <c r="AB53" i="16"/>
  <c r="Z33" i="18"/>
  <c r="X14" i="17"/>
  <c r="Y46" i="17"/>
  <c r="Z10" i="18"/>
  <c r="Z3" i="18"/>
  <c r="Z7" i="18"/>
  <c r="AA19" i="17"/>
  <c r="AA15" i="18"/>
  <c r="AB16" i="16"/>
  <c r="AA18" i="16"/>
  <c r="AA72" i="18"/>
  <c r="Z54" i="17"/>
  <c r="Y50" i="16"/>
  <c r="AB16" i="18"/>
  <c r="AB57" i="18"/>
  <c r="X57" i="16"/>
  <c r="AB55" i="16"/>
  <c r="AB60" i="18"/>
  <c r="AA7" i="18"/>
  <c r="Z23" i="16"/>
  <c r="Y44" i="17"/>
  <c r="X56" i="16"/>
  <c r="AA60" i="18"/>
  <c r="Z38" i="18"/>
  <c r="S87" i="15"/>
  <c r="AB21" i="17"/>
  <c r="Y55" i="17"/>
  <c r="AA18" i="17"/>
  <c r="X46" i="17"/>
  <c r="AB48" i="18"/>
  <c r="AB55" i="18"/>
  <c r="P32" i="14"/>
  <c r="P7" i="14"/>
  <c r="Y60" i="16"/>
  <c r="AA20" i="18"/>
  <c r="Y21" i="17"/>
  <c r="Z17" i="18"/>
  <c r="AB17" i="17"/>
  <c r="X34" i="16"/>
  <c r="X12" i="18"/>
  <c r="AA4" i="17"/>
  <c r="AB21" i="16"/>
  <c r="AB51" i="18"/>
  <c r="Y67" i="18"/>
  <c r="Y54" i="16"/>
  <c r="AB8" i="18"/>
  <c r="X40" i="16"/>
  <c r="Z18" i="17"/>
  <c r="AB42" i="18"/>
  <c r="AA11" i="18"/>
  <c r="X39" i="16"/>
  <c r="Z44" i="18"/>
  <c r="X77" i="18"/>
  <c r="Z29" i="17"/>
  <c r="AA27" i="17"/>
  <c r="AA5" i="16"/>
  <c r="AA73" i="18"/>
  <c r="Y8" i="17"/>
  <c r="AB19" i="17"/>
  <c r="AB56" i="16"/>
  <c r="Z40" i="18"/>
  <c r="Z31" i="16"/>
  <c r="AB49" i="18"/>
  <c r="T87" i="15"/>
  <c r="AB43" i="16"/>
  <c r="AB19" i="18"/>
  <c r="AB37" i="16"/>
  <c r="AB51" i="16"/>
  <c r="X62" i="18"/>
  <c r="AB56" i="18"/>
  <c r="Y66" i="18"/>
  <c r="Z30" i="16"/>
  <c r="Z20" i="18"/>
  <c r="Y79" i="18"/>
  <c r="I28" i="1"/>
  <c r="X25" i="16"/>
  <c r="P9" i="14"/>
  <c r="AB37" i="17"/>
  <c r="AA51" i="17"/>
  <c r="J33" i="14"/>
  <c r="AA34" i="16"/>
  <c r="Z21" i="18"/>
  <c r="AB52" i="16"/>
  <c r="J26" i="14"/>
  <c r="AA31" i="18"/>
  <c r="O34" i="14"/>
  <c r="X11" i="18"/>
  <c r="Z59" i="16"/>
  <c r="AB23" i="17"/>
  <c r="K24" i="14"/>
  <c r="AB40" i="16"/>
  <c r="Y22" i="17"/>
  <c r="X17" i="18"/>
  <c r="AA55" i="16"/>
  <c r="Y27" i="17"/>
  <c r="Y20" i="16"/>
  <c r="Y48" i="18"/>
  <c r="X41" i="16"/>
  <c r="Y20" i="17"/>
  <c r="X45" i="16"/>
  <c r="K29" i="14"/>
  <c r="X28" i="18"/>
  <c r="X46" i="18"/>
  <c r="Y40" i="16"/>
  <c r="Y5" i="16"/>
  <c r="Z39" i="17"/>
  <c r="AB59" i="18"/>
  <c r="P22" i="14"/>
  <c r="AB45" i="17"/>
  <c r="Y52" i="17"/>
  <c r="Z50" i="16"/>
  <c r="AF12" i="17"/>
  <c r="AA5" i="18"/>
  <c r="AA37" i="17"/>
  <c r="X56" i="18"/>
  <c r="Z56" i="18"/>
  <c r="AA60" i="16"/>
  <c r="AA44" i="17"/>
  <c r="Z32" i="18"/>
  <c r="Z71" i="18"/>
  <c r="K35" i="14"/>
  <c r="AB6" i="16"/>
  <c r="O31" i="14"/>
  <c r="AA53" i="17"/>
  <c r="Z5" i="16"/>
  <c r="Y18" i="18"/>
  <c r="AA3" i="16"/>
  <c r="AB77" i="18"/>
  <c r="AH11" i="17"/>
  <c r="X53" i="18"/>
  <c r="X22" i="16"/>
  <c r="X61" i="16"/>
  <c r="Y16" i="16"/>
  <c r="AA32" i="16"/>
  <c r="X30" i="16"/>
  <c r="X6" i="16"/>
  <c r="AA54" i="17"/>
  <c r="Z13" i="18"/>
  <c r="Y20" i="18"/>
  <c r="Z20" i="16"/>
  <c r="AB50" i="16"/>
  <c r="X50" i="17"/>
  <c r="Z49" i="18"/>
  <c r="Z25" i="18"/>
  <c r="AB62" i="16"/>
  <c r="Z35" i="18"/>
  <c r="Y24" i="17"/>
  <c r="Z47" i="17"/>
  <c r="AA44" i="18"/>
  <c r="AB50" i="18"/>
  <c r="X48" i="16"/>
  <c r="Y7" i="18"/>
  <c r="C26" i="15"/>
  <c r="AA23" i="16"/>
  <c r="AC2" i="17" a="1"/>
  <c r="AB22" i="18"/>
  <c r="O9" i="14"/>
  <c r="K40" i="14"/>
  <c r="AA46" i="17"/>
  <c r="AA27" i="16"/>
  <c r="AA39" i="17"/>
  <c r="Y6" i="17"/>
  <c r="X28" i="17"/>
  <c r="O23" i="14"/>
  <c r="Z26" i="17"/>
  <c r="AA7" i="16"/>
  <c r="X52" i="16"/>
  <c r="Y27" i="16"/>
  <c r="J9" i="14"/>
  <c r="Y53" i="18"/>
  <c r="X19" i="18"/>
  <c r="D52" i="1"/>
  <c r="P40" i="14"/>
  <c r="AA13" i="16"/>
  <c r="AA35" i="17"/>
  <c r="K28" i="14"/>
  <c r="Y17" i="17"/>
  <c r="Y61" i="16"/>
  <c r="AA63" i="18"/>
  <c r="AA26" i="18"/>
  <c r="X37" i="16"/>
  <c r="AB35" i="16"/>
  <c r="AB63" i="18"/>
  <c r="J8" i="14"/>
  <c r="AA42" i="16"/>
  <c r="J5" i="14"/>
  <c r="Z50" i="17"/>
  <c r="C27" i="15"/>
  <c r="Z48" i="18"/>
  <c r="X47" i="17"/>
  <c r="X38" i="17"/>
  <c r="AB11" i="18"/>
  <c r="X46" i="16"/>
  <c r="AA22" i="18"/>
  <c r="K4" i="14"/>
  <c r="P27" i="14"/>
  <c r="AA29" i="16"/>
  <c r="Z3" i="16"/>
  <c r="AA46" i="16"/>
  <c r="Z30" i="18"/>
  <c r="AA10" i="18"/>
  <c r="Z48" i="17"/>
  <c r="AB5" i="16"/>
  <c r="J27" i="14"/>
  <c r="Z44" i="17"/>
  <c r="AA29" i="18"/>
  <c r="Z26" i="16"/>
  <c r="P4" i="14"/>
  <c r="AA61" i="16"/>
  <c r="X34" i="18"/>
  <c r="Y63" i="16"/>
  <c r="AB76" i="18"/>
  <c r="Y31" i="17"/>
  <c r="X58" i="16"/>
  <c r="AB4" i="16"/>
  <c r="X65" i="18"/>
  <c r="AA16" i="18"/>
  <c r="Z40" i="16"/>
  <c r="Y27" i="18"/>
  <c r="Y16" i="18"/>
  <c r="X41" i="17"/>
  <c r="Z8" i="17"/>
  <c r="X15" i="17"/>
  <c r="X8" i="18"/>
  <c r="AB33" i="16"/>
  <c r="J4" i="14"/>
  <c r="AA62" i="18"/>
  <c r="O37" i="14"/>
  <c r="Y61" i="18"/>
  <c r="AB44" i="17"/>
  <c r="X45" i="17"/>
  <c r="X42" i="18"/>
  <c r="Y69" i="18"/>
  <c r="X76" i="18"/>
  <c r="AB29" i="16"/>
  <c r="Y47" i="18"/>
  <c r="Z12" i="18"/>
  <c r="AA47" i="16"/>
  <c r="AB15" i="16"/>
  <c r="AB38" i="18"/>
  <c r="AA40" i="18"/>
  <c r="Y25" i="17"/>
  <c r="Y9" i="16"/>
  <c r="Z64" i="16"/>
  <c r="AA3" i="17"/>
  <c r="AA21" i="18"/>
  <c r="X42" i="16"/>
  <c r="AA32" i="18"/>
  <c r="AB19" i="16"/>
  <c r="X63" i="18"/>
  <c r="Z17" i="17"/>
  <c r="X32" i="17"/>
  <c r="AB15" i="18"/>
  <c r="C36" i="1"/>
  <c r="AB11" i="14"/>
  <c r="AF11" i="15"/>
  <c r="AF12" i="15" s="1"/>
  <c r="AH12" i="16"/>
  <c r="I29" i="1"/>
  <c r="H37" i="1"/>
  <c r="AF13" i="17"/>
  <c r="AH12" i="17"/>
  <c r="AB12" i="14"/>
  <c r="AD11" i="14"/>
  <c r="AF14" i="17"/>
  <c r="AH13" i="17"/>
  <c r="AH14" i="17"/>
  <c r="AF15" i="17"/>
  <c r="AF16" i="17"/>
  <c r="AH15" i="17"/>
  <c r="AF17" i="17"/>
  <c r="AH16" i="17"/>
  <c r="AH17" i="17"/>
  <c r="AF18" i="17"/>
  <c r="AF19" i="17"/>
  <c r="AH18" i="17"/>
  <c r="AH19" i="17"/>
  <c r="AF20" i="17"/>
  <c r="AF21" i="17"/>
  <c r="AH20" i="17"/>
  <c r="AF22" i="17"/>
  <c r="AH21" i="17"/>
  <c r="AL21" i="17" l="1"/>
  <c r="AJ21" i="17"/>
  <c r="AL20" i="17"/>
  <c r="AJ20" i="17"/>
  <c r="AL19" i="17"/>
  <c r="AJ19" i="17"/>
  <c r="AL18" i="17"/>
  <c r="AJ18" i="17"/>
  <c r="AL17" i="17"/>
  <c r="AJ17" i="17"/>
  <c r="AJ16" i="17"/>
  <c r="AL16" i="17"/>
  <c r="AJ15" i="17"/>
  <c r="AL15" i="17"/>
  <c r="AL14" i="17"/>
  <c r="AJ14" i="17"/>
  <c r="AL13" i="17"/>
  <c r="AJ13" i="17"/>
  <c r="AJ12" i="17"/>
  <c r="AL12" i="17"/>
  <c r="AJ12" i="16"/>
  <c r="AL11" i="17"/>
  <c r="AJ11" i="17"/>
  <c r="AC53" i="17"/>
  <c r="AC4" i="17"/>
  <c r="AC48" i="17"/>
  <c r="AC25" i="17"/>
  <c r="AC40" i="17"/>
  <c r="AC16" i="17"/>
  <c r="AC43" i="17"/>
  <c r="AC18" i="17"/>
  <c r="AC11" i="17"/>
  <c r="AC36" i="17"/>
  <c r="AC42" i="17"/>
  <c r="AC5" i="17"/>
  <c r="AC35" i="17"/>
  <c r="AC27" i="17"/>
  <c r="AC32" i="17"/>
  <c r="AC22" i="17"/>
  <c r="AC3" i="17"/>
  <c r="AC46" i="17"/>
  <c r="AC29" i="17"/>
  <c r="AC54" i="17"/>
  <c r="AC9" i="17"/>
  <c r="AC49" i="17"/>
  <c r="AC17" i="17"/>
  <c r="AC37" i="17"/>
  <c r="AC21" i="17"/>
  <c r="AC2" i="17"/>
  <c r="AC50" i="17"/>
  <c r="AC41" i="17"/>
  <c r="AC13" i="17"/>
  <c r="AC47" i="17"/>
  <c r="AC52" i="17"/>
  <c r="AC51" i="17"/>
  <c r="AC19" i="17"/>
  <c r="AC26" i="17"/>
  <c r="AC45" i="17"/>
  <c r="AC30" i="17"/>
  <c r="AC15" i="17"/>
  <c r="AC34" i="17"/>
  <c r="AC38" i="17"/>
  <c r="AC55" i="17"/>
  <c r="AC7" i="17"/>
  <c r="AC10" i="17"/>
  <c r="AC39" i="17"/>
  <c r="AC14" i="17"/>
  <c r="AC24" i="17"/>
  <c r="AC28" i="17"/>
  <c r="AC8" i="17"/>
  <c r="AC31" i="17"/>
  <c r="AC12" i="17"/>
  <c r="AC23" i="17"/>
  <c r="AC20" i="17"/>
  <c r="AC33" i="17"/>
  <c r="AC44" i="17"/>
  <c r="AC6" i="17"/>
  <c r="V26" i="17"/>
  <c r="V42" i="16"/>
  <c r="AF11" i="14"/>
  <c r="V6" i="18"/>
  <c r="V45" i="17"/>
  <c r="V4" i="16"/>
  <c r="H27" i="15"/>
  <c r="I27" i="15"/>
  <c r="V38" i="16"/>
  <c r="V20" i="17"/>
  <c r="V51" i="16"/>
  <c r="V41" i="17"/>
  <c r="V12" i="18"/>
  <c r="V14" i="17"/>
  <c r="V71" i="18"/>
  <c r="V10" i="18"/>
  <c r="V13" i="18"/>
  <c r="V52" i="18"/>
  <c r="V56" i="18"/>
  <c r="V55" i="16"/>
  <c r="V39" i="18"/>
  <c r="V34" i="18"/>
  <c r="V63" i="16"/>
  <c r="V57" i="18"/>
  <c r="V43" i="16"/>
  <c r="V13" i="17"/>
  <c r="V47" i="16"/>
  <c r="V19" i="17"/>
  <c r="V52" i="16"/>
  <c r="V46" i="18"/>
  <c r="V32" i="18"/>
  <c r="V79" i="18"/>
  <c r="V31" i="17"/>
  <c r="V4" i="17"/>
  <c r="V45" i="18"/>
  <c r="V49" i="16"/>
  <c r="V18" i="18"/>
  <c r="V57" i="16"/>
  <c r="V8" i="16"/>
  <c r="I26" i="15"/>
  <c r="H26" i="15"/>
  <c r="V16" i="17"/>
  <c r="V48" i="16"/>
  <c r="V5" i="16"/>
  <c r="V51" i="18"/>
  <c r="V10" i="16"/>
  <c r="V29" i="18"/>
  <c r="V38" i="18"/>
  <c r="V66" i="18"/>
  <c r="V39" i="17"/>
  <c r="V3" i="16"/>
  <c r="V10" i="17"/>
  <c r="V47" i="18"/>
  <c r="V22" i="16"/>
  <c r="V32" i="16"/>
  <c r="V15" i="16"/>
  <c r="V36" i="18"/>
  <c r="V29" i="16"/>
  <c r="V51" i="17"/>
  <c r="V28" i="18"/>
  <c r="V7" i="18"/>
  <c r="V35" i="16"/>
  <c r="V17" i="17"/>
  <c r="V20" i="16"/>
  <c r="V25" i="16"/>
  <c r="V62" i="18"/>
  <c r="V62" i="16"/>
  <c r="V42" i="17"/>
  <c r="V69" i="18"/>
  <c r="V6" i="17"/>
  <c r="V50" i="16"/>
  <c r="V56" i="16"/>
  <c r="V15" i="18"/>
  <c r="V61" i="18"/>
  <c r="V46" i="17"/>
  <c r="V16" i="18"/>
  <c r="V20" i="18"/>
  <c r="V31" i="16"/>
  <c r="V43" i="17"/>
  <c r="V21" i="17"/>
  <c r="V42" i="18"/>
  <c r="V61" i="16"/>
  <c r="V11" i="17"/>
  <c r="V53" i="16"/>
  <c r="V7" i="16"/>
  <c r="V64" i="18"/>
  <c r="V33" i="18"/>
  <c r="V16" i="16"/>
  <c r="V37" i="18"/>
  <c r="V22" i="17"/>
  <c r="V58" i="16"/>
  <c r="V23" i="16"/>
  <c r="V36" i="16"/>
  <c r="V34" i="16"/>
  <c r="V68" i="18"/>
  <c r="V58" i="18"/>
  <c r="V35" i="17"/>
  <c r="V18" i="17"/>
  <c r="V34" i="17"/>
  <c r="V49" i="18"/>
  <c r="V14" i="18"/>
  <c r="V13" i="16"/>
  <c r="V39" i="16"/>
  <c r="V9" i="16"/>
  <c r="V9" i="18"/>
  <c r="V67" i="18"/>
  <c r="V33" i="17"/>
  <c r="V53" i="18"/>
  <c r="V64" i="16"/>
  <c r="V12" i="16"/>
  <c r="V24" i="16"/>
  <c r="V22" i="18"/>
  <c r="V7" i="17"/>
  <c r="V37" i="17"/>
  <c r="V23" i="17"/>
  <c r="V30" i="17"/>
  <c r="V23" i="18"/>
  <c r="V26" i="18"/>
  <c r="V28" i="17"/>
  <c r="V30" i="16"/>
  <c r="V28" i="16"/>
  <c r="V3" i="17"/>
  <c r="V19" i="16"/>
  <c r="V27" i="18"/>
  <c r="V24" i="18"/>
  <c r="V41" i="18"/>
  <c r="V76" i="18"/>
  <c r="V47" i="17"/>
  <c r="V8" i="17"/>
  <c r="V38" i="17"/>
  <c r="V65" i="18"/>
  <c r="V25" i="18"/>
  <c r="V60" i="18"/>
  <c r="V36" i="17"/>
  <c r="V46" i="16"/>
  <c r="V59" i="18"/>
  <c r="V6" i="16"/>
  <c r="V44" i="17"/>
  <c r="V54" i="16"/>
  <c r="V72" i="18"/>
  <c r="V17" i="18"/>
  <c r="V48" i="17"/>
  <c r="V19" i="18"/>
  <c r="V26" i="16"/>
  <c r="V74" i="18"/>
  <c r="V27" i="16"/>
  <c r="V11" i="18"/>
  <c r="V8" i="18"/>
  <c r="V12" i="17"/>
  <c r="V11" i="16"/>
  <c r="V53" i="17"/>
  <c r="V77" i="18"/>
  <c r="V70" i="18"/>
  <c r="V4" i="18"/>
  <c r="V63" i="18"/>
  <c r="V43" i="18"/>
  <c r="V31" i="18"/>
  <c r="V25" i="17"/>
  <c r="V50" i="17"/>
  <c r="V60" i="16"/>
  <c r="V21" i="16"/>
  <c r="V45" i="16"/>
  <c r="V21" i="18"/>
  <c r="V40" i="17"/>
  <c r="V5" i="18"/>
  <c r="V54" i="17"/>
  <c r="V30" i="18"/>
  <c r="I6" i="14"/>
  <c r="V5" i="17"/>
  <c r="V24" i="17"/>
  <c r="V49" i="17"/>
  <c r="V14" i="16"/>
  <c r="V40" i="18"/>
  <c r="V44" i="16"/>
  <c r="V32" i="17"/>
  <c r="V44" i="18"/>
  <c r="V75" i="18"/>
  <c r="V27" i="17"/>
  <c r="V54" i="18"/>
  <c r="V55" i="18"/>
  <c r="V37" i="16"/>
  <c r="V73" i="18"/>
  <c r="V48" i="18"/>
  <c r="V33" i="16"/>
  <c r="V17" i="16"/>
  <c r="V59" i="16"/>
  <c r="V15" i="17"/>
  <c r="V29" i="17"/>
  <c r="V9" i="17"/>
  <c r="V35" i="18"/>
  <c r="V55" i="17"/>
  <c r="V50" i="18"/>
  <c r="V41" i="16"/>
  <c r="V40" i="16"/>
  <c r="V3" i="18"/>
  <c r="V52" i="17"/>
  <c r="V18" i="16"/>
  <c r="V78" i="18"/>
  <c r="AB13" i="14"/>
  <c r="H36" i="1"/>
  <c r="AH12" i="15"/>
  <c r="D36" i="1"/>
  <c r="J6" i="14"/>
  <c r="AF23" i="17"/>
  <c r="AC2" i="18" a="1"/>
  <c r="S3" i="14" a="1"/>
  <c r="AH22" i="17"/>
  <c r="K6" i="14"/>
  <c r="AH11" i="16"/>
  <c r="J27" i="15"/>
  <c r="AB23" i="14"/>
  <c r="D37" i="1"/>
  <c r="I36" i="1"/>
  <c r="C28" i="15"/>
  <c r="I37" i="1"/>
  <c r="AF23" i="16"/>
  <c r="D51" i="1"/>
  <c r="AF13" i="15"/>
  <c r="P6" i="14"/>
  <c r="AF13" i="16"/>
  <c r="AD12" i="14"/>
  <c r="AC2" i="16" a="1"/>
  <c r="O6" i="14"/>
  <c r="AH11" i="15"/>
  <c r="J26" i="15"/>
  <c r="AF14" i="15"/>
  <c r="AF23" i="15"/>
  <c r="AB14" i="14"/>
  <c r="AD13" i="14"/>
  <c r="AH13" i="16"/>
  <c r="AD14" i="14"/>
  <c r="AB15" i="14"/>
  <c r="AD15" i="14"/>
  <c r="AB16" i="14"/>
  <c r="AD16" i="14"/>
  <c r="AB17" i="14"/>
  <c r="AD17" i="14"/>
  <c r="AB18" i="14"/>
  <c r="AB19" i="14"/>
  <c r="AD18" i="14"/>
  <c r="AB20" i="14"/>
  <c r="AD19" i="14"/>
  <c r="AD20" i="14"/>
  <c r="AB21" i="14"/>
  <c r="AD21" i="14"/>
  <c r="AB22" i="14"/>
  <c r="AD22" i="14" s="1"/>
  <c r="AF21" i="14" l="1"/>
  <c r="AF20" i="14"/>
  <c r="AF19" i="14"/>
  <c r="AF18" i="14"/>
  <c r="AF17" i="14"/>
  <c r="AF16" i="14"/>
  <c r="AF15" i="14"/>
  <c r="AF14" i="14"/>
  <c r="AJ13" i="16"/>
  <c r="AF13" i="14"/>
  <c r="AC77" i="18"/>
  <c r="AC4" i="18"/>
  <c r="AC32" i="18"/>
  <c r="AC41" i="18"/>
  <c r="AC46" i="18"/>
  <c r="AC47" i="18"/>
  <c r="AC10" i="18"/>
  <c r="AC37" i="18"/>
  <c r="AC55" i="18"/>
  <c r="AC44" i="18"/>
  <c r="AC30" i="18"/>
  <c r="AC33" i="18"/>
  <c r="AC54" i="18"/>
  <c r="AC6" i="18"/>
  <c r="AC59" i="18"/>
  <c r="AC39" i="18"/>
  <c r="AC58" i="18"/>
  <c r="AC61" i="18"/>
  <c r="AC8" i="18"/>
  <c r="AC17" i="18"/>
  <c r="AC53" i="18"/>
  <c r="AC19" i="18"/>
  <c r="AC35" i="18"/>
  <c r="AC70" i="18"/>
  <c r="AC40" i="18"/>
  <c r="AC63" i="18"/>
  <c r="AC45" i="18"/>
  <c r="AC78" i="18"/>
  <c r="AC29" i="18"/>
  <c r="AC18" i="18"/>
  <c r="AC57" i="18"/>
  <c r="AC65" i="18"/>
  <c r="AC76" i="18"/>
  <c r="AC49" i="18"/>
  <c r="AC31" i="18"/>
  <c r="AC25" i="18"/>
  <c r="AC56" i="18"/>
  <c r="AC62" i="18"/>
  <c r="AC73" i="18"/>
  <c r="AC21" i="18"/>
  <c r="AC2" i="18"/>
  <c r="AC20" i="18"/>
  <c r="AC26" i="18"/>
  <c r="AC23" i="18"/>
  <c r="AC69" i="18"/>
  <c r="AC68" i="18"/>
  <c r="AC60" i="18"/>
  <c r="AC75" i="18"/>
  <c r="AC71" i="18"/>
  <c r="AC67" i="18"/>
  <c r="AC42" i="18"/>
  <c r="AC64" i="18"/>
  <c r="AC72" i="18"/>
  <c r="AC13" i="18"/>
  <c r="AC34" i="18"/>
  <c r="AC74" i="18"/>
  <c r="AC52" i="18"/>
  <c r="AC43" i="18"/>
  <c r="AC27" i="18"/>
  <c r="AC16" i="18"/>
  <c r="AC3" i="18"/>
  <c r="AC28" i="18"/>
  <c r="AC9" i="18"/>
  <c r="AC7" i="18"/>
  <c r="AC12" i="18"/>
  <c r="AC50" i="18"/>
  <c r="AC14" i="18"/>
  <c r="AC24" i="18"/>
  <c r="AC66" i="18"/>
  <c r="AC48" i="18"/>
  <c r="AC5" i="18"/>
  <c r="AC36" i="18"/>
  <c r="AC15" i="18"/>
  <c r="AC51" i="18"/>
  <c r="AC22" i="18"/>
  <c r="AC38" i="18"/>
  <c r="AC79" i="18"/>
  <c r="AC11" i="18"/>
  <c r="AJ11" i="15"/>
  <c r="AC31" i="16"/>
  <c r="AC53" i="16"/>
  <c r="AC58" i="16"/>
  <c r="AC51" i="16"/>
  <c r="AC39" i="16"/>
  <c r="AC60" i="16"/>
  <c r="AC19" i="16"/>
  <c r="AC15" i="16"/>
  <c r="AC33" i="16"/>
  <c r="AC10" i="16"/>
  <c r="AC32" i="16"/>
  <c r="AC50" i="16"/>
  <c r="AC44" i="16"/>
  <c r="AC48" i="16"/>
  <c r="AC61" i="16"/>
  <c r="AC46" i="16"/>
  <c r="AC20" i="16"/>
  <c r="AC37" i="16"/>
  <c r="AC49" i="16"/>
  <c r="AC64" i="16"/>
  <c r="AC30" i="16"/>
  <c r="AC5" i="16"/>
  <c r="AC35" i="16"/>
  <c r="AC25" i="16"/>
  <c r="AC43" i="16"/>
  <c r="AC36" i="16"/>
  <c r="AC6" i="16"/>
  <c r="AC59" i="16"/>
  <c r="AC9" i="16"/>
  <c r="AC8" i="16"/>
  <c r="AC21" i="16"/>
  <c r="AC26" i="16"/>
  <c r="AC54" i="16"/>
  <c r="AC47" i="16"/>
  <c r="AC55" i="16"/>
  <c r="AC45" i="16"/>
  <c r="AC13" i="16"/>
  <c r="AC57" i="16"/>
  <c r="AC22" i="16"/>
  <c r="AC27" i="16"/>
  <c r="AC40" i="16"/>
  <c r="AC11" i="16"/>
  <c r="AC41" i="16"/>
  <c r="AC7" i="16"/>
  <c r="AC38" i="16"/>
  <c r="AC34" i="16"/>
  <c r="AC23" i="16"/>
  <c r="AC28" i="16"/>
  <c r="AC2" i="16"/>
  <c r="AC14" i="16"/>
  <c r="AC3" i="16"/>
  <c r="AC56" i="16"/>
  <c r="AC63" i="16"/>
  <c r="AC12" i="16"/>
  <c r="AC24" i="16"/>
  <c r="AC29" i="16"/>
  <c r="AC16" i="16"/>
  <c r="AC52" i="16"/>
  <c r="AC42" i="16"/>
  <c r="AC17" i="16"/>
  <c r="AC62" i="16"/>
  <c r="AC4" i="16"/>
  <c r="AC18" i="16"/>
  <c r="AJ11" i="16"/>
  <c r="AF12" i="14"/>
  <c r="AJ12" i="15"/>
  <c r="AF22" i="14"/>
  <c r="AL22" i="17"/>
  <c r="AJ22" i="17"/>
  <c r="S10" i="14"/>
  <c r="S15" i="14"/>
  <c r="S20" i="14"/>
  <c r="S25" i="14"/>
  <c r="S30" i="14"/>
  <c r="S26" i="14"/>
  <c r="S41" i="14"/>
  <c r="S17" i="14"/>
  <c r="S32" i="14"/>
  <c r="S37" i="14"/>
  <c r="S8" i="14"/>
  <c r="S13" i="14"/>
  <c r="S18" i="14"/>
  <c r="S23" i="14"/>
  <c r="S28" i="14"/>
  <c r="S33" i="14"/>
  <c r="S38" i="14"/>
  <c r="S9" i="14"/>
  <c r="S24" i="14"/>
  <c r="S39" i="14"/>
  <c r="S35" i="14"/>
  <c r="S40" i="14"/>
  <c r="S6" i="14"/>
  <c r="S11" i="14"/>
  <c r="S16" i="14"/>
  <c r="S21" i="14"/>
  <c r="S31" i="14"/>
  <c r="S36" i="14"/>
  <c r="S7" i="14"/>
  <c r="S12" i="14"/>
  <c r="S22" i="14"/>
  <c r="S27" i="14"/>
  <c r="S3" i="14"/>
  <c r="S4" i="14"/>
  <c r="S14" i="14"/>
  <c r="S19" i="14"/>
  <c r="S29" i="14"/>
  <c r="S34" i="14"/>
  <c r="S5" i="14"/>
  <c r="M23" i="15"/>
  <c r="M22" i="15"/>
  <c r="I28" i="15"/>
  <c r="H28" i="15"/>
  <c r="W9" i="14"/>
  <c r="V31" i="14"/>
  <c r="V33" i="14"/>
  <c r="X36" i="14"/>
  <c r="W23" i="14"/>
  <c r="W21" i="14"/>
  <c r="W13" i="14"/>
  <c r="X34" i="14"/>
  <c r="T35" i="14"/>
  <c r="V32" i="14"/>
  <c r="C29" i="15"/>
  <c r="X8" i="14"/>
  <c r="U11" i="14"/>
  <c r="X38" i="14"/>
  <c r="W7" i="14"/>
  <c r="X28" i="14"/>
  <c r="T4" i="14"/>
  <c r="X26" i="14"/>
  <c r="X33" i="14"/>
  <c r="X17" i="14"/>
  <c r="T9" i="14"/>
  <c r="W6" i="14"/>
  <c r="U3" i="14"/>
  <c r="AH23" i="17"/>
  <c r="W35" i="14"/>
  <c r="U13" i="14"/>
  <c r="AH23" i="16"/>
  <c r="T26" i="14"/>
  <c r="V12" i="14"/>
  <c r="V41" i="14"/>
  <c r="W11" i="14"/>
  <c r="V39" i="14"/>
  <c r="X18" i="14"/>
  <c r="V18" i="14"/>
  <c r="T40" i="14"/>
  <c r="T10" i="14"/>
  <c r="T37" i="14"/>
  <c r="T22" i="15"/>
  <c r="V27" i="14"/>
  <c r="X11" i="14"/>
  <c r="V6" i="14"/>
  <c r="V4" i="14"/>
  <c r="AH14" i="15"/>
  <c r="W14" i="14"/>
  <c r="U9" i="14"/>
  <c r="U41" i="14"/>
  <c r="V24" i="14"/>
  <c r="AD23" i="14"/>
  <c r="T16" i="14"/>
  <c r="V37" i="14"/>
  <c r="W17" i="14"/>
  <c r="V5" i="14"/>
  <c r="U8" i="14"/>
  <c r="X32" i="14"/>
  <c r="X30" i="14"/>
  <c r="X12" i="14"/>
  <c r="W8" i="14"/>
  <c r="AF14" i="16"/>
  <c r="U40" i="14"/>
  <c r="W26" i="14"/>
  <c r="W36" i="14"/>
  <c r="V16" i="14"/>
  <c r="X27" i="14"/>
  <c r="W10" i="14"/>
  <c r="T5" i="14"/>
  <c r="V36" i="14"/>
  <c r="W16" i="14"/>
  <c r="W20" i="14"/>
  <c r="W38" i="14"/>
  <c r="W32" i="14"/>
  <c r="X20" i="14"/>
  <c r="U31" i="14"/>
  <c r="W12" i="14"/>
  <c r="V13" i="14"/>
  <c r="T28" i="14"/>
  <c r="T18" i="14"/>
  <c r="X23" i="14"/>
  <c r="U29" i="14"/>
  <c r="V14" i="14"/>
  <c r="J28" i="15"/>
  <c r="T6" i="14"/>
  <c r="X24" i="14"/>
  <c r="V35" i="14"/>
  <c r="AH23" i="15"/>
  <c r="U18" i="14"/>
  <c r="U26" i="14"/>
  <c r="T24" i="14"/>
  <c r="V28" i="14"/>
  <c r="W34" i="14"/>
  <c r="T29" i="14"/>
  <c r="T30" i="14"/>
  <c r="O22" i="15"/>
  <c r="W40" i="14"/>
  <c r="V30" i="14"/>
  <c r="N23" i="15"/>
  <c r="U17" i="14"/>
  <c r="W41" i="14"/>
  <c r="U37" i="14"/>
  <c r="X31" i="14"/>
  <c r="W33" i="14"/>
  <c r="W27" i="14"/>
  <c r="X39" i="14"/>
  <c r="V21" i="14"/>
  <c r="W28" i="14"/>
  <c r="U36" i="14"/>
  <c r="X16" i="14"/>
  <c r="V15" i="14"/>
  <c r="U4" i="14"/>
  <c r="T15" i="14"/>
  <c r="U33" i="14"/>
  <c r="U10" i="14"/>
  <c r="U5" i="14"/>
  <c r="X3" i="14"/>
  <c r="U19" i="14"/>
  <c r="U39" i="14"/>
  <c r="T41" i="14"/>
  <c r="X21" i="14"/>
  <c r="T27" i="14"/>
  <c r="U21" i="14"/>
  <c r="AF15" i="15"/>
  <c r="AH15" i="15" s="1"/>
  <c r="U27" i="14"/>
  <c r="U38" i="14"/>
  <c r="V3" i="14"/>
  <c r="U35" i="14"/>
  <c r="W24" i="14"/>
  <c r="V11" i="14"/>
  <c r="V19" i="14"/>
  <c r="X14" i="14"/>
  <c r="T23" i="14"/>
  <c r="V9" i="14"/>
  <c r="T8" i="14"/>
  <c r="T11" i="14"/>
  <c r="W18" i="14"/>
  <c r="X29" i="14"/>
  <c r="W15" i="14"/>
  <c r="V17" i="14"/>
  <c r="W19" i="14"/>
  <c r="V25" i="14"/>
  <c r="X22" i="14"/>
  <c r="T17" i="14"/>
  <c r="T20" i="14"/>
  <c r="V10" i="14"/>
  <c r="X25" i="14"/>
  <c r="V22" i="14"/>
  <c r="V23" i="14"/>
  <c r="X4" i="14"/>
  <c r="V20" i="14"/>
  <c r="X5" i="14"/>
  <c r="T12" i="14"/>
  <c r="T34" i="14"/>
  <c r="W30" i="14"/>
  <c r="U6" i="14"/>
  <c r="U22" i="14"/>
  <c r="X19" i="14"/>
  <c r="U20" i="14"/>
  <c r="X35" i="14"/>
  <c r="W22" i="14"/>
  <c r="W37" i="14"/>
  <c r="U34" i="14"/>
  <c r="W4" i="14"/>
  <c r="T13" i="14"/>
  <c r="V34" i="14"/>
  <c r="N22" i="15"/>
  <c r="X6" i="14"/>
  <c r="U15" i="14"/>
  <c r="T31" i="14"/>
  <c r="T21" i="14"/>
  <c r="AH13" i="15"/>
  <c r="U16" i="14"/>
  <c r="AF16" i="15"/>
  <c r="AH16" i="15" s="1"/>
  <c r="W39" i="14"/>
  <c r="V40" i="14"/>
  <c r="U32" i="14"/>
  <c r="W3" i="14"/>
  <c r="T23" i="15"/>
  <c r="U12" i="14"/>
  <c r="X15" i="14"/>
  <c r="T39" i="14"/>
  <c r="T14" i="14"/>
  <c r="T3" i="14"/>
  <c r="V26" i="14"/>
  <c r="W31" i="14"/>
  <c r="X7" i="14"/>
  <c r="T32" i="14"/>
  <c r="X10" i="14"/>
  <c r="U14" i="14"/>
  <c r="V8" i="14"/>
  <c r="T25" i="14"/>
  <c r="W25" i="14"/>
  <c r="T33" i="14"/>
  <c r="X40" i="14"/>
  <c r="U28" i="14"/>
  <c r="W29" i="14"/>
  <c r="W5" i="14"/>
  <c r="U30" i="14"/>
  <c r="V7" i="14"/>
  <c r="U24" i="14"/>
  <c r="T36" i="14"/>
  <c r="U25" i="14"/>
  <c r="V38" i="14"/>
  <c r="T7" i="14"/>
  <c r="T19" i="14"/>
  <c r="X9" i="14"/>
  <c r="S22" i="15"/>
  <c r="O23" i="15"/>
  <c r="X13" i="14"/>
  <c r="T22" i="14"/>
  <c r="T38" i="14"/>
  <c r="S23" i="15"/>
  <c r="X41" i="14"/>
  <c r="X37" i="14"/>
  <c r="U23" i="14"/>
  <c r="V29" i="14"/>
  <c r="U7" i="14"/>
  <c r="AF15" i="16"/>
  <c r="AH14" i="16"/>
  <c r="AF16" i="16"/>
  <c r="AH15" i="16"/>
  <c r="AF17" i="16"/>
  <c r="AH16" i="16"/>
  <c r="AH17" i="16"/>
  <c r="AF18" i="16"/>
  <c r="AH18" i="16"/>
  <c r="AF19" i="16"/>
  <c r="AH19" i="16"/>
  <c r="AF20" i="16"/>
  <c r="AH20" i="16"/>
  <c r="AF21" i="16"/>
  <c r="AF22" i="16"/>
  <c r="AH22" i="16" s="1"/>
  <c r="AH21" i="16"/>
  <c r="AJ21" i="16" l="1"/>
  <c r="AJ22" i="16"/>
  <c r="AJ20" i="16"/>
  <c r="AJ19" i="16"/>
  <c r="AJ18" i="16"/>
  <c r="AJ17" i="16"/>
  <c r="AJ16" i="16"/>
  <c r="AJ15" i="16"/>
  <c r="AJ14" i="16"/>
  <c r="AJ13" i="15"/>
  <c r="AJ14" i="15"/>
  <c r="AJ15" i="15"/>
  <c r="AJ23" i="16"/>
  <c r="AL23" i="17"/>
  <c r="AJ23" i="17"/>
  <c r="AF23" i="14"/>
  <c r="AJ16" i="15"/>
  <c r="AJ23" i="15"/>
  <c r="R27" i="14"/>
  <c r="R33" i="14"/>
  <c r="R5" i="14"/>
  <c r="R22" i="14"/>
  <c r="R6" i="14"/>
  <c r="R28" i="14"/>
  <c r="R41" i="14"/>
  <c r="R12" i="14"/>
  <c r="I29" i="15"/>
  <c r="H29" i="15"/>
  <c r="R19" i="14"/>
  <c r="R36" i="14"/>
  <c r="R39" i="14"/>
  <c r="R13" i="14"/>
  <c r="R25" i="14"/>
  <c r="R14" i="14"/>
  <c r="R31" i="14"/>
  <c r="R24" i="14"/>
  <c r="R8" i="14"/>
  <c r="R20" i="14"/>
  <c r="R11" i="14"/>
  <c r="R17" i="14"/>
  <c r="R29" i="14"/>
  <c r="R7" i="14"/>
  <c r="R35" i="14"/>
  <c r="R18" i="14"/>
  <c r="R30" i="14"/>
  <c r="R4" i="14"/>
  <c r="R21" i="14"/>
  <c r="R9" i="14"/>
  <c r="R37" i="14"/>
  <c r="R15" i="14"/>
  <c r="M24" i="15"/>
  <c r="R34" i="14"/>
  <c r="R40" i="14"/>
  <c r="R23" i="14"/>
  <c r="R26" i="14"/>
  <c r="R3" i="14"/>
  <c r="R16" i="14"/>
  <c r="R38" i="14"/>
  <c r="R32" i="14"/>
  <c r="R10" i="14"/>
  <c r="O24" i="15"/>
  <c r="T24" i="15"/>
  <c r="C30" i="15"/>
  <c r="AF17" i="15"/>
  <c r="AH17" i="15" s="1"/>
  <c r="S24" i="15"/>
  <c r="J29" i="15"/>
  <c r="N24" i="15"/>
  <c r="AJ17" i="15" l="1"/>
  <c r="M25" i="15"/>
  <c r="I30" i="15"/>
  <c r="H30" i="15"/>
  <c r="S25" i="15"/>
  <c r="C31" i="15"/>
  <c r="J30" i="15"/>
  <c r="AF18" i="15"/>
  <c r="AF19" i="15" s="1"/>
  <c r="AH19" i="15"/>
  <c r="N25" i="15"/>
  <c r="O25" i="15"/>
  <c r="T25" i="15"/>
  <c r="AJ19" i="15" l="1"/>
  <c r="H31" i="15"/>
  <c r="I31" i="15"/>
  <c r="M26" i="15"/>
  <c r="C32" i="15"/>
  <c r="J31" i="15"/>
  <c r="AF20" i="15"/>
  <c r="T26" i="15"/>
  <c r="AH18" i="15"/>
  <c r="AF21" i="15"/>
  <c r="N26" i="15"/>
  <c r="AF22" i="15"/>
  <c r="O26" i="15"/>
  <c r="S26" i="15"/>
  <c r="I32" i="15" l="1"/>
  <c r="H32" i="15"/>
  <c r="AJ18" i="15"/>
  <c r="M27" i="15"/>
  <c r="AH22" i="15"/>
  <c r="C33" i="15"/>
  <c r="N27" i="15"/>
  <c r="AH20" i="15"/>
  <c r="J32" i="15"/>
  <c r="O27" i="15"/>
  <c r="AH21" i="15"/>
  <c r="T27" i="15"/>
  <c r="S27" i="15"/>
  <c r="C34" i="15"/>
  <c r="H34" i="15" l="1"/>
  <c r="I34" i="15"/>
  <c r="M28" i="15"/>
  <c r="I33" i="15"/>
  <c r="H33" i="15"/>
  <c r="AJ22" i="15"/>
  <c r="AJ20" i="15"/>
  <c r="AJ21" i="15"/>
  <c r="C35" i="15"/>
  <c r="J34" i="15"/>
  <c r="N28" i="15"/>
  <c r="T28" i="15"/>
  <c r="S28" i="15"/>
  <c r="O28" i="15"/>
  <c r="J33" i="15"/>
  <c r="C36" i="15"/>
  <c r="C37" i="15"/>
  <c r="I36" i="15" l="1"/>
  <c r="H36" i="15"/>
  <c r="M29" i="15"/>
  <c r="M30" i="15"/>
  <c r="I35" i="15"/>
  <c r="H35" i="15"/>
  <c r="H37" i="15"/>
  <c r="I37" i="15"/>
  <c r="J36" i="15"/>
  <c r="C38" i="15"/>
  <c r="N29" i="15"/>
  <c r="O29" i="15"/>
  <c r="S29" i="15"/>
  <c r="T29" i="15"/>
  <c r="J37" i="15"/>
  <c r="T30" i="15"/>
  <c r="N30" i="15"/>
  <c r="S30" i="15"/>
  <c r="O30" i="15"/>
  <c r="J35" i="15"/>
  <c r="C39" i="15"/>
  <c r="M31" i="15" l="1"/>
  <c r="M32" i="15"/>
  <c r="H39" i="15"/>
  <c r="I39" i="15"/>
  <c r="M33" i="15"/>
  <c r="I38" i="15"/>
  <c r="H38" i="15"/>
  <c r="T31" i="15"/>
  <c r="S31" i="15"/>
  <c r="N31" i="15"/>
  <c r="O31" i="15"/>
  <c r="J39" i="15"/>
  <c r="N32" i="15"/>
  <c r="T32" i="15"/>
  <c r="S32" i="15"/>
  <c r="O32" i="15"/>
  <c r="O33" i="15"/>
  <c r="N33" i="15"/>
  <c r="T33" i="15"/>
  <c r="S33" i="15"/>
  <c r="J38" i="15"/>
  <c r="C40" i="15"/>
  <c r="C41" i="15" s="1"/>
  <c r="C42" i="15"/>
  <c r="C43" i="15" s="1"/>
  <c r="H42" i="15" l="1"/>
  <c r="I42" i="15"/>
  <c r="I41" i="15"/>
  <c r="H41" i="15"/>
  <c r="M34" i="15"/>
  <c r="M35" i="15"/>
  <c r="H40" i="15"/>
  <c r="I40" i="15"/>
  <c r="H43" i="15"/>
  <c r="I43" i="15"/>
  <c r="J40" i="15"/>
  <c r="J42" i="15"/>
  <c r="C44" i="15"/>
  <c r="J41" i="15"/>
  <c r="S35" i="15"/>
  <c r="O34" i="15"/>
  <c r="T35" i="15"/>
  <c r="S34" i="15"/>
  <c r="O35" i="15"/>
  <c r="N34" i="15"/>
  <c r="N35" i="15"/>
  <c r="T34" i="15"/>
  <c r="J43" i="15"/>
  <c r="M36" i="15" l="1"/>
  <c r="M37" i="15"/>
  <c r="M38" i="15"/>
  <c r="M39" i="15"/>
  <c r="H44" i="15"/>
  <c r="I44" i="15"/>
  <c r="N36" i="15"/>
  <c r="S38" i="15"/>
  <c r="T36" i="15"/>
  <c r="O38" i="15"/>
  <c r="N39" i="15"/>
  <c r="T38" i="15"/>
  <c r="N37" i="15"/>
  <c r="N38" i="15"/>
  <c r="O37" i="15"/>
  <c r="O39" i="15"/>
  <c r="T37" i="15"/>
  <c r="T39" i="15"/>
  <c r="O36" i="15"/>
  <c r="S37" i="15"/>
  <c r="C45" i="15"/>
  <c r="S36" i="15"/>
  <c r="S39" i="15"/>
  <c r="J44" i="15"/>
  <c r="M40" i="15" l="1"/>
  <c r="H45" i="15"/>
  <c r="I45" i="15"/>
  <c r="O40" i="15"/>
  <c r="S40" i="15"/>
  <c r="C46" i="15"/>
  <c r="J45" i="15"/>
  <c r="T40" i="15"/>
  <c r="N40" i="15"/>
  <c r="M41" i="15" l="1"/>
  <c r="I46" i="15"/>
  <c r="H46" i="15"/>
  <c r="T41" i="15"/>
  <c r="S41" i="15"/>
  <c r="C47" i="15"/>
  <c r="J46" i="15"/>
  <c r="O41" i="15"/>
  <c r="N41" i="15"/>
  <c r="M42" i="15" l="1"/>
  <c r="I47" i="15"/>
  <c r="H47" i="15"/>
  <c r="O42" i="15"/>
  <c r="S42" i="15"/>
  <c r="T42" i="15"/>
  <c r="N42" i="15"/>
  <c r="J47" i="15"/>
  <c r="M43" i="15" l="1"/>
  <c r="W3" i="15" a="1"/>
  <c r="O43" i="15"/>
  <c r="T43" i="15"/>
  <c r="S43" i="15"/>
  <c r="N43" i="15"/>
  <c r="W34" i="15" l="1"/>
  <c r="W30" i="15"/>
  <c r="W42" i="15"/>
  <c r="W38" i="15"/>
  <c r="W50" i="15"/>
  <c r="W84" i="15"/>
  <c r="W66" i="15"/>
  <c r="W41" i="15"/>
  <c r="W22" i="15"/>
  <c r="W20" i="15"/>
  <c r="W96" i="15"/>
  <c r="W9" i="15"/>
  <c r="W13" i="15"/>
  <c r="W18" i="15"/>
  <c r="W104" i="15"/>
  <c r="W45" i="15"/>
  <c r="W99" i="15"/>
  <c r="W63" i="15"/>
  <c r="W86" i="15"/>
  <c r="W74" i="15"/>
  <c r="W46" i="15"/>
  <c r="W119" i="15"/>
  <c r="W68" i="15"/>
  <c r="W39" i="15"/>
  <c r="W87" i="15"/>
  <c r="W105" i="15"/>
  <c r="W57" i="15"/>
  <c r="W51" i="15"/>
  <c r="W126" i="15"/>
  <c r="W21" i="15"/>
  <c r="W127" i="15"/>
  <c r="W98" i="15"/>
  <c r="W94" i="15"/>
  <c r="W106" i="15"/>
  <c r="W102" i="15"/>
  <c r="W114" i="15"/>
  <c r="W53" i="15"/>
  <c r="W19" i="15"/>
  <c r="W48" i="15"/>
  <c r="W118" i="15"/>
  <c r="W124" i="15"/>
  <c r="W90" i="15"/>
  <c r="W17" i="15"/>
  <c r="W109" i="15"/>
  <c r="W130" i="15"/>
  <c r="W65" i="15"/>
  <c r="W125" i="15"/>
  <c r="W91" i="15"/>
  <c r="W107" i="15"/>
  <c r="W108" i="15"/>
  <c r="W64" i="15"/>
  <c r="W52" i="15"/>
  <c r="W15" i="15"/>
  <c r="W97" i="15"/>
  <c r="W28" i="15"/>
  <c r="W44" i="15"/>
  <c r="W61" i="15"/>
  <c r="W71" i="15"/>
  <c r="W5" i="15"/>
  <c r="W10" i="15"/>
  <c r="W81" i="15"/>
  <c r="W26" i="15"/>
  <c r="W27" i="15"/>
  <c r="W31" i="15"/>
  <c r="W35" i="15"/>
  <c r="W8" i="15"/>
  <c r="W43" i="15"/>
  <c r="W6" i="15"/>
  <c r="W4" i="15"/>
  <c r="W55" i="15"/>
  <c r="W103" i="15"/>
  <c r="W77" i="15"/>
  <c r="W67" i="15"/>
  <c r="W112" i="15"/>
  <c r="W62" i="15"/>
  <c r="W83" i="15"/>
  <c r="W49" i="15"/>
  <c r="W78" i="15"/>
  <c r="W40" i="15"/>
  <c r="W36" i="15"/>
  <c r="W93" i="15"/>
  <c r="W33" i="15"/>
  <c r="W101" i="15"/>
  <c r="W56" i="15"/>
  <c r="W123" i="15"/>
  <c r="W32" i="15"/>
  <c r="W80" i="15"/>
  <c r="W69" i="15"/>
  <c r="W59" i="15"/>
  <c r="W89" i="15"/>
  <c r="W7" i="15"/>
  <c r="W60" i="15"/>
  <c r="W79" i="15"/>
  <c r="W23" i="15"/>
  <c r="W76" i="15"/>
  <c r="W120" i="15"/>
  <c r="W92" i="15"/>
  <c r="W58" i="15"/>
  <c r="W73" i="15"/>
  <c r="W47" i="15"/>
  <c r="W29" i="15"/>
  <c r="W11" i="15"/>
  <c r="W82" i="15"/>
  <c r="W25" i="15"/>
  <c r="W100" i="15"/>
  <c r="W3" i="15"/>
  <c r="W37" i="15"/>
  <c r="W54" i="15"/>
  <c r="W115" i="15"/>
  <c r="W24" i="15"/>
  <c r="W122" i="15"/>
  <c r="W88" i="15"/>
  <c r="W116" i="15"/>
  <c r="W95" i="15"/>
  <c r="W129" i="15"/>
  <c r="W16" i="15"/>
  <c r="W121" i="15"/>
  <c r="W117" i="15"/>
  <c r="W72" i="15"/>
  <c r="W111" i="15"/>
  <c r="W128" i="15"/>
  <c r="W70" i="15"/>
  <c r="W14" i="15"/>
  <c r="W85" i="15"/>
  <c r="W110" i="15"/>
  <c r="W12" i="15"/>
  <c r="W113" i="15"/>
  <c r="W75" i="15"/>
  <c r="C23" i="1" l="1"/>
  <c r="Y99" i="15"/>
  <c r="X7" i="15"/>
  <c r="Y33" i="15"/>
  <c r="Y104" i="15"/>
  <c r="AA85" i="15"/>
  <c r="AA77" i="15"/>
  <c r="X118" i="15"/>
  <c r="Y85" i="15"/>
  <c r="X19" i="15"/>
  <c r="AA107" i="15"/>
  <c r="AB70" i="15"/>
  <c r="Z53" i="15"/>
  <c r="AA90" i="15"/>
  <c r="AB123" i="15"/>
  <c r="Y29" i="15"/>
  <c r="X28" i="15"/>
  <c r="X129" i="15"/>
  <c r="Y76" i="15"/>
  <c r="Z21" i="15"/>
  <c r="Y36" i="15"/>
  <c r="Y118" i="15"/>
  <c r="AA48" i="15"/>
  <c r="X70" i="15"/>
  <c r="AB11" i="15"/>
  <c r="AA69" i="15"/>
  <c r="Y128" i="15"/>
  <c r="Y126" i="15"/>
  <c r="AB68" i="15"/>
  <c r="Y82" i="15"/>
  <c r="X15" i="15"/>
  <c r="Z105" i="15"/>
  <c r="Z4" i="15"/>
  <c r="AA103" i="15"/>
  <c r="AB90" i="15"/>
  <c r="Z17" i="15"/>
  <c r="Z75" i="15"/>
  <c r="AA36" i="15"/>
  <c r="Y98" i="15"/>
  <c r="Z116" i="15"/>
  <c r="X100" i="15"/>
  <c r="AA71" i="15"/>
  <c r="X105" i="15"/>
  <c r="Z15" i="15"/>
  <c r="AA128" i="15"/>
  <c r="Z113" i="15"/>
  <c r="AA102" i="15"/>
  <c r="X64" i="15"/>
  <c r="AB18" i="15"/>
  <c r="X115" i="15"/>
  <c r="Y107" i="15"/>
  <c r="AA17" i="15"/>
  <c r="Y50" i="15"/>
  <c r="Z87" i="15"/>
  <c r="AB50" i="15"/>
  <c r="Z49" i="15"/>
  <c r="X52" i="15"/>
  <c r="X59" i="15"/>
  <c r="AB29" i="15"/>
  <c r="Y69" i="15"/>
  <c r="Y130" i="15"/>
  <c r="AA72" i="15"/>
  <c r="AB55" i="15"/>
  <c r="AB24" i="15"/>
  <c r="Z97" i="15"/>
  <c r="X123" i="15"/>
  <c r="X93" i="15"/>
  <c r="Z123" i="15"/>
  <c r="X27" i="15"/>
  <c r="AA81" i="15"/>
  <c r="Y39" i="15"/>
  <c r="AB121" i="15"/>
  <c r="AB64" i="15"/>
  <c r="X72" i="15"/>
  <c r="Z92" i="15"/>
  <c r="AB98" i="15"/>
  <c r="Z96" i="15"/>
  <c r="AB102" i="15"/>
  <c r="Z98" i="15"/>
  <c r="AA64" i="15"/>
  <c r="X43" i="15"/>
  <c r="Y11" i="15"/>
  <c r="AA116" i="15"/>
  <c r="X90" i="15"/>
  <c r="Y10" i="15"/>
  <c r="Z41" i="15"/>
  <c r="Y116" i="15"/>
  <c r="Z111" i="15"/>
  <c r="AB126" i="15"/>
  <c r="Y95" i="15"/>
  <c r="AA121" i="15"/>
  <c r="Y75" i="15"/>
  <c r="Z95" i="15"/>
  <c r="Y32" i="15"/>
  <c r="AA45" i="15"/>
  <c r="Z72" i="15"/>
  <c r="Z57" i="15"/>
  <c r="X38" i="15"/>
  <c r="Y22" i="15"/>
  <c r="X111" i="15"/>
  <c r="X39" i="15"/>
  <c r="AA78" i="15"/>
  <c r="Y26" i="15"/>
  <c r="Z67" i="15"/>
  <c r="AA70" i="15"/>
  <c r="AB23" i="15"/>
  <c r="AB99" i="15"/>
  <c r="AB7" i="15"/>
  <c r="X74" i="15"/>
  <c r="Y38" i="15"/>
  <c r="X4" i="15"/>
  <c r="Y88" i="15"/>
  <c r="AB74" i="15"/>
  <c r="AB78" i="15"/>
  <c r="AA10" i="15"/>
  <c r="Y23" i="15"/>
  <c r="Z100" i="15"/>
  <c r="Z18" i="15"/>
  <c r="Z32" i="15"/>
  <c r="AA22" i="15"/>
  <c r="AA4" i="15"/>
  <c r="AB129" i="15"/>
  <c r="X113" i="15"/>
  <c r="AB84" i="15"/>
  <c r="Z73" i="15"/>
  <c r="Z94" i="15"/>
  <c r="Z3" i="15"/>
  <c r="AA100" i="15"/>
  <c r="AB79" i="15"/>
  <c r="Z91" i="15"/>
  <c r="Y53" i="15"/>
  <c r="Y21" i="15"/>
  <c r="AA80" i="15"/>
  <c r="AB73" i="15"/>
  <c r="AB117" i="15"/>
  <c r="AB86" i="15"/>
  <c r="Y14" i="15"/>
  <c r="Z51" i="15"/>
  <c r="Y103" i="15"/>
  <c r="AA108" i="15"/>
  <c r="X128" i="15"/>
  <c r="Z124" i="15"/>
  <c r="AB85" i="15"/>
  <c r="AB124" i="15"/>
  <c r="X114" i="15"/>
  <c r="X56" i="15"/>
  <c r="X16" i="15"/>
  <c r="AB38" i="15"/>
  <c r="Z83" i="15"/>
  <c r="X49" i="15"/>
  <c r="X107" i="15"/>
  <c r="AB48" i="15"/>
  <c r="X78" i="15"/>
  <c r="Z68" i="15"/>
  <c r="AA105" i="15"/>
  <c r="Z114" i="15"/>
  <c r="AB83" i="15"/>
  <c r="AB120" i="15"/>
  <c r="AA18" i="15"/>
  <c r="X77" i="15"/>
  <c r="Z24" i="15"/>
  <c r="X119" i="15"/>
  <c r="Z102" i="15"/>
  <c r="AB71" i="15"/>
  <c r="X67" i="15"/>
  <c r="X82" i="15"/>
  <c r="Z70" i="15"/>
  <c r="Z81" i="15"/>
  <c r="X103" i="15"/>
  <c r="X62" i="15"/>
  <c r="X9" i="15"/>
  <c r="AB4" i="15"/>
  <c r="AB127" i="15"/>
  <c r="Y73" i="15"/>
  <c r="AB8" i="15"/>
  <c r="AA5" i="15"/>
  <c r="Y67" i="15"/>
  <c r="X17" i="15"/>
  <c r="AB33" i="15"/>
  <c r="Y59" i="15"/>
  <c r="AB52" i="15"/>
  <c r="AB116" i="15"/>
  <c r="Z106" i="15"/>
  <c r="Z7" i="15"/>
  <c r="AA6" i="15"/>
  <c r="AB26" i="15"/>
  <c r="AB94" i="15"/>
  <c r="X122" i="15"/>
  <c r="Y78" i="15"/>
  <c r="Y80" i="15"/>
  <c r="AB92" i="15"/>
  <c r="Z33" i="15"/>
  <c r="Z6" i="15"/>
  <c r="Y105" i="15"/>
  <c r="X94" i="15"/>
  <c r="Y121" i="15"/>
  <c r="AB22" i="15"/>
  <c r="Z82" i="15"/>
  <c r="Z30" i="15"/>
  <c r="Z103" i="15"/>
  <c r="X54" i="15"/>
  <c r="X92" i="15"/>
  <c r="X6" i="15"/>
  <c r="Z11" i="15"/>
  <c r="X120" i="15"/>
  <c r="AB37" i="15"/>
  <c r="Y81" i="15"/>
  <c r="Z107" i="15"/>
  <c r="AA83" i="15"/>
  <c r="AB53" i="15"/>
  <c r="AB5" i="15"/>
  <c r="AA130" i="15"/>
  <c r="X65" i="15"/>
  <c r="AA97" i="15"/>
  <c r="Y27" i="15"/>
  <c r="AA50" i="15"/>
  <c r="Z23" i="15"/>
  <c r="AA61" i="15"/>
  <c r="Y127" i="15"/>
  <c r="AA120" i="15"/>
  <c r="AB118" i="15"/>
  <c r="AB130" i="15"/>
  <c r="AA20" i="15"/>
  <c r="AA15" i="15"/>
  <c r="AA82" i="15"/>
  <c r="Z34" i="15"/>
  <c r="AB91" i="15"/>
  <c r="AA54" i="15"/>
  <c r="AB128" i="15"/>
  <c r="AB39" i="15"/>
  <c r="AA66" i="15"/>
  <c r="X96" i="15"/>
  <c r="Z14" i="15"/>
  <c r="AA53" i="15"/>
  <c r="AB30" i="15"/>
  <c r="AB100" i="15"/>
  <c r="AA93" i="15"/>
  <c r="AB47" i="15"/>
  <c r="AA31" i="15"/>
  <c r="Z40" i="15"/>
  <c r="X127" i="15"/>
  <c r="AB113" i="15"/>
  <c r="Y8" i="15"/>
  <c r="X88" i="15"/>
  <c r="X8" i="15"/>
  <c r="Y61" i="15"/>
  <c r="AB62" i="15"/>
  <c r="AA125" i="15"/>
  <c r="Y6" i="15"/>
  <c r="Y17" i="15"/>
  <c r="X60" i="15"/>
  <c r="Y49" i="15"/>
  <c r="AA86" i="15"/>
  <c r="Y86" i="15"/>
  <c r="X104" i="15"/>
  <c r="Y102" i="15"/>
  <c r="Z93" i="15"/>
  <c r="AB76" i="15"/>
  <c r="AB104" i="15"/>
  <c r="AA35" i="15"/>
  <c r="Y41" i="15"/>
  <c r="Y120" i="15"/>
  <c r="AA32" i="15"/>
  <c r="Y9" i="15"/>
  <c r="X47" i="15"/>
  <c r="Z58" i="15"/>
  <c r="X101" i="15"/>
  <c r="AB17" i="15"/>
  <c r="Y97" i="15"/>
  <c r="Z44" i="15"/>
  <c r="AA117" i="15"/>
  <c r="Z42" i="15"/>
  <c r="AA65" i="15"/>
  <c r="AA57" i="15"/>
  <c r="AB125" i="15"/>
  <c r="Y110" i="15"/>
  <c r="X50" i="15"/>
  <c r="Z119" i="15"/>
  <c r="Y87" i="15"/>
  <c r="Z128" i="15"/>
  <c r="AA19" i="15"/>
  <c r="X68" i="15"/>
  <c r="Y35" i="15"/>
  <c r="AB110" i="15"/>
  <c r="AA92" i="15"/>
  <c r="X18" i="15"/>
  <c r="AB89" i="15"/>
  <c r="Y65" i="15"/>
  <c r="Y51" i="15"/>
  <c r="Z20" i="15"/>
  <c r="Z99" i="15"/>
  <c r="X5" i="15"/>
  <c r="Z36" i="15"/>
  <c r="Z69" i="15"/>
  <c r="AB36" i="15"/>
  <c r="Z47" i="15"/>
  <c r="Y64" i="15"/>
  <c r="X44" i="15"/>
  <c r="X48" i="15"/>
  <c r="AA56" i="15"/>
  <c r="AB82" i="15"/>
  <c r="Y54" i="15"/>
  <c r="X124" i="15"/>
  <c r="AA38" i="15"/>
  <c r="AB59" i="15"/>
  <c r="Z9" i="15"/>
  <c r="Z120" i="15"/>
  <c r="AB69" i="15"/>
  <c r="AA127" i="15"/>
  <c r="Z5" i="15"/>
  <c r="X95" i="15"/>
  <c r="Z109" i="15"/>
  <c r="AB107" i="15"/>
  <c r="Y62" i="15"/>
  <c r="X21" i="15"/>
  <c r="AA68" i="15"/>
  <c r="X97" i="15"/>
  <c r="Y106" i="15"/>
  <c r="AB35" i="15"/>
  <c r="Z16" i="15"/>
  <c r="AB42" i="15"/>
  <c r="AB72" i="15"/>
  <c r="Y72" i="15"/>
  <c r="Z104" i="15"/>
  <c r="AA88" i="15"/>
  <c r="Y96" i="15"/>
  <c r="AB114" i="15"/>
  <c r="AB49" i="15"/>
  <c r="Z35" i="15"/>
  <c r="Z48" i="15"/>
  <c r="X84" i="15"/>
  <c r="Y89" i="15"/>
  <c r="Z12" i="15"/>
  <c r="AB34" i="15"/>
  <c r="Y90" i="15"/>
  <c r="Z22" i="15"/>
  <c r="AA113" i="15"/>
  <c r="AA91" i="15"/>
  <c r="Z43" i="15"/>
  <c r="X32" i="15"/>
  <c r="X33" i="15"/>
  <c r="X46" i="15"/>
  <c r="Z115" i="15"/>
  <c r="Y117" i="15"/>
  <c r="Z62" i="15"/>
  <c r="AB112" i="15"/>
  <c r="Y55" i="15"/>
  <c r="AA62" i="15"/>
  <c r="Z27" i="15"/>
  <c r="X66" i="15"/>
  <c r="Y43" i="15"/>
  <c r="Y83" i="15"/>
  <c r="Y58" i="15"/>
  <c r="Y68" i="15"/>
  <c r="X86" i="15"/>
  <c r="AB119" i="15"/>
  <c r="AA51" i="15"/>
  <c r="Y60" i="15"/>
  <c r="AA60" i="15"/>
  <c r="Z8" i="15"/>
  <c r="AB111" i="15"/>
  <c r="AB61" i="15"/>
  <c r="Y45" i="15"/>
  <c r="AB108" i="15"/>
  <c r="AB87" i="15"/>
  <c r="Z85" i="15"/>
  <c r="X37" i="15"/>
  <c r="X116" i="15"/>
  <c r="AA115" i="15"/>
  <c r="X112" i="15"/>
  <c r="AA76" i="15"/>
  <c r="AB27" i="15"/>
  <c r="AB44" i="15"/>
  <c r="Z77" i="15"/>
  <c r="X53" i="15"/>
  <c r="Z76" i="15"/>
  <c r="AB81" i="15"/>
  <c r="Y12" i="15"/>
  <c r="AA123" i="15"/>
  <c r="Z31" i="15"/>
  <c r="Z55" i="15"/>
  <c r="AB31" i="15"/>
  <c r="Y84" i="15"/>
  <c r="AB54" i="15"/>
  <c r="AA30" i="15"/>
  <c r="Y71" i="15"/>
  <c r="X81" i="15"/>
  <c r="AA24" i="15"/>
  <c r="Z108" i="15"/>
  <c r="Z64" i="15"/>
  <c r="X63" i="15"/>
  <c r="AA37" i="15"/>
  <c r="AA41" i="15"/>
  <c r="AA46" i="15"/>
  <c r="AB67" i="15"/>
  <c r="Z26" i="15"/>
  <c r="AB12" i="15"/>
  <c r="AA75" i="15"/>
  <c r="Y109" i="15"/>
  <c r="AA94" i="15"/>
  <c r="AB3" i="15"/>
  <c r="AB75" i="15"/>
  <c r="Y46" i="15"/>
  <c r="AB63" i="15"/>
  <c r="AB21" i="15"/>
  <c r="X75" i="15"/>
  <c r="Z29" i="15"/>
  <c r="AB101" i="15"/>
  <c r="I13" i="1"/>
  <c r="AA118" i="15"/>
  <c r="AA23" i="15"/>
  <c r="AA33" i="15"/>
  <c r="AA42" i="15"/>
  <c r="Y77" i="15"/>
  <c r="AB14" i="15"/>
  <c r="Z59" i="15"/>
  <c r="Z63" i="15"/>
  <c r="AA27" i="15"/>
  <c r="X36" i="15"/>
  <c r="Y100" i="15"/>
  <c r="AA55" i="15"/>
  <c r="AB109" i="15"/>
  <c r="Y4" i="15"/>
  <c r="AB51" i="15"/>
  <c r="Y3" i="15"/>
  <c r="AA112" i="15"/>
  <c r="AA39" i="15"/>
  <c r="Z28" i="15"/>
  <c r="Y28" i="15"/>
  <c r="AB103" i="15"/>
  <c r="Z46" i="15"/>
  <c r="Y34" i="15"/>
  <c r="AA44" i="15"/>
  <c r="Z89" i="15"/>
  <c r="Y19" i="15"/>
  <c r="X106" i="15"/>
  <c r="Z10" i="15"/>
  <c r="Z45" i="15"/>
  <c r="X13" i="15"/>
  <c r="AB45" i="15"/>
  <c r="Y124" i="15"/>
  <c r="AB25" i="15"/>
  <c r="X35" i="15"/>
  <c r="Y113" i="15"/>
  <c r="AA124" i="15"/>
  <c r="Z117" i="15"/>
  <c r="X34" i="15"/>
  <c r="AA21" i="15"/>
  <c r="Y66" i="15"/>
  <c r="X3" i="15"/>
  <c r="AA122" i="15"/>
  <c r="Y52" i="15"/>
  <c r="X89" i="15"/>
  <c r="AA73" i="15"/>
  <c r="X41" i="15"/>
  <c r="AB46" i="15"/>
  <c r="Z125" i="15"/>
  <c r="Z130" i="15"/>
  <c r="AA106" i="15"/>
  <c r="X130" i="15"/>
  <c r="Z118" i="15"/>
  <c r="Z74" i="15"/>
  <c r="Y30" i="15"/>
  <c r="X22" i="15"/>
  <c r="AA25" i="15"/>
  <c r="Y122" i="15"/>
  <c r="Z37" i="15"/>
  <c r="X87" i="15"/>
  <c r="I14" i="1"/>
  <c r="AB115" i="15"/>
  <c r="Y5" i="15"/>
  <c r="AA49" i="15"/>
  <c r="AB28" i="15"/>
  <c r="Z126" i="15"/>
  <c r="AB58" i="15"/>
  <c r="Z61" i="15"/>
  <c r="Z79" i="15"/>
  <c r="AB15" i="15"/>
  <c r="AA111" i="15"/>
  <c r="X125" i="15"/>
  <c r="Y42" i="15"/>
  <c r="X30" i="15"/>
  <c r="Z71" i="15"/>
  <c r="Y70" i="15"/>
  <c r="AA89" i="15"/>
  <c r="AA47" i="15"/>
  <c r="Z112" i="15"/>
  <c r="Y79" i="15"/>
  <c r="Z129" i="15"/>
  <c r="X83" i="15"/>
  <c r="AB122" i="15"/>
  <c r="X117" i="15"/>
  <c r="AB57" i="15"/>
  <c r="X71" i="15"/>
  <c r="X98" i="15"/>
  <c r="AA110" i="15"/>
  <c r="X11" i="15"/>
  <c r="Z65" i="15"/>
  <c r="AA58" i="15"/>
  <c r="Z86" i="15"/>
  <c r="Y7" i="15"/>
  <c r="AA104" i="15"/>
  <c r="X55" i="15"/>
  <c r="AA129" i="15"/>
  <c r="Z39" i="15"/>
  <c r="X31" i="15"/>
  <c r="Y25" i="15"/>
  <c r="Y47" i="15"/>
  <c r="Y57" i="15"/>
  <c r="Y40" i="15"/>
  <c r="AB97" i="15"/>
  <c r="X61" i="15"/>
  <c r="AB43" i="15"/>
  <c r="AA11" i="15"/>
  <c r="X99" i="15"/>
  <c r="X85" i="15"/>
  <c r="X108" i="15"/>
  <c r="AB65" i="15"/>
  <c r="Y31" i="15"/>
  <c r="AA98" i="15"/>
  <c r="X73" i="15"/>
  <c r="Z25" i="15"/>
  <c r="Z66" i="15"/>
  <c r="AA29" i="15"/>
  <c r="AB40" i="15"/>
  <c r="AB9" i="15"/>
  <c r="Y114" i="15"/>
  <c r="Y56" i="15"/>
  <c r="AA59" i="15"/>
  <c r="Z38" i="15"/>
  <c r="Y123" i="15"/>
  <c r="X57" i="15"/>
  <c r="Z80" i="15"/>
  <c r="X40" i="15"/>
  <c r="X25" i="15"/>
  <c r="Z52" i="15"/>
  <c r="AA13" i="15"/>
  <c r="Y125" i="15"/>
  <c r="X58" i="15"/>
  <c r="Y115" i="15"/>
  <c r="X14" i="15"/>
  <c r="AA87" i="15"/>
  <c r="Y92" i="15"/>
  <c r="AB106" i="15"/>
  <c r="X51" i="15"/>
  <c r="AB6" i="15"/>
  <c r="X69" i="15"/>
  <c r="Y91" i="15"/>
  <c r="AB93" i="15"/>
  <c r="Y129" i="15"/>
  <c r="Z60" i="15"/>
  <c r="AB19" i="15"/>
  <c r="Y93" i="15"/>
  <c r="X12" i="15"/>
  <c r="AA126" i="15"/>
  <c r="AA12" i="15"/>
  <c r="AC2" i="15" a="1"/>
  <c r="AB105" i="15"/>
  <c r="AB95" i="15"/>
  <c r="Z110" i="15"/>
  <c r="Z84" i="15"/>
  <c r="AB56" i="15"/>
  <c r="AA28" i="15"/>
  <c r="AA7" i="15"/>
  <c r="Z50" i="15"/>
  <c r="Y16" i="15"/>
  <c r="Z78" i="15"/>
  <c r="AB16" i="15"/>
  <c r="Y111" i="15"/>
  <c r="AA3" i="15"/>
  <c r="Z54" i="15"/>
  <c r="AB10" i="15"/>
  <c r="AA74" i="15"/>
  <c r="AB60" i="15"/>
  <c r="Z19" i="15"/>
  <c r="X126" i="15"/>
  <c r="AA63" i="15"/>
  <c r="X20" i="15"/>
  <c r="X26" i="15"/>
  <c r="AA14" i="15"/>
  <c r="AA40" i="15"/>
  <c r="Z127" i="15"/>
  <c r="AB13" i="15"/>
  <c r="AA9" i="15"/>
  <c r="X110" i="15"/>
  <c r="D13" i="1"/>
  <c r="AA43" i="15"/>
  <c r="X109" i="15"/>
  <c r="Y101" i="15"/>
  <c r="AA52" i="15"/>
  <c r="AA67" i="15"/>
  <c r="X24" i="15"/>
  <c r="X45" i="15"/>
  <c r="Y37" i="15"/>
  <c r="X121" i="15"/>
  <c r="AB88" i="15"/>
  <c r="AA114" i="15"/>
  <c r="Y18" i="15"/>
  <c r="AA109" i="15"/>
  <c r="X10" i="15"/>
  <c r="Y94" i="15"/>
  <c r="AA95" i="15"/>
  <c r="Z88" i="15"/>
  <c r="AA34" i="15"/>
  <c r="X102" i="15"/>
  <c r="AA84" i="15"/>
  <c r="Y112" i="15"/>
  <c r="X42" i="15"/>
  <c r="AB77" i="15"/>
  <c r="Y24" i="15"/>
  <c r="AA8" i="15"/>
  <c r="AB20" i="15"/>
  <c r="AA16" i="15"/>
  <c r="X23" i="15"/>
  <c r="AA119" i="15"/>
  <c r="Y74" i="15"/>
  <c r="AB66" i="15"/>
  <c r="X80" i="15"/>
  <c r="X29" i="15"/>
  <c r="Z101" i="15"/>
  <c r="AB41" i="15"/>
  <c r="Y13" i="15"/>
  <c r="Z90" i="15"/>
  <c r="Y119" i="15"/>
  <c r="AA99" i="15"/>
  <c r="Z122" i="15"/>
  <c r="Y63" i="15"/>
  <c r="Y15" i="15"/>
  <c r="AA96" i="15"/>
  <c r="AA101" i="15"/>
  <c r="Z56" i="15"/>
  <c r="X91" i="15"/>
  <c r="AA26" i="15"/>
  <c r="AB80" i="15"/>
  <c r="AB96" i="15"/>
  <c r="Z13" i="15"/>
  <c r="Y108" i="15"/>
  <c r="X76" i="15"/>
  <c r="Z121" i="15"/>
  <c r="Y48" i="15"/>
  <c r="Y20" i="15"/>
  <c r="AA79" i="15"/>
  <c r="Y44" i="15"/>
  <c r="X79" i="15"/>
  <c r="AB32" i="15"/>
  <c r="D23" i="1"/>
  <c r="H22" i="1"/>
  <c r="H21" i="1"/>
  <c r="C22" i="1"/>
  <c r="C21" i="1"/>
  <c r="Y2" i="14" a="1"/>
  <c r="D14" i="1"/>
  <c r="Y12" i="14" l="1"/>
  <c r="Y4" i="14"/>
  <c r="Y21" i="14"/>
  <c r="Y41" i="14"/>
  <c r="Y23" i="14"/>
  <c r="Y18" i="14"/>
  <c r="Y11" i="14"/>
  <c r="Y19" i="14"/>
  <c r="Y25" i="14"/>
  <c r="Y5" i="14"/>
  <c r="Y10" i="14"/>
  <c r="Y2" i="14"/>
  <c r="Y20" i="14"/>
  <c r="Y31" i="14"/>
  <c r="Y30" i="14"/>
  <c r="Y27" i="14"/>
  <c r="Y36" i="14"/>
  <c r="Y26" i="14"/>
  <c r="Y24" i="14"/>
  <c r="Y35" i="14"/>
  <c r="Y29" i="14"/>
  <c r="Y34" i="14"/>
  <c r="Y6" i="14"/>
  <c r="Y32" i="14"/>
  <c r="Y13" i="14"/>
  <c r="Y15" i="14"/>
  <c r="Y8" i="14"/>
  <c r="Y3" i="14"/>
  <c r="Y38" i="14"/>
  <c r="Y17" i="14"/>
  <c r="Y39" i="14"/>
  <c r="Y33" i="14"/>
  <c r="Y9" i="14"/>
  <c r="Y28" i="14"/>
  <c r="Y16" i="14"/>
  <c r="Y37" i="14"/>
  <c r="Y14" i="14"/>
  <c r="Y40" i="14"/>
  <c r="Y22" i="14"/>
  <c r="Y7" i="14"/>
  <c r="AC76" i="15"/>
  <c r="AC127" i="15"/>
  <c r="AC21" i="15"/>
  <c r="AC22" i="15"/>
  <c r="AC27" i="15"/>
  <c r="AC118" i="15"/>
  <c r="AC51" i="15"/>
  <c r="AC128" i="15"/>
  <c r="AC7" i="15"/>
  <c r="AC87" i="15"/>
  <c r="AC34" i="15"/>
  <c r="AC91" i="15"/>
  <c r="AC62" i="15"/>
  <c r="AC109" i="15"/>
  <c r="AC67" i="15"/>
  <c r="AC39" i="15"/>
  <c r="AC80" i="15"/>
  <c r="AC20" i="15"/>
  <c r="AC30" i="15"/>
  <c r="AC79" i="15"/>
  <c r="AC85" i="15"/>
  <c r="AC125" i="15"/>
  <c r="AC69" i="15"/>
  <c r="AC126" i="15"/>
  <c r="AC44" i="15"/>
  <c r="AC41" i="15"/>
  <c r="AC13" i="15"/>
  <c r="AC11" i="15"/>
  <c r="AC37" i="15"/>
  <c r="AC6" i="15"/>
  <c r="AC108" i="15"/>
  <c r="AC74" i="15"/>
  <c r="AC121" i="15"/>
  <c r="AC24" i="15"/>
  <c r="AC111" i="15"/>
  <c r="AC77" i="15"/>
  <c r="AC115" i="15"/>
  <c r="AC55" i="15"/>
  <c r="AC89" i="15"/>
  <c r="AC45" i="15"/>
  <c r="AC78" i="15"/>
  <c r="AC64" i="15"/>
  <c r="AC72" i="15"/>
  <c r="AC106" i="15"/>
  <c r="AC14" i="15"/>
  <c r="AC31" i="15"/>
  <c r="AC26" i="15"/>
  <c r="AC38" i="15"/>
  <c r="AC46" i="15"/>
  <c r="AC2" i="15"/>
  <c r="AC114" i="15"/>
  <c r="AC100" i="15"/>
  <c r="AC98" i="15"/>
  <c r="AC53" i="15"/>
  <c r="AC103" i="15"/>
  <c r="AC32" i="15"/>
  <c r="AC107" i="15"/>
  <c r="AC42" i="15"/>
  <c r="AC19" i="15"/>
  <c r="AC104" i="15"/>
  <c r="AC86" i="15"/>
  <c r="AC58" i="15"/>
  <c r="AC60" i="15"/>
  <c r="AC123" i="15"/>
  <c r="AC66" i="15"/>
  <c r="AC110" i="15"/>
  <c r="AC59" i="15"/>
  <c r="AC56" i="15"/>
  <c r="AC18" i="15"/>
  <c r="AC90" i="15"/>
  <c r="AC117" i="15"/>
  <c r="AC116" i="15"/>
  <c r="AC129" i="15"/>
  <c r="AC95" i="15"/>
  <c r="AC82" i="15"/>
  <c r="AC124" i="15"/>
  <c r="AC102" i="15"/>
  <c r="AC113" i="15"/>
  <c r="AC130" i="15"/>
  <c r="AC52" i="15"/>
  <c r="AC93" i="15"/>
  <c r="AC40" i="15"/>
  <c r="AC35" i="15"/>
  <c r="AC29" i="15"/>
  <c r="AC73" i="15"/>
  <c r="AC112" i="15"/>
  <c r="AC28" i="15"/>
  <c r="AC65" i="15"/>
  <c r="AC97" i="15"/>
  <c r="AC49" i="15"/>
  <c r="AC15" i="15"/>
  <c r="AC9" i="15"/>
  <c r="AC4" i="15"/>
  <c r="AC54" i="15"/>
  <c r="AC3" i="15"/>
  <c r="AC5" i="15"/>
  <c r="AC61" i="15"/>
  <c r="AC96" i="15"/>
  <c r="AC122" i="15"/>
  <c r="AC63" i="15"/>
  <c r="AC70" i="15"/>
  <c r="AC99" i="15"/>
  <c r="AC105" i="15"/>
  <c r="AC119" i="15"/>
  <c r="AC43" i="15"/>
  <c r="AC47" i="15"/>
  <c r="AC94" i="15"/>
  <c r="AC23" i="15"/>
  <c r="AC57" i="15"/>
  <c r="AC75" i="15"/>
  <c r="AC8" i="15"/>
  <c r="AC88" i="15"/>
  <c r="AC81" i="15"/>
  <c r="AC50" i="15"/>
  <c r="AC10" i="15"/>
  <c r="AC120" i="15"/>
  <c r="AC84" i="15"/>
  <c r="AC33" i="15"/>
  <c r="AC25" i="15"/>
  <c r="AC83" i="15"/>
  <c r="AC12" i="15"/>
  <c r="AC101" i="15"/>
  <c r="AC92" i="15"/>
  <c r="AC71" i="15"/>
  <c r="AC68" i="15"/>
  <c r="AC17" i="15"/>
  <c r="AC16" i="15"/>
  <c r="AC36" i="15"/>
  <c r="AC48" i="15"/>
  <c r="V4" i="15"/>
  <c r="V40" i="15"/>
  <c r="V50" i="15"/>
  <c r="V96" i="15"/>
  <c r="V21" i="15"/>
  <c r="V102" i="15"/>
  <c r="V73" i="15"/>
  <c r="V66" i="15"/>
  <c r="V105" i="15"/>
  <c r="V89" i="15"/>
  <c r="V121" i="15"/>
  <c r="V34" i="15"/>
  <c r="V113" i="15"/>
  <c r="V31" i="15"/>
  <c r="V19" i="15"/>
  <c r="V111" i="15"/>
  <c r="V26" i="15"/>
  <c r="V77" i="15"/>
  <c r="V106" i="15"/>
  <c r="V101" i="15"/>
  <c r="V3" i="15"/>
  <c r="V75" i="15"/>
  <c r="V10" i="15"/>
  <c r="V46" i="15"/>
  <c r="V43" i="15"/>
  <c r="V72" i="15"/>
  <c r="V60" i="15"/>
  <c r="V90" i="15"/>
  <c r="V14" i="15"/>
  <c r="V109" i="15"/>
  <c r="V103" i="15"/>
  <c r="V55" i="15"/>
  <c r="V59" i="15"/>
  <c r="V127" i="15"/>
  <c r="V108" i="15"/>
  <c r="V79" i="15"/>
  <c r="V6" i="15"/>
  <c r="V95" i="15"/>
  <c r="V20" i="15"/>
  <c r="V82" i="15"/>
  <c r="V116" i="15"/>
  <c r="V68" i="15"/>
  <c r="V120" i="15"/>
  <c r="V104" i="15"/>
  <c r="V35" i="15"/>
  <c r="V18" i="15"/>
  <c r="V33" i="15"/>
  <c r="V118" i="15"/>
  <c r="V38" i="15"/>
  <c r="V125" i="15"/>
  <c r="V107" i="15"/>
  <c r="V69" i="15"/>
  <c r="V17" i="15"/>
  <c r="V57" i="15"/>
  <c r="V87" i="15"/>
  <c r="V36" i="15"/>
  <c r="V83" i="15"/>
  <c r="V23" i="15"/>
  <c r="V24" i="15"/>
  <c r="V45" i="15"/>
  <c r="V32" i="15"/>
  <c r="V94" i="15"/>
  <c r="V41" i="15"/>
  <c r="V49" i="15"/>
  <c r="V110" i="15"/>
  <c r="V117" i="15"/>
  <c r="V52" i="15"/>
  <c r="V42" i="15"/>
  <c r="V13" i="15"/>
  <c r="V86" i="15"/>
  <c r="V93" i="15"/>
  <c r="V39" i="15"/>
  <c r="V85" i="15"/>
  <c r="V119" i="15"/>
  <c r="V124" i="15"/>
  <c r="V84" i="15"/>
  <c r="V37" i="15"/>
  <c r="V67" i="15"/>
  <c r="V64" i="15"/>
  <c r="V100" i="15"/>
  <c r="V91" i="15"/>
  <c r="V97" i="15"/>
  <c r="V44" i="15"/>
  <c r="V53" i="15"/>
  <c r="V126" i="15"/>
  <c r="V128" i="15"/>
  <c r="V74" i="15"/>
  <c r="V22" i="15"/>
  <c r="V81" i="15"/>
  <c r="V129" i="15"/>
  <c r="V29" i="15"/>
  <c r="V112" i="15"/>
  <c r="V80" i="15"/>
  <c r="V61" i="15"/>
  <c r="V16" i="15"/>
  <c r="V63" i="15"/>
  <c r="V7" i="15"/>
  <c r="V30" i="15"/>
  <c r="V123" i="15"/>
  <c r="V130" i="15"/>
  <c r="V58" i="15"/>
  <c r="V8" i="15"/>
  <c r="V11" i="15"/>
  <c r="V62" i="15"/>
  <c r="V99" i="15"/>
  <c r="V25" i="15"/>
  <c r="V56" i="15"/>
  <c r="V54" i="15"/>
  <c r="V9" i="15"/>
  <c r="V71" i="15"/>
  <c r="V27" i="15"/>
  <c r="V5" i="15"/>
  <c r="V47" i="15"/>
  <c r="V48" i="15"/>
  <c r="V12" i="15"/>
  <c r="V88" i="15"/>
  <c r="V70" i="15"/>
  <c r="V114" i="15"/>
  <c r="V115" i="15"/>
  <c r="V15" i="15"/>
  <c r="V28" i="15"/>
  <c r="V92" i="15"/>
  <c r="V122" i="15"/>
  <c r="V98" i="15"/>
  <c r="V78" i="15"/>
  <c r="V65" i="15"/>
  <c r="V76" i="15"/>
  <c r="V51" i="15"/>
  <c r="C38" i="1"/>
  <c r="H38" i="1"/>
  <c r="H23" i="1"/>
  <c r="C53" i="1"/>
  <c r="I22" i="1"/>
  <c r="I21" i="1"/>
  <c r="D22" i="1"/>
  <c r="D21" i="1"/>
  <c r="D38" i="1"/>
  <c r="I38" i="1"/>
  <c r="I23" i="1"/>
  <c r="D53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  <author>BARONE RICCARDO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J97" authorId="1">
      <text>
        <r>
          <rPr>
            <sz val="9"/>
            <color indexed="81"/>
            <rFont val="Tahoma"/>
            <family val="2"/>
          </rPr>
          <t>=qlSwapRateHelper2(,H90,,B90&amp;"M",Calendar,D90,E90,F90,G90,I90,C90,Discounting,PillarDate,,Permanent,Trigger,ObjectOverwrite)</t>
        </r>
      </text>
    </comment>
    <comment ref="J106" authorId="1">
      <text>
        <r>
          <rPr>
            <sz val="9"/>
            <color indexed="81"/>
            <rFont val="Tahoma"/>
            <family val="2"/>
          </rPr>
          <t xml:space="preserve">=qlSwapRateHelper2(,H99,2,B99,Calendar,D99,E99,F99,G99,I99,C99,Discounting,PillarDate,,Permanent,Trigger,ObjectOverwrite)
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<sst xmlns="http://schemas.openxmlformats.org/spreadsheetml/2006/main" count="1905" uniqueCount="154">
  <si>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</si>
  <si>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</si>
  <si>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</si>
  <si>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</si>
  <si>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</si>
  <si>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</si>
  <si>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</si>
  <si>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</si>
  <si>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</si>
  <si>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</si>
  <si>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</si>
  <si>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</si>
  <si>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</si>
  <si>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</si>
  <si>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</si>
  <si>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</si>
  <si>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</si>
  <si>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</si>
  <si>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</si>
  <si>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</si>
  <si>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</si>
  <si>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</si>
  <si>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</si>
  <si>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</si>
  <si>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</si>
  <si>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</si>
  <si>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</si>
  <si>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</si>
  <si>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</si>
  <si>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</si>
  <si>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</si>
  <si>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</si>
  <si>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</si>
  <si>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</si>
  <si>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</si>
  <si>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</si>
  <si>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</si>
  <si>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</si>
  <si>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</si>
  <si>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</si>
  <si>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</si>
  <si>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</si>
  <si>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</si>
  <si>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</si>
  <si>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</si>
  <si>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</si>
  <si>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</si>
  <si>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</si>
  <si>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</si>
  <si>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</si>
  <si>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</si>
  <si>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</si>
  <si>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</si>
  <si>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</si>
  <si>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</si>
  <si>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</si>
  <si>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</si>
  <si>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</si>
  <si>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</si>
  <si>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</si>
  <si>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</si>
  <si>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</si>
  <si>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</si>
  <si>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</si>
  <si>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</si>
  <si>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</si>
  <si>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</si>
  <si>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</si>
  <si>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</si>
  <si>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</si>
  <si>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</si>
  <si>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</si>
  <si>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</si>
  <si>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</si>
  <si>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SN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</si>
  <si>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</si>
  <si>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</si>
  <si>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</si>
  <si>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</si>
  <si>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</si>
  <si>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</si>
  <si>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</si>
  <si>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</si>
  <si>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</si>
  <si>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</si>
  <si>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</si>
  <si>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</si>
  <si>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</si>
  <si>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</si>
  <si>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</si>
  <si>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</si>
  <si>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</si>
  <si>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</si>
  <si>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</si>
  <si>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</si>
  <si>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</si>
  <si>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</si>
  <si>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</si>
  <si>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</si>
  <si>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</si>
  <si>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</si>
  <si>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</si>
  <si>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</si>
  <si>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</si>
  <si>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</si>
  <si>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</si>
  <si>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</si>
  <si>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</si>
  <si>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</si>
  <si>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</si>
  <si>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</si>
  <si>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</si>
  <si>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</si>
  <si>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</si>
  <si>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</si>
  <si>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</si>
  <si>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</si>
  <si>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</si>
  <si>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Day Count</t>
  </si>
  <si>
    <t>12M</t>
  </si>
  <si>
    <t>BasSw</t>
  </si>
  <si>
    <t>Extrapolation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</si>
  <si>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</si>
  <si>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</si>
  <si>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</si>
  <si>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</si>
  <si>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</si>
  <si>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</si>
  <si>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</si>
  <si>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</si>
  <si>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</si>
  <si>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</si>
  <si>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30/360 (Bond Basis)</t>
  </si>
  <si>
    <t>Fwd</t>
  </si>
  <si>
    <t>X</t>
  </si>
  <si>
    <t>tau</t>
  </si>
  <si>
    <t>Size</t>
  </si>
  <si>
    <t>qlFraRateHelper(,H12,B12&amp;"M",G12,PillarDate,,Permanent,Trigger,ObjectOverwrite)</t>
  </si>
  <si>
    <t>GBP</t>
  </si>
  <si>
    <t>UnitedKingdom::Exchange</t>
  </si>
  <si>
    <t>Libor</t>
  </si>
  <si>
    <t>Discount</t>
  </si>
  <si>
    <t>MonotonicLogCubicNaturalSpline</t>
  </si>
  <si>
    <t>Sonia</t>
  </si>
  <si>
    <t>SM</t>
  </si>
  <si>
    <t>3L</t>
  </si>
  <si>
    <t>AM</t>
  </si>
  <si>
    <t>Semiannual</t>
  </si>
  <si>
    <t>Actual/365 (Fixed)</t>
  </si>
  <si>
    <t>qlSwapRateHelper2(,H50,2,B50,Calendar,D50,E50,F50,G50,I50,C50,Discounting,PillarDate,,Permanent,Trigger,ObjectOverwrite)</t>
  </si>
  <si>
    <t>SB</t>
  </si>
  <si>
    <t>6L</t>
  </si>
  <si>
    <t>1L</t>
  </si>
  <si>
    <t>12L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</si>
</sst>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8" tint="0.599963377788628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262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4" fontId="5" fillId="8" borderId="0" xfId="0" applyNumberFormat="1" applyFont="1" applyFill="1"/>
    <xf numFmtId="11" fontId="5" fillId="8" borderId="0" xfId="0" applyNumberFormat="1" applyFont="1" applyFill="1"/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center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0" fontId="5" fillId="3" borderId="8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165" fontId="5" fillId="3" borderId="1" xfId="13" applyNumberFormat="1" applyFont="1" applyFill="1" applyBorder="1"/>
    <xf numFmtId="165" fontId="5" fillId="3" borderId="1" xfId="0" applyNumberFormat="1" applyFont="1" applyFill="1" applyBorder="1"/>
    <xf numFmtId="165" fontId="5" fillId="3" borderId="1" xfId="0" applyNumberFormat="1" applyFont="1" applyFill="1" applyBorder="1" applyAlignment="1">
      <alignment horizontal="center" vertical="center"/>
    </xf>
    <xf numFmtId="165" fontId="5" fillId="3" borderId="6" xfId="0" applyNumberFormat="1" applyFont="1" applyFill="1" applyBorder="1"/>
    <xf numFmtId="165" fontId="5" fillId="3" borderId="6" xfId="0" applyNumberFormat="1" applyFont="1" applyFill="1" applyBorder="1" applyAlignment="1">
      <alignment horizontal="center" vertical="center"/>
    </xf>
    <xf numFmtId="165" fontId="5" fillId="3" borderId="8" xfId="13" applyNumberFormat="1" applyFont="1" applyFill="1" applyBorder="1"/>
    <xf numFmtId="165" fontId="5" fillId="3" borderId="6" xfId="13" applyNumberFormat="1" applyFont="1" applyFill="1" applyBorder="1"/>
    <xf numFmtId="0" fontId="5" fillId="8" borderId="2" xfId="0" applyFont="1" applyFill="1" applyBorder="1"/>
    <xf numFmtId="165" fontId="5" fillId="3" borderId="8" xfId="0" applyNumberFormat="1" applyFont="1" applyFill="1" applyBorder="1"/>
    <xf numFmtId="165" fontId="5" fillId="3" borderId="8" xfId="0" applyNumberFormat="1" applyFont="1" applyFill="1" applyBorder="1" applyAlignment="1">
      <alignment horizontal="center" vertical="center"/>
    </xf>
    <xf numFmtId="179" fontId="5" fillId="3" borderId="8" xfId="0" applyNumberFormat="1" applyFont="1" applyFill="1" applyBorder="1"/>
    <xf numFmtId="179" fontId="5" fillId="3" borderId="6" xfId="0" applyNumberFormat="1" applyFont="1" applyFill="1" applyBorder="1"/>
    <xf numFmtId="179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10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0" fontId="9" fillId="11" borderId="14" xfId="1" applyFont="1" applyFill="1" applyBorder="1" applyAlignment="1">
      <alignment horizontal="centerContinuous" vertical="center" wrapText="1"/>
    </xf>
    <xf numFmtId="0" fontId="9" fillId="11" borderId="13" xfId="1" applyFont="1" applyFill="1" applyBorder="1" applyAlignment="1">
      <alignment horizontal="centerContinuous" vertical="center" wrapText="1"/>
    </xf>
    <xf numFmtId="0" fontId="5" fillId="11" borderId="15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2" fontId="3" fillId="9" borderId="2" xfId="1" applyNumberFormat="1" applyFont="1" applyFill="1" applyBorder="1" applyAlignment="1">
      <alignment horizontal="center"/>
    </xf>
    <xf numFmtId="164" fontId="3" fillId="2" borderId="18" xfId="1" applyNumberFormat="1" applyFont="1" applyFill="1" applyBorder="1" applyAlignment="1"/>
    <xf numFmtId="164" fontId="3" fillId="2" borderId="18" xfId="1" applyNumberFormat="1" applyFont="1" applyFill="1" applyBorder="1" applyAlignment="1">
      <alignment horizontal="right" vertical="center"/>
    </xf>
    <xf numFmtId="164" fontId="3" fillId="2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6" fontId="3" fillId="3" borderId="18" xfId="1" applyNumberFormat="1" applyFont="1" applyFill="1" applyBorder="1" applyAlignment="1">
      <alignment horizontal="right"/>
    </xf>
    <xf numFmtId="0" fontId="3" fillId="2" borderId="18" xfId="1" applyNumberFormat="1" applyFont="1" applyFill="1" applyBorder="1" applyAlignment="1">
      <alignment horizontal="left"/>
    </xf>
    <xf numFmtId="164" fontId="3" fillId="2" borderId="19" xfId="1" applyNumberFormat="1" applyFont="1" applyFill="1" applyBorder="1" applyAlignment="1"/>
    <xf numFmtId="0" fontId="3" fillId="2" borderId="19" xfId="1" applyNumberFormat="1" applyFont="1" applyFill="1" applyBorder="1" applyAlignment="1">
      <alignment horizontal="right" vertical="center"/>
    </xf>
    <xf numFmtId="0" fontId="3" fillId="2" borderId="19" xfId="1" applyNumberFormat="1" applyFont="1" applyFill="1" applyBorder="1" applyAlignment="1">
      <alignment horizontal="center" vertical="center"/>
    </xf>
    <xf numFmtId="166" fontId="3" fillId="3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left"/>
    </xf>
    <xf numFmtId="164" fontId="3" fillId="2" borderId="20" xfId="1" applyNumberFormat="1" applyFont="1" applyFill="1" applyBorder="1" applyAlignment="1"/>
    <xf numFmtId="0" fontId="3" fillId="2" borderId="20" xfId="1" applyNumberFormat="1" applyFont="1" applyFill="1" applyBorder="1" applyAlignment="1">
      <alignment horizontal="right" vertical="center"/>
    </xf>
    <xf numFmtId="0" fontId="3" fillId="2" borderId="20" xfId="1" applyNumberFormat="1" applyFont="1" applyFill="1" applyBorder="1" applyAlignment="1">
      <alignment horizontal="center" vertical="center"/>
    </xf>
    <xf numFmtId="166" fontId="3" fillId="3" borderId="20" xfId="1" applyNumberFormat="1" applyFont="1" applyFill="1" applyBorder="1" applyAlignment="1">
      <alignment horizontal="center" vertical="center"/>
    </xf>
    <xf numFmtId="0" fontId="3" fillId="2" borderId="20" xfId="1" applyNumberFormat="1" applyFont="1" applyFill="1" applyBorder="1" applyAlignment="1">
      <alignment horizontal="left"/>
    </xf>
    <xf numFmtId="171" fontId="5" fillId="0" borderId="8" xfId="0" applyNumberFormat="1" applyFont="1" applyBorder="1"/>
    <xf numFmtId="171" fontId="5" fillId="0" borderId="6" xfId="0" applyNumberFormat="1" applyFont="1" applyBorder="1"/>
    <xf numFmtId="171" fontId="5" fillId="0" borderId="1" xfId="0" applyNumberFormat="1" applyFont="1" applyBorder="1"/>
    <xf numFmtId="164" fontId="3" fillId="2" borderId="19" xfId="1" applyNumberFormat="1" applyFont="1" applyFill="1" applyBorder="1" applyAlignment="1">
      <alignment horizontal="right" vertical="center"/>
    </xf>
    <xf numFmtId="164" fontId="3" fillId="2" borderId="19" xfId="1" applyNumberFormat="1" applyFont="1" applyFill="1" applyBorder="1" applyAlignment="1">
      <alignment horizontal="center" vertical="center"/>
    </xf>
    <xf numFmtId="164" fontId="3" fillId="10" borderId="19" xfId="1" applyNumberFormat="1" applyFont="1" applyFill="1" applyBorder="1" applyAlignment="1">
      <alignment horizontal="center" vertical="center"/>
    </xf>
    <xf numFmtId="166" fontId="3" fillId="3" borderId="19" xfId="1" applyNumberFormat="1" applyFont="1" applyFill="1" applyBorder="1" applyAlignment="1">
      <alignment horizontal="left"/>
    </xf>
    <xf numFmtId="164" fontId="3" fillId="2" borderId="20" xfId="1" applyNumberFormat="1" applyFont="1" applyFill="1" applyBorder="1" applyAlignment="1">
      <alignment horizontal="right" vertical="center"/>
    </xf>
    <xf numFmtId="164" fontId="3" fillId="2" borderId="20" xfId="1" applyNumberFormat="1" applyFont="1" applyFill="1" applyBorder="1" applyAlignment="1">
      <alignment horizontal="center" vertical="center"/>
    </xf>
    <xf numFmtId="164" fontId="3" fillId="10" borderId="20" xfId="1" applyNumberFormat="1" applyFont="1" applyFill="1" applyBorder="1" applyAlignment="1">
      <alignment horizontal="center" vertical="center"/>
    </xf>
    <xf numFmtId="166" fontId="3" fillId="3" borderId="20" xfId="1" applyNumberFormat="1" applyFont="1" applyFill="1" applyBorder="1" applyAlignment="1">
      <alignment horizontal="left"/>
    </xf>
    <xf numFmtId="0" fontId="3" fillId="7" borderId="8" xfId="0" applyFont="1" applyFill="1" applyBorder="1" applyAlignment="1">
      <alignment horizontal="center" vertical="center" wrapText="1"/>
    </xf>
    <xf numFmtId="173" fontId="3" fillId="7" borderId="8" xfId="0" applyNumberFormat="1" applyFont="1" applyFill="1" applyBorder="1" applyAlignment="1">
      <alignment horizontal="center" vertical="center" wrapText="1"/>
    </xf>
    <xf numFmtId="0" fontId="5" fillId="0" borderId="8" xfId="0" applyFont="1" applyBorder="1"/>
    <xf numFmtId="165" fontId="5" fillId="0" borderId="8" xfId="0" applyNumberFormat="1" applyFont="1" applyBorder="1" applyAlignment="1">
      <alignment horizontal="center" vertical="center"/>
    </xf>
    <xf numFmtId="167" fontId="5" fillId="0" borderId="8" xfId="0" applyNumberFormat="1" applyFont="1" applyBorder="1"/>
    <xf numFmtId="0" fontId="5" fillId="8" borderId="12" xfId="0" applyFont="1" applyFill="1" applyBorder="1"/>
    <xf numFmtId="171" fontId="5" fillId="3" borderId="6" xfId="0" applyNumberFormat="1" applyFont="1" applyFill="1" applyBorder="1"/>
    <xf numFmtId="171" fontId="5" fillId="3" borderId="8" xfId="0" applyNumberFormat="1" applyFont="1" applyFill="1" applyBorder="1"/>
    <xf numFmtId="171" fontId="5" fillId="3" borderId="1" xfId="0" applyNumberFormat="1" applyFont="1" applyFill="1" applyBorder="1"/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4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" xfId="13" builtinId="5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BP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GBPLibor"/>
      <sheetName val="Deposits"/>
      <sheetName val="FRA"/>
      <sheetName val="IMMFra"/>
      <sheetName val="IMMFra6M "/>
      <sheetName val="OIS"/>
      <sheetName val="MPC OIS"/>
      <sheetName val="Futures3M"/>
      <sheetName val="FuturesHWConvAdj"/>
      <sheetName val="BasisSwap1MxM"/>
      <sheetName val="BasisSwap3M6M"/>
      <sheetName val="BasisSwapxM12M"/>
      <sheetName val="Swaps1M"/>
      <sheetName val="Swap3MAnnual"/>
      <sheetName val="Swap3MSemiAnnual"/>
      <sheetName val="Swap6M"/>
      <sheetName val="SwapsIMMDated"/>
      <sheetName val="LiborSwapIsda"/>
    </sheetNames>
    <sheetDataSet>
      <sheetData sheetId="0"/>
      <sheetData sheetId="1">
        <row r="4">
          <cell r="D4" t="str">
            <v>GBPON#0000</v>
          </cell>
        </row>
        <row r="6">
          <cell r="D6" t="str">
            <v>GBP1M#0000</v>
          </cell>
        </row>
        <row r="8">
          <cell r="D8" t="str">
            <v>GBP3M#0000</v>
          </cell>
        </row>
        <row r="9">
          <cell r="D9" t="str">
            <v>GBP6M#0000</v>
          </cell>
        </row>
        <row r="10">
          <cell r="D10" t="str">
            <v>GBP1Y#0000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5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9" customWidth="1"/>
    <col min="3" max="3" width="20.28515625" style="49" bestFit="1" customWidth="1"/>
    <col min="4" max="4" width="30.7109375" style="49" customWidth="1"/>
    <col min="5" max="7" width="2.7109375" style="49" customWidth="1"/>
    <col min="8" max="8" width="20.28515625" style="49" bestFit="1" customWidth="1"/>
    <col min="9" max="9" width="30.7109375" style="49" customWidth="1"/>
    <col min="10" max="10" width="2.7109375" style="49" customWidth="1"/>
    <col min="11" max="13" width="9.140625" style="49"/>
    <col min="14" max="14" width="9.7109375" style="49" bestFit="1" customWidth="1"/>
    <col min="15" max="16384" width="9.140625" style="49"/>
  </cols>
  <sheetData>
    <row r="2" spans="1:10" x14ac:dyDescent="0.2">
      <c r="B2" s="83"/>
      <c r="C2" s="84"/>
      <c r="D2" s="84"/>
      <c r="E2" s="85"/>
      <c r="G2" s="83"/>
      <c r="H2" s="84"/>
      <c r="I2" s="84"/>
      <c r="J2" s="85"/>
    </row>
    <row r="3" spans="1:10" ht="11.25" customHeight="1" x14ac:dyDescent="0.2">
      <c r="B3" s="88"/>
      <c r="C3" s="13" t="s">
        <v>22</v>
      </c>
      <c r="D3" s="82" t="s">
        <v>138</v>
      </c>
      <c r="E3" s="86"/>
      <c r="G3" s="88"/>
      <c r="H3" s="13" t="s">
        <v>31</v>
      </c>
      <c r="I3" s="14">
        <f>_xll.qlSettingsEvaluationDate(Trigger)</f>
        <v>42275</v>
      </c>
      <c r="J3" s="86"/>
    </row>
    <row r="4" spans="1:10" ht="11.25" customHeight="1" x14ac:dyDescent="0.2">
      <c r="B4" s="88"/>
      <c r="C4" s="15" t="s">
        <v>19</v>
      </c>
      <c r="D4" s="17" t="b">
        <v>1</v>
      </c>
      <c r="E4" s="86"/>
      <c r="G4" s="88"/>
      <c r="H4" s="15" t="s">
        <v>32</v>
      </c>
      <c r="I4" s="16">
        <f>_xll.qlCalendarAdvance(Calendar,Evaluationdate,"0D","F",,Trigger)</f>
        <v>42275</v>
      </c>
      <c r="J4" s="86"/>
    </row>
    <row r="5" spans="1:10" ht="11.25" customHeight="1" x14ac:dyDescent="0.2">
      <c r="A5" s="51"/>
      <c r="B5" s="89"/>
      <c r="C5" s="20" t="s">
        <v>18</v>
      </c>
      <c r="D5" s="21"/>
      <c r="E5" s="86"/>
      <c r="G5" s="88"/>
      <c r="H5" s="15" t="s">
        <v>14</v>
      </c>
      <c r="I5" s="16" t="s">
        <v>139</v>
      </c>
      <c r="J5" s="86"/>
    </row>
    <row r="6" spans="1:10" ht="11.25" customHeight="1" x14ac:dyDescent="0.2">
      <c r="A6" s="51"/>
      <c r="B6" s="89"/>
      <c r="C6" s="15" t="s">
        <v>20</v>
      </c>
      <c r="D6" s="17" t="b">
        <v>1</v>
      </c>
      <c r="E6" s="86"/>
      <c r="G6" s="88"/>
      <c r="H6" s="173"/>
      <c r="I6" s="173"/>
      <c r="J6" s="86"/>
    </row>
    <row r="7" spans="1:10" ht="11.25" customHeight="1" x14ac:dyDescent="0.2">
      <c r="A7" s="51"/>
      <c r="B7" s="89"/>
      <c r="C7" s="15" t="s">
        <v>21</v>
      </c>
      <c r="D7" s="18" t="str">
        <f>Currency&amp;"ON"</f>
        <v>GBPON</v>
      </c>
      <c r="E7" s="86"/>
      <c r="G7" s="88"/>
      <c r="H7" s="13" t="s">
        <v>35</v>
      </c>
      <c r="I7" s="169" t="s">
        <v>140</v>
      </c>
      <c r="J7" s="86"/>
    </row>
    <row r="8" spans="1:10" ht="11.25" customHeight="1" x14ac:dyDescent="0.2">
      <c r="A8" s="51"/>
      <c r="B8" s="90"/>
      <c r="C8" s="19" t="s">
        <v>78</v>
      </c>
      <c r="D8" s="223" t="s">
        <v>79</v>
      </c>
      <c r="E8" s="86"/>
      <c r="G8" s="88"/>
      <c r="H8" s="15" t="s">
        <v>71</v>
      </c>
      <c r="I8" s="170" t="s">
        <v>72</v>
      </c>
      <c r="J8" s="86"/>
    </row>
    <row r="9" spans="1:10" ht="11.25" customHeight="1" x14ac:dyDescent="0.2">
      <c r="B9" s="90"/>
      <c r="C9" s="172"/>
      <c r="D9" s="172"/>
      <c r="E9" s="86"/>
      <c r="G9" s="88"/>
      <c r="H9" s="19" t="s">
        <v>130</v>
      </c>
      <c r="I9" s="171" t="s">
        <v>129</v>
      </c>
      <c r="J9" s="86"/>
    </row>
    <row r="10" spans="1:10" ht="11.25" customHeight="1" x14ac:dyDescent="0.2">
      <c r="B10" s="91"/>
      <c r="C10" s="92"/>
      <c r="D10" s="93"/>
      <c r="E10" s="87"/>
      <c r="G10" s="91"/>
      <c r="H10" s="92"/>
      <c r="I10" s="93"/>
      <c r="J10" s="87"/>
    </row>
    <row r="11" spans="1:10" ht="11.25" customHeight="1" x14ac:dyDescent="0.2"/>
    <row r="12" spans="1:10" x14ac:dyDescent="0.2">
      <c r="B12" s="38"/>
      <c r="C12" s="39"/>
      <c r="D12" s="39"/>
      <c r="E12" s="40"/>
      <c r="G12" s="38"/>
      <c r="H12" s="39"/>
      <c r="I12" s="39"/>
      <c r="J12" s="40"/>
    </row>
    <row r="13" spans="1:10" x14ac:dyDescent="0.2">
      <c r="B13" s="23"/>
      <c r="C13" s="22" t="s">
        <v>10</v>
      </c>
      <c r="D13" s="42" t="str">
        <f>_xll.qlPiecewiseYieldCurve($D$15,$D$16,Calendar,_xll.ohPack(RateHelpersON),,,,D17,D18,D19,Permanent,,ObjectOverwrite)</f>
        <v>_GBPON#0001</v>
      </c>
      <c r="E13" s="43"/>
      <c r="G13" s="23"/>
      <c r="H13" s="22" t="s">
        <v>10</v>
      </c>
      <c r="I13" s="42" t="str">
        <f>_xll.qlPiecewiseYieldCurve(I15,I16,Calendar,_xll.ohPack(RateHelpers3M),,,,I17,I18,I19,Permanent,,ObjectOverwrite)</f>
        <v>_GBP3M#0001</v>
      </c>
      <c r="J13" s="43"/>
    </row>
    <row r="14" spans="1:10" x14ac:dyDescent="0.2">
      <c r="B14" s="23"/>
      <c r="C14" s="24" t="s">
        <v>11</v>
      </c>
      <c r="D14" s="44" t="str">
        <f>_xll.ohRangeRetrieveError(YieldCurve_ON)</f>
        <v/>
      </c>
      <c r="E14" s="43"/>
      <c r="G14" s="23"/>
      <c r="H14" s="24" t="s">
        <v>11</v>
      </c>
      <c r="I14" s="44" t="str">
        <f>_xll.ohRangeRetrieveError(YieldCurve_3M)</f>
        <v/>
      </c>
      <c r="J14" s="43"/>
    </row>
    <row r="15" spans="1:10" x14ac:dyDescent="0.2">
      <c r="B15" s="23"/>
      <c r="C15" s="22" t="s">
        <v>12</v>
      </c>
      <c r="D15" s="25" t="str">
        <f>"_"&amp;Currency&amp;"ON"</f>
        <v>_GBPON</v>
      </c>
      <c r="E15" s="43"/>
      <c r="G15" s="23"/>
      <c r="H15" s="22" t="s">
        <v>12</v>
      </c>
      <c r="I15" s="25" t="str">
        <f>"_"&amp;Currency&amp;"3M"</f>
        <v>_GBP3M</v>
      </c>
      <c r="J15" s="43"/>
    </row>
    <row r="16" spans="1:10" x14ac:dyDescent="0.2">
      <c r="B16" s="23"/>
      <c r="C16" s="26" t="s">
        <v>13</v>
      </c>
      <c r="D16" s="27">
        <v>0</v>
      </c>
      <c r="E16" s="43"/>
      <c r="G16" s="23"/>
      <c r="H16" s="26" t="s">
        <v>13</v>
      </c>
      <c r="I16" s="27">
        <v>0</v>
      </c>
      <c r="J16" s="43"/>
    </row>
    <row r="17" spans="1:10" x14ac:dyDescent="0.2">
      <c r="B17" s="23"/>
      <c r="C17" s="26" t="s">
        <v>15</v>
      </c>
      <c r="D17" s="28"/>
      <c r="E17" s="43"/>
      <c r="G17" s="23"/>
      <c r="H17" s="26" t="s">
        <v>15</v>
      </c>
      <c r="I17" s="28"/>
      <c r="J17" s="43"/>
    </row>
    <row r="18" spans="1:10" x14ac:dyDescent="0.2">
      <c r="B18" s="23"/>
      <c r="C18" s="26" t="s">
        <v>16</v>
      </c>
      <c r="D18" s="29" t="s">
        <v>141</v>
      </c>
      <c r="E18" s="43"/>
      <c r="G18" s="23"/>
      <c r="H18" s="26" t="s">
        <v>16</v>
      </c>
      <c r="I18" s="29" t="s">
        <v>141</v>
      </c>
      <c r="J18" s="43"/>
    </row>
    <row r="19" spans="1:10" x14ac:dyDescent="0.2">
      <c r="B19" s="23"/>
      <c r="C19" s="24" t="s">
        <v>17</v>
      </c>
      <c r="D19" s="30" t="s">
        <v>142</v>
      </c>
      <c r="E19" s="43"/>
      <c r="G19" s="23"/>
      <c r="H19" s="24" t="s">
        <v>17</v>
      </c>
      <c r="I19" s="30" t="s">
        <v>142</v>
      </c>
      <c r="J19" s="43"/>
    </row>
    <row r="20" spans="1:10" x14ac:dyDescent="0.2">
      <c r="B20" s="23"/>
      <c r="C20" s="31"/>
      <c r="D20" s="31"/>
      <c r="E20" s="43"/>
      <c r="G20" s="23"/>
      <c r="H20" s="31"/>
      <c r="I20" s="31"/>
      <c r="J20" s="43"/>
    </row>
    <row r="21" spans="1:10" x14ac:dyDescent="0.2">
      <c r="B21" s="23"/>
      <c r="C21" s="32">
        <f>_xll.qlTermStructureReferenceDate(YieldCurve_ON)</f>
        <v>42275</v>
      </c>
      <c r="D21" s="33">
        <f>_xll.qlYieldTSDiscount(YieldCurve_ON,C21,,Trigger)</f>
        <v>1</v>
      </c>
      <c r="E21" s="43"/>
      <c r="G21" s="23"/>
      <c r="H21" s="32">
        <f>_xll.qlTermStructureReferenceDate(YieldCurve_3M)</f>
        <v>42275</v>
      </c>
      <c r="I21" s="33">
        <f>_xll.qlYieldTSDiscount(YieldCurve_3M,H21,,Trigger)</f>
        <v>1</v>
      </c>
      <c r="J21" s="43"/>
    </row>
    <row r="22" spans="1:10" x14ac:dyDescent="0.2">
      <c r="B22" s="23"/>
      <c r="C22" s="34">
        <f>_xll.qlTermStructureMaxDate(YieldCurve_ON,Trigger)</f>
        <v>64199</v>
      </c>
      <c r="D22" s="35">
        <f>_xll.qlYieldTSDiscount(YieldCurve_ON,C22,,Trigger)</f>
        <v>0.32404635484500249</v>
      </c>
      <c r="E22" s="43"/>
      <c r="G22" s="23"/>
      <c r="H22" s="34">
        <f>_xll.qlTermStructureMaxDate(YieldCurve_3M,Trigger)</f>
        <v>64199</v>
      </c>
      <c r="I22" s="35">
        <f>_xll.qlYieldTSDiscount(YieldCurve_3M,H22,,Trigger)</f>
        <v>0.30527515952305673</v>
      </c>
      <c r="J22" s="43"/>
    </row>
    <row r="23" spans="1:10" x14ac:dyDescent="0.2">
      <c r="B23" s="23"/>
      <c r="C23" s="34" t="str">
        <f>[1]GBPLibor!$D$4</f>
        <v>GBPON#0000</v>
      </c>
      <c r="D23" s="35" t="b">
        <f>_xll.qlRelinkableHandleLinkTo(C23,D13,Trigger)</f>
        <v>1</v>
      </c>
      <c r="E23" s="43"/>
      <c r="G23" s="23"/>
      <c r="H23" s="34" t="str">
        <f>[1]GBPLibor!$D$8</f>
        <v>GBP3M#0000</v>
      </c>
      <c r="I23" s="35" t="b">
        <f>_xll.qlRelinkableHandleLinkTo(H23,I13,Trigger)</f>
        <v>1</v>
      </c>
      <c r="J23" s="43"/>
    </row>
    <row r="24" spans="1:10" x14ac:dyDescent="0.2">
      <c r="B24" s="23"/>
      <c r="C24" s="36" t="s">
        <v>121</v>
      </c>
      <c r="D24" s="37" t="b">
        <v>0</v>
      </c>
      <c r="E24" s="43"/>
      <c r="G24" s="23"/>
      <c r="H24" s="36" t="s">
        <v>121</v>
      </c>
      <c r="I24" s="37" t="b">
        <v>0</v>
      </c>
      <c r="J24" s="43"/>
    </row>
    <row r="25" spans="1:10" x14ac:dyDescent="0.2">
      <c r="B25" s="45"/>
      <c r="C25" s="46"/>
      <c r="D25" s="46"/>
      <c r="E25" s="47"/>
      <c r="G25" s="45"/>
      <c r="H25" s="46"/>
      <c r="I25" s="46"/>
      <c r="J25" s="47"/>
    </row>
    <row r="26" spans="1:10" x14ac:dyDescent="0.2">
      <c r="A26" s="51"/>
      <c r="B26" s="51"/>
      <c r="C26" s="51"/>
      <c r="D26" s="51"/>
      <c r="E26" s="51"/>
      <c r="G26" s="51"/>
      <c r="H26" s="51"/>
      <c r="I26" s="51"/>
      <c r="J26" s="51"/>
    </row>
    <row r="27" spans="1:10" x14ac:dyDescent="0.2">
      <c r="B27" s="38"/>
      <c r="C27" s="48"/>
      <c r="D27" s="48"/>
      <c r="E27" s="40"/>
      <c r="F27" s="50"/>
      <c r="G27" s="38"/>
      <c r="H27" s="39"/>
      <c r="I27" s="39"/>
      <c r="J27" s="40"/>
    </row>
    <row r="28" spans="1:10" x14ac:dyDescent="0.2">
      <c r="B28" s="41"/>
      <c r="C28" s="22" t="s">
        <v>10</v>
      </c>
      <c r="D28" s="42" t="str">
        <f>_xll.qlPiecewiseYieldCurve(D30,D31,Calendar,_xll.ohPack(RateHelpers6M),,,,D32,D33,D34,Permanent,,ObjectOverwrite)</f>
        <v>_GBP6M#0001</v>
      </c>
      <c r="E28" s="43"/>
      <c r="F28" s="50"/>
      <c r="G28" s="23"/>
      <c r="H28" s="22" t="s">
        <v>10</v>
      </c>
      <c r="I28" s="42" t="str">
        <f>_xll.qlPiecewiseYieldCurve(I30,I31,Calendar,_xll.ohPack(RateHelpers1M),,,,I32,I33,I34,Permanent,,ObjectOverwrite)</f>
        <v>_GBP1M#0001</v>
      </c>
      <c r="J28" s="43"/>
    </row>
    <row r="29" spans="1:10" x14ac:dyDescent="0.2">
      <c r="B29" s="41"/>
      <c r="C29" s="24" t="s">
        <v>11</v>
      </c>
      <c r="D29" s="44" t="str">
        <f>_xll.ohRangeRetrieveError(YieldCurve_6M)</f>
        <v/>
      </c>
      <c r="E29" s="43"/>
      <c r="F29" s="50"/>
      <c r="G29" s="23"/>
      <c r="H29" s="24" t="s">
        <v>11</v>
      </c>
      <c r="I29" s="44" t="str">
        <f>_xll.ohRangeRetrieveError(YieldCurve_1M)</f>
        <v/>
      </c>
      <c r="J29" s="43"/>
    </row>
    <row r="30" spans="1:10" x14ac:dyDescent="0.2">
      <c r="B30" s="23"/>
      <c r="C30" s="22" t="s">
        <v>12</v>
      </c>
      <c r="D30" s="25" t="str">
        <f>"_"&amp;Currency&amp;"6M"</f>
        <v>_GBP6M</v>
      </c>
      <c r="E30" s="43"/>
      <c r="F30" s="50"/>
      <c r="G30" s="23"/>
      <c r="H30" s="22" t="s">
        <v>12</v>
      </c>
      <c r="I30" s="25" t="str">
        <f>"_"&amp;Currency&amp;"1M"</f>
        <v>_GBP1M</v>
      </c>
      <c r="J30" s="43"/>
    </row>
    <row r="31" spans="1:10" x14ac:dyDescent="0.2">
      <c r="B31" s="23"/>
      <c r="C31" s="26" t="s">
        <v>13</v>
      </c>
      <c r="D31" s="27">
        <v>0</v>
      </c>
      <c r="E31" s="43"/>
      <c r="F31" s="50"/>
      <c r="G31" s="23"/>
      <c r="H31" s="26" t="s">
        <v>13</v>
      </c>
      <c r="I31" s="27">
        <v>0</v>
      </c>
      <c r="J31" s="43"/>
    </row>
    <row r="32" spans="1:10" x14ac:dyDescent="0.2">
      <c r="B32" s="23"/>
      <c r="C32" s="26" t="s">
        <v>15</v>
      </c>
      <c r="D32" s="28"/>
      <c r="E32" s="43"/>
      <c r="F32" s="50"/>
      <c r="G32" s="23"/>
      <c r="H32" s="26" t="s">
        <v>15</v>
      </c>
      <c r="I32" s="28"/>
      <c r="J32" s="43"/>
    </row>
    <row r="33" spans="2:10" x14ac:dyDescent="0.2">
      <c r="B33" s="23"/>
      <c r="C33" s="26" t="s">
        <v>16</v>
      </c>
      <c r="D33" s="29" t="s">
        <v>141</v>
      </c>
      <c r="E33" s="43"/>
      <c r="F33" s="50"/>
      <c r="G33" s="23"/>
      <c r="H33" s="26" t="s">
        <v>16</v>
      </c>
      <c r="I33" s="29" t="s">
        <v>141</v>
      </c>
      <c r="J33" s="43"/>
    </row>
    <row r="34" spans="2:10" x14ac:dyDescent="0.2">
      <c r="B34" s="23"/>
      <c r="C34" s="24" t="s">
        <v>17</v>
      </c>
      <c r="D34" s="30" t="s">
        <v>142</v>
      </c>
      <c r="E34" s="43"/>
      <c r="F34" s="50"/>
      <c r="G34" s="23"/>
      <c r="H34" s="24" t="s">
        <v>17</v>
      </c>
      <c r="I34" s="30" t="s">
        <v>142</v>
      </c>
      <c r="J34" s="43"/>
    </row>
    <row r="35" spans="2:10" x14ac:dyDescent="0.2">
      <c r="B35" s="23"/>
      <c r="C35" s="31"/>
      <c r="D35" s="31"/>
      <c r="E35" s="43"/>
      <c r="F35" s="50"/>
      <c r="G35" s="23"/>
      <c r="H35" s="31"/>
      <c r="I35" s="31"/>
      <c r="J35" s="43"/>
    </row>
    <row r="36" spans="2:10" x14ac:dyDescent="0.2">
      <c r="B36" s="23"/>
      <c r="C36" s="32">
        <f>_xll.qlTermStructureReferenceDate(YieldCurve_6M)</f>
        <v>42275</v>
      </c>
      <c r="D36" s="33">
        <f>_xll.qlYieldTSDiscount(YieldCurve_6M,C36,,Trigger)</f>
        <v>1</v>
      </c>
      <c r="E36" s="43"/>
      <c r="F36" s="50"/>
      <c r="G36" s="23"/>
      <c r="H36" s="32">
        <f>_xll.qlTermStructureReferenceDate(YieldCurve_1M)</f>
        <v>42275</v>
      </c>
      <c r="I36" s="33">
        <f>_xll.qlYieldTSDiscount(YieldCurve_1M,H36,,Trigger)</f>
        <v>1</v>
      </c>
      <c r="J36" s="43"/>
    </row>
    <row r="37" spans="2:10" x14ac:dyDescent="0.2">
      <c r="B37" s="23"/>
      <c r="C37" s="34">
        <f>_xll.qlTermStructureMaxDate(YieldCurve_6M,Trigger)</f>
        <v>64199</v>
      </c>
      <c r="D37" s="35">
        <f>_xll.qlYieldTSDiscount(YieldCurve_6M,C37,,Trigger)</f>
        <v>0.29883787430511172</v>
      </c>
      <c r="E37" s="43"/>
      <c r="F37" s="50"/>
      <c r="G37" s="23"/>
      <c r="H37" s="34">
        <f>_xll.qlTermStructureMaxDate(YieldCurve_1M,Trigger)</f>
        <v>64199</v>
      </c>
      <c r="I37" s="35">
        <f>_xll.qlYieldTSDiscount(YieldCurve_1M,H37,,Trigger)</f>
        <v>0.31335640894310413</v>
      </c>
      <c r="J37" s="43"/>
    </row>
    <row r="38" spans="2:10" x14ac:dyDescent="0.2">
      <c r="B38" s="23"/>
      <c r="C38" s="34" t="str">
        <f>[1]GBPLibor!$D$9</f>
        <v>GBP6M#0000</v>
      </c>
      <c r="D38" s="35" t="b">
        <f>_xll.qlRelinkableHandleLinkTo(C38,D28,Trigger)</f>
        <v>1</v>
      </c>
      <c r="E38" s="43"/>
      <c r="F38" s="50"/>
      <c r="G38" s="23"/>
      <c r="H38" s="34" t="str">
        <f>[1]GBPLibor!$D$6</f>
        <v>GBP1M#0000</v>
      </c>
      <c r="I38" s="35" t="b">
        <f>_xll.qlRelinkableHandleLinkTo(H38,I28,Trigger)</f>
        <v>1</v>
      </c>
      <c r="J38" s="43"/>
    </row>
    <row r="39" spans="2:10" x14ac:dyDescent="0.2">
      <c r="B39" s="23"/>
      <c r="C39" s="36" t="s">
        <v>121</v>
      </c>
      <c r="D39" s="37" t="b">
        <v>0</v>
      </c>
      <c r="E39" s="43"/>
      <c r="F39" s="50"/>
      <c r="G39" s="23"/>
      <c r="H39" s="36" t="s">
        <v>121</v>
      </c>
      <c r="I39" s="37" t="b">
        <v>0</v>
      </c>
      <c r="J39" s="43"/>
    </row>
    <row r="40" spans="2:10" x14ac:dyDescent="0.2">
      <c r="B40" s="45"/>
      <c r="C40" s="46"/>
      <c r="D40" s="46"/>
      <c r="E40" s="47"/>
      <c r="F40" s="50"/>
      <c r="G40" s="45"/>
      <c r="H40" s="46"/>
      <c r="I40" s="46"/>
      <c r="J40" s="47"/>
    </row>
    <row r="41" spans="2:10" x14ac:dyDescent="0.2">
      <c r="F41" s="50"/>
    </row>
    <row r="42" spans="2:10" x14ac:dyDescent="0.2">
      <c r="B42" s="38"/>
      <c r="C42" s="39"/>
      <c r="D42" s="39"/>
      <c r="E42" s="40"/>
      <c r="F42" s="50"/>
    </row>
    <row r="43" spans="2:10" x14ac:dyDescent="0.2">
      <c r="B43" s="23"/>
      <c r="C43" s="22" t="s">
        <v>10</v>
      </c>
      <c r="D43" s="42" t="str">
        <f>_xll.qlPiecewiseYieldCurve(D45,D46,Calendar,_xll.ohPack(RateHelpers1Y),,,,D47,D48,D49,Permanent,,ObjectOverwrite)</f>
        <v>_GBP1Y#0002</v>
      </c>
      <c r="E43" s="43"/>
      <c r="F43" s="50"/>
    </row>
    <row r="44" spans="2:10" x14ac:dyDescent="0.2">
      <c r="B44" s="23"/>
      <c r="C44" s="24" t="s">
        <v>11</v>
      </c>
      <c r="D44" s="44" t="str">
        <f>_xll.ohRangeRetrieveError(YieldCurve_1Y)</f>
        <v/>
      </c>
      <c r="E44" s="43"/>
    </row>
    <row r="45" spans="2:10" x14ac:dyDescent="0.2">
      <c r="B45" s="23"/>
      <c r="C45" s="22" t="s">
        <v>12</v>
      </c>
      <c r="D45" s="25" t="str">
        <f>"_"&amp;Currency&amp;"1Y"</f>
        <v>_GBP1Y</v>
      </c>
      <c r="E45" s="43"/>
    </row>
    <row r="46" spans="2:10" x14ac:dyDescent="0.2">
      <c r="B46" s="23"/>
      <c r="C46" s="26" t="s">
        <v>13</v>
      </c>
      <c r="D46" s="27">
        <v>0</v>
      </c>
      <c r="E46" s="43"/>
    </row>
    <row r="47" spans="2:10" x14ac:dyDescent="0.2">
      <c r="B47" s="23"/>
      <c r="C47" s="26" t="s">
        <v>15</v>
      </c>
      <c r="D47" s="28"/>
      <c r="E47" s="43"/>
    </row>
    <row r="48" spans="2:10" x14ac:dyDescent="0.2">
      <c r="B48" s="23"/>
      <c r="C48" s="26" t="s">
        <v>16</v>
      </c>
      <c r="D48" s="29" t="s">
        <v>141</v>
      </c>
      <c r="E48" s="43"/>
    </row>
    <row r="49" spans="2:5" x14ac:dyDescent="0.2">
      <c r="B49" s="23"/>
      <c r="C49" s="24" t="s">
        <v>17</v>
      </c>
      <c r="D49" s="30" t="s">
        <v>142</v>
      </c>
      <c r="E49" s="43"/>
    </row>
    <row r="50" spans="2:5" x14ac:dyDescent="0.2">
      <c r="B50" s="23"/>
      <c r="C50" s="31"/>
      <c r="D50" s="31"/>
      <c r="E50" s="43"/>
    </row>
    <row r="51" spans="2:5" x14ac:dyDescent="0.2">
      <c r="B51" s="23"/>
      <c r="C51" s="32">
        <f>_xll.qlTermStructureReferenceDate(YieldCurve_1Y)</f>
        <v>42275</v>
      </c>
      <c r="D51" s="33">
        <f>_xll.qlYieldTSDiscount(YieldCurve_1Y,C51,,Trigger)</f>
        <v>1</v>
      </c>
      <c r="E51" s="43"/>
    </row>
    <row r="52" spans="2:5" x14ac:dyDescent="0.2">
      <c r="B52" s="23"/>
      <c r="C52" s="34">
        <f>_xll.qlTermStructureMaxDate(YieldCurve_1Y,Trigger)</f>
        <v>64199</v>
      </c>
      <c r="D52" s="35">
        <f>_xll.qlYieldTSDiscount(YieldCurve_1Y,C52,,Trigger)</f>
        <v>0.27240684014942612</v>
      </c>
      <c r="E52" s="43"/>
    </row>
    <row r="53" spans="2:5" x14ac:dyDescent="0.2">
      <c r="B53" s="23"/>
      <c r="C53" s="34" t="str">
        <f>[1]GBPLibor!$D$10</f>
        <v>GBP1Y#0000</v>
      </c>
      <c r="D53" s="35" t="b">
        <f>_xll.qlRelinkableHandleLinkTo(C53,D43,Trigger)</f>
        <v>1</v>
      </c>
      <c r="E53" s="43"/>
    </row>
    <row r="54" spans="2:5" x14ac:dyDescent="0.2">
      <c r="B54" s="23"/>
      <c r="C54" s="36" t="s">
        <v>121</v>
      </c>
      <c r="D54" s="37" t="b">
        <v>0</v>
      </c>
      <c r="E54" s="43"/>
    </row>
    <row r="55" spans="2:5" x14ac:dyDescent="0.2">
      <c r="B55" s="45"/>
      <c r="C55" s="46"/>
      <c r="D55" s="46"/>
      <c r="E55" s="47"/>
    </row>
  </sheetData>
  <dataValidations count="5">
    <dataValidation type="list" allowBlank="1" showInputMessage="1" showErrorMessage="1" sqref="D33 D18 I18 I33 D48">
      <formula1>"Discount,ZeroYield,ForwardRate"</formula1>
    </dataValidation>
    <dataValidation type="list" allowBlank="1" showInputMessage="1" showErrorMessage="1" sqref="D34 D19 I19 I34 D49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8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H80"/>
  <sheetViews>
    <sheetView showGridLines="0" topLeftCell="G1" zoomScaleNormal="100" workbookViewId="0">
      <selection activeCell="Y1" sqref="Y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11" style="53" hidden="1" customWidth="1" outlineLevel="1"/>
    <col min="4" max="4" width="12" style="55" hidden="1" customWidth="1" outlineLevel="1"/>
    <col min="5" max="5" width="21.42578125" style="49" hidden="1" customWidth="1" outlineLevel="1"/>
    <col min="6" max="6" width="15.140625" style="49" hidden="1" customWidth="1" outlineLevel="1"/>
    <col min="7" max="7" width="2.7109375" style="49" customWidth="1" collapsed="1"/>
    <col min="8" max="8" width="6" style="49" hidden="1" customWidth="1" outlineLevel="1"/>
    <col min="9" max="9" width="15.140625" style="104" hidden="1" customWidth="1" outlineLevel="1"/>
    <col min="10" max="10" width="21.42578125" style="104" hidden="1" customWidth="1" outlineLevel="1"/>
    <col min="11" max="11" width="12" style="104" hidden="1" customWidth="1" outlineLevel="1"/>
    <col min="12" max="12" width="7.85546875" style="104" hidden="1" customWidth="1" outlineLevel="1"/>
    <col min="13" max="13" width="9" style="104" hidden="1" customWidth="1" outlineLevel="1"/>
    <col min="14" max="14" width="5.85546875" style="104" hidden="1" customWidth="1" outlineLevel="1"/>
    <col min="15" max="16" width="10.7109375" style="104" hidden="1" customWidth="1" outlineLevel="1"/>
    <col min="17" max="17" width="2.7109375" style="51" hidden="1" customWidth="1" outlineLevel="1"/>
    <col min="18" max="18" width="6" style="49" customWidth="1" collapsed="1"/>
    <col min="19" max="19" width="10.140625" style="49" hidden="1" customWidth="1" outlineLevel="1"/>
    <col min="20" max="20" width="24.7109375" style="49" customWidth="1" collapsed="1"/>
    <col min="21" max="22" width="9.7109375" style="49" customWidth="1"/>
    <col min="23" max="24" width="17.28515625" style="49" bestFit="1" customWidth="1"/>
    <col min="25" max="25" width="12" style="49" bestFit="1" customWidth="1"/>
    <col min="26" max="26" width="2.7109375" style="49" customWidth="1"/>
    <col min="27" max="27" width="3" style="49" bestFit="1" customWidth="1"/>
    <col min="28" max="28" width="24.42578125" style="49" bestFit="1" customWidth="1"/>
    <col min="29" max="29" width="24.42578125" style="49" hidden="1" customWidth="1" outlineLevel="1"/>
    <col min="30" max="30" width="7" style="49" hidden="1" customWidth="1" outlineLevel="1"/>
    <col min="31" max="31" width="11.7109375" style="49" hidden="1" customWidth="1" outlineLevel="1"/>
    <col min="32" max="32" width="9" style="49" bestFit="1" customWidth="1" collapsed="1"/>
    <col min="33" max="33" width="10" style="49" bestFit="1" customWidth="1"/>
    <col min="34" max="35" width="24.42578125" style="49" bestFit="1" customWidth="1"/>
    <col min="36" max="36" width="10" style="49" bestFit="1" customWidth="1"/>
    <col min="37" max="37" width="24.42578125" style="49" bestFit="1" customWidth="1"/>
    <col min="38" max="16384" width="9.140625" style="49"/>
  </cols>
  <sheetData>
    <row r="1" spans="1:34" ht="18" customHeight="1" x14ac:dyDescent="0.2">
      <c r="D1" s="53" t="s">
        <v>143</v>
      </c>
      <c r="H1" s="70" t="s">
        <v>25</v>
      </c>
      <c r="I1" s="107"/>
      <c r="J1" s="107"/>
      <c r="K1" s="107"/>
      <c r="L1" s="107"/>
      <c r="M1" s="107"/>
      <c r="N1" s="107"/>
      <c r="O1" s="107"/>
      <c r="P1" s="97"/>
      <c r="Q1" s="94"/>
      <c r="R1" s="78" t="str">
        <f>Currency&amp;"OIS"</f>
        <v>GBPOIS</v>
      </c>
      <c r="S1" s="69"/>
      <c r="T1" s="69"/>
      <c r="U1" s="72"/>
      <c r="V1" s="72"/>
      <c r="W1" s="69"/>
      <c r="X1" s="69"/>
      <c r="Y1" s="76" t="s">
        <v>141</v>
      </c>
    </row>
    <row r="2" spans="1:34" ht="21.75" customHeight="1" x14ac:dyDescent="0.2">
      <c r="A2" s="68" t="s">
        <v>9</v>
      </c>
      <c r="B2" s="68" t="s">
        <v>30</v>
      </c>
      <c r="C2" s="68" t="s">
        <v>77</v>
      </c>
      <c r="D2" s="68" t="s">
        <v>4</v>
      </c>
      <c r="E2" s="68" t="s">
        <v>1</v>
      </c>
      <c r="F2" s="68" t="s">
        <v>25</v>
      </c>
      <c r="H2" s="77" t="s">
        <v>9</v>
      </c>
      <c r="I2" s="77" t="s">
        <v>25</v>
      </c>
      <c r="J2" s="77" t="s">
        <v>81</v>
      </c>
      <c r="K2" s="77" t="s">
        <v>84</v>
      </c>
      <c r="L2" s="77" t="s">
        <v>82</v>
      </c>
      <c r="M2" s="77" t="s">
        <v>83</v>
      </c>
      <c r="N2" s="77" t="s">
        <v>85</v>
      </c>
      <c r="O2" s="77" t="s">
        <v>23</v>
      </c>
      <c r="P2" s="77" t="s">
        <v>78</v>
      </c>
      <c r="Q2" s="94"/>
      <c r="R2" s="77" t="s">
        <v>9</v>
      </c>
      <c r="S2" s="77" t="s">
        <v>25</v>
      </c>
      <c r="T2" s="77" t="s">
        <v>81</v>
      </c>
      <c r="U2" s="79" t="s">
        <v>24</v>
      </c>
      <c r="V2" s="79" t="s">
        <v>86</v>
      </c>
      <c r="W2" s="77" t="s">
        <v>23</v>
      </c>
      <c r="X2" s="77" t="s">
        <v>78</v>
      </c>
      <c r="Y2" s="240">
        <f t="array" ref="Y2:Y41">_xll.qlPiecewiseYieldCurveData(YieldCurve_ON,Trigger)</f>
        <v>1</v>
      </c>
      <c r="AB2" s="214" t="s">
        <v>87</v>
      </c>
      <c r="AC2" s="215"/>
      <c r="AD2" s="215"/>
      <c r="AE2" s="215"/>
      <c r="AF2" s="216"/>
    </row>
    <row r="3" spans="1:34" ht="11.25" customHeight="1" x14ac:dyDescent="0.2">
      <c r="A3" s="224" t="s">
        <v>27</v>
      </c>
      <c r="B3" s="225" t="s">
        <v>37</v>
      </c>
      <c r="C3" s="226" t="s">
        <v>6</v>
      </c>
      <c r="D3" s="227" t="str">
        <f>$D$1</f>
        <v>Sonia</v>
      </c>
      <c r="E3" s="228" t="str">
        <f>Currency&amp;$B3&amp;"D"&amp;QuoteSuffix</f>
        <v>GBPOND_Quote</v>
      </c>
      <c r="F3" s="229" t="str">
        <f>_xll.qlDepositRateHelper(,E3,D3,Permanent,Trigger,ObjectOverwrite)</f>
        <v>obj_0032d#0001</v>
      </c>
      <c r="G3" s="52"/>
      <c r="H3" s="10" t="str">
        <f>A3</f>
        <v>Dp</v>
      </c>
      <c r="I3" s="95" t="str">
        <f>IF(ISBLANK(F3),"--",F3)</f>
        <v>obj_0032d#0001</v>
      </c>
      <c r="J3" s="149" t="str">
        <f>IFERROR(_xll.qlRateHelperQuoteName(I3,Trigger),"--")</f>
        <v>GBPOND_Quote</v>
      </c>
      <c r="K3" s="99">
        <f>IFERROR(_xll.qlRateHelperQuoteValue($I3,Trigger),"--")</f>
        <v>4.8124999999999999E-3</v>
      </c>
      <c r="L3" s="98" t="b">
        <v>1</v>
      </c>
      <c r="M3" s="95">
        <v>70</v>
      </c>
      <c r="N3" s="95">
        <v>1</v>
      </c>
      <c r="O3" s="100">
        <f>IFERROR(_xll.qlRateHelperEarliestDate(I3,Trigger),"--")</f>
        <v>42275</v>
      </c>
      <c r="P3" s="100">
        <f>IFERROR(_xll.qlRateHelperPillarDate(I3,Trigger),"--")</f>
        <v>42276</v>
      </c>
      <c r="R3" s="4" t="str">
        <f t="shared" ref="R3:R41" si="0">IFERROR(INDEX($H$3:$H$41,MATCH(T3,$J$3:$J$41,0),1),"")</f>
        <v>Dp</v>
      </c>
      <c r="S3" s="4" t="str">
        <f t="array" ref="S3:S41">_xll.qlRateHelperSelection(_xll.ohFilter(RateHelpers,IncludeFlag),_xll.ohFilter(Priority,IncludeFlag),AF3,AF4,AF5,AF6,_xll.ohFilter(MinDistance,IncludeFlag),Trigger)</f>
        <v>obj_0032d</v>
      </c>
      <c r="T3" s="4" t="str">
        <f>IFERROR(_xll.qlRateHelperQuoteName(S3,Trigger),"")</f>
        <v>GBPOND_Quote</v>
      </c>
      <c r="U3" s="73">
        <f>IFERROR(_xll.qlRateHelperRate(S3,Trigger),"")</f>
        <v>4.8124999999999999E-3</v>
      </c>
      <c r="V3" s="105" t="str">
        <f>IF(ISERROR(_xll.qlSwapRateHelperSpread($S3)),IF(ISERROR(_xll.qlFuturesRateHelperConvexityAdjustment($S3)),"",_xll.qlFuturesRateHelperConvexityAdjustment($S3)),_xll.qlSwapRateHelperSpread($S3))</f>
        <v/>
      </c>
      <c r="W3" s="5">
        <f>IFERROR(_xll.qlRateHelperEarliestDate(S3,Trigger),"")</f>
        <v>42275</v>
      </c>
      <c r="X3" s="5">
        <f>IFERROR(_xll.qlRateHelperPillarDate(S3,Trigger),"")</f>
        <v>42276</v>
      </c>
      <c r="Y3" s="241">
        <v>0.99998681524233324</v>
      </c>
      <c r="AB3" s="108" t="s">
        <v>88</v>
      </c>
      <c r="AF3" s="218">
        <v>0</v>
      </c>
    </row>
    <row r="4" spans="1:34" ht="11.25" customHeight="1" x14ac:dyDescent="0.2">
      <c r="A4" s="62" t="s">
        <v>27</v>
      </c>
      <c r="B4" s="63" t="s">
        <v>73</v>
      </c>
      <c r="C4" s="65" t="s">
        <v>75</v>
      </c>
      <c r="D4" s="64" t="str">
        <f t="shared" ref="D4:D5" si="1">$D$1</f>
        <v>Sonia</v>
      </c>
      <c r="E4" s="66" t="str">
        <f>Currency&amp;$B4&amp;"D"&amp;QuoteSuffix</f>
        <v>GBPTND_Quote</v>
      </c>
      <c r="F4" s="67"/>
      <c r="G4" s="51"/>
      <c r="H4" s="10" t="str">
        <f>A4</f>
        <v>Dp</v>
      </c>
      <c r="I4" s="95" t="str">
        <f t="shared" ref="I4:I5" si="2">IF(ISBLANK(F4),"--",F4)</f>
        <v>--</v>
      </c>
      <c r="J4" s="149" t="str">
        <f>IFERROR(_xll.qlRateHelperQuoteName(I4,Trigger),"--")</f>
        <v>--</v>
      </c>
      <c r="K4" s="99" t="str">
        <f>IFERROR(_xll.qlRateHelperQuoteValue($I4,Trigger),"--")</f>
        <v>--</v>
      </c>
      <c r="L4" s="98" t="b">
        <v>0</v>
      </c>
      <c r="M4" s="95">
        <v>70</v>
      </c>
      <c r="N4" s="95">
        <v>1</v>
      </c>
      <c r="O4" s="100" t="str">
        <f>IFERROR(_xll.qlRateHelperEarliestDate(I4,Trigger),"--")</f>
        <v>--</v>
      </c>
      <c r="P4" s="100" t="str">
        <f>IFERROR(_xll.qlRateHelperPillarDate(I4,Trigger),"--")</f>
        <v>--</v>
      </c>
      <c r="R4" s="4" t="str">
        <f t="shared" si="0"/>
        <v>OIS</v>
      </c>
      <c r="S4" s="4" t="str">
        <v>obj_0033a</v>
      </c>
      <c r="T4" s="4" t="str">
        <f>IFERROR(_xll.qlRateHelperQuoteName(S4,Trigger),"")</f>
        <v>GBPSWOIS_Quote</v>
      </c>
      <c r="U4" s="73">
        <f>IFERROR(_xll.qlRateHelperRate(S4,Trigger),"")</f>
        <v>4.5874999999999996E-3</v>
      </c>
      <c r="V4" s="105" t="str">
        <f>IF(ISERROR(_xll.qlSwapRateHelperSpread($S4)),IF(ISERROR(_xll.qlFuturesRateHelperConvexityAdjustment($S4)),"",_xll.qlFuturesRateHelperConvexityAdjustment($S4)),_xll.qlSwapRateHelperSpread($S4))</f>
        <v/>
      </c>
      <c r="W4" s="5">
        <f>IFERROR(_xll.qlRateHelperEarliestDate(S4,Trigger),"")</f>
        <v>42275</v>
      </c>
      <c r="X4" s="5">
        <f>IFERROR(_xll.qlRateHelperPillarDate(S4,Trigger),"")</f>
        <v>42282</v>
      </c>
      <c r="Y4" s="241">
        <v>0.99991202828745829</v>
      </c>
      <c r="AB4" s="108" t="s">
        <v>89</v>
      </c>
      <c r="AF4" s="109">
        <v>0</v>
      </c>
    </row>
    <row r="5" spans="1:34" ht="11.25" customHeight="1" x14ac:dyDescent="0.2">
      <c r="A5" s="1" t="s">
        <v>27</v>
      </c>
      <c r="B5" s="8" t="s">
        <v>74</v>
      </c>
      <c r="C5" s="9" t="s">
        <v>76</v>
      </c>
      <c r="D5" s="7" t="str">
        <f t="shared" si="1"/>
        <v>Sonia</v>
      </c>
      <c r="E5" s="2" t="str">
        <f>Currency&amp;$B5&amp;"D"&amp;QuoteSuffix</f>
        <v>GBPSND_Quote</v>
      </c>
      <c r="F5" s="3"/>
      <c r="G5" s="51"/>
      <c r="H5" s="11" t="str">
        <f>A5</f>
        <v>Dp</v>
      </c>
      <c r="I5" s="96" t="str">
        <f t="shared" si="2"/>
        <v>--</v>
      </c>
      <c r="J5" s="150" t="str">
        <f>IFERROR(_xll.qlRateHelperQuoteName(I5,Trigger),"--")</f>
        <v>--</v>
      </c>
      <c r="K5" s="102" t="str">
        <f>IFERROR(_xll.qlRateHelperQuoteValue($I5,Trigger),"--")</f>
        <v>--</v>
      </c>
      <c r="L5" s="101" t="b">
        <v>0</v>
      </c>
      <c r="M5" s="96">
        <v>70</v>
      </c>
      <c r="N5" s="96">
        <v>1</v>
      </c>
      <c r="O5" s="103" t="str">
        <f>IFERROR(_xll.qlRateHelperEarliestDate(I5,Trigger),"--")</f>
        <v>--</v>
      </c>
      <c r="P5" s="103" t="str">
        <f>IFERROR(_xll.qlRateHelperPillarDate(I5,Trigger),"--")</f>
        <v>--</v>
      </c>
      <c r="R5" s="4" t="str">
        <f t="shared" si="0"/>
        <v>OIS</v>
      </c>
      <c r="S5" s="4" t="str">
        <v>obj_002fc</v>
      </c>
      <c r="T5" s="4" t="str">
        <f>IFERROR(_xll.qlRateHelperQuoteName(S5,Trigger),"")</f>
        <v>GBP2WOIS_Quote</v>
      </c>
      <c r="U5" s="73">
        <f>IFERROR(_xll.qlRateHelperRate(S5,Trigger),"")</f>
        <v>4.5999999999999999E-3</v>
      </c>
      <c r="V5" s="105" t="str">
        <f>IF(ISERROR(_xll.qlSwapRateHelperSpread($S5)),IF(ISERROR(_xll.qlFuturesRateHelperConvexityAdjustment($S5)),"",_xll.qlFuturesRateHelperConvexityAdjustment($S5)),_xll.qlSwapRateHelperSpread($S5))</f>
        <v/>
      </c>
      <c r="W5" s="5">
        <f>IFERROR(_xll.qlRateHelperEarliestDate(S5,Trigger),"")</f>
        <v>42275</v>
      </c>
      <c r="X5" s="5">
        <f>IFERROR(_xll.qlRateHelperPillarDate(S5,Trigger),"")</f>
        <v>42289</v>
      </c>
      <c r="Y5" s="241">
        <v>0.99982359276883737</v>
      </c>
      <c r="Z5" s="81"/>
      <c r="AA5" s="81"/>
      <c r="AB5" s="108" t="s">
        <v>90</v>
      </c>
      <c r="AF5" s="109">
        <v>0</v>
      </c>
    </row>
    <row r="6" spans="1:34" ht="11.25" customHeight="1" x14ac:dyDescent="0.2">
      <c r="D6" s="53" t="s">
        <v>70</v>
      </c>
      <c r="G6" s="51"/>
      <c r="H6" s="10" t="str">
        <f t="shared" ref="H6:H41" si="3">A8</f>
        <v>OIS</v>
      </c>
      <c r="I6" s="95" t="str">
        <f t="shared" ref="I6:I41" si="4">IF(ISBLANK(F8),"--",F8)</f>
        <v>obj_0033a#0001</v>
      </c>
      <c r="J6" s="149" t="str">
        <f>IFERROR(_xll.qlRateHelperQuoteName(I6,Trigger),"--")</f>
        <v>GBPSWOIS_Quote</v>
      </c>
      <c r="K6" s="99">
        <f>IFERROR(_xll.qlRateHelperQuoteValue($I6,Trigger),"--")</f>
        <v>4.5874999999999996E-3</v>
      </c>
      <c r="L6" s="98" t="b">
        <v>1</v>
      </c>
      <c r="M6" s="95">
        <v>50</v>
      </c>
      <c r="N6" s="95">
        <v>1</v>
      </c>
      <c r="O6" s="100">
        <f>IFERROR(_xll.qlRateHelperEarliestDate(I6,Trigger),"--")</f>
        <v>42275</v>
      </c>
      <c r="P6" s="100">
        <f>IFERROR(_xll.qlRateHelperPillarDate(I6,Trigger),"--")</f>
        <v>42282</v>
      </c>
      <c r="R6" s="4" t="str">
        <f t="shared" si="0"/>
        <v>OIS</v>
      </c>
      <c r="S6" s="4" t="str">
        <v>obj_00307</v>
      </c>
      <c r="T6" s="4" t="str">
        <f>IFERROR(_xll.qlRateHelperQuoteName(S6,Trigger),"")</f>
        <v>GBP1MOIS_Quote</v>
      </c>
      <c r="U6" s="73">
        <f>IFERROR(_xll.qlRateHelperRate(S6,Trigger),"")</f>
        <v>4.6125000000000003E-3</v>
      </c>
      <c r="V6" s="105" t="str">
        <f>IF(ISERROR(_xll.qlSwapRateHelperSpread($S6)),IF(ISERROR(_xll.qlFuturesRateHelperConvexityAdjustment($S6)),"",_xll.qlFuturesRateHelperConvexityAdjustment($S6)),_xll.qlSwapRateHelperSpread($S6))</f>
        <v/>
      </c>
      <c r="W6" s="5">
        <f>IFERROR(_xll.qlRateHelperEarliestDate(S6,Trigger),"")</f>
        <v>42275</v>
      </c>
      <c r="X6" s="5">
        <f>IFERROR(_xll.qlRateHelperPillarDate(S6,Trigger),"")</f>
        <v>42305</v>
      </c>
      <c r="Y6" s="241">
        <v>0.99962103408057101</v>
      </c>
      <c r="AB6" s="108" t="s">
        <v>91</v>
      </c>
      <c r="AF6" s="110" t="s">
        <v>92</v>
      </c>
    </row>
    <row r="7" spans="1:34" ht="11.25" customHeight="1" x14ac:dyDescent="0.2">
      <c r="A7" s="68" t="s">
        <v>9</v>
      </c>
      <c r="B7" s="68" t="s">
        <v>30</v>
      </c>
      <c r="C7" s="68" t="s">
        <v>80</v>
      </c>
      <c r="D7" s="68" t="s">
        <v>4</v>
      </c>
      <c r="E7" s="68" t="s">
        <v>1</v>
      </c>
      <c r="F7" s="68" t="s">
        <v>25</v>
      </c>
      <c r="G7" s="51"/>
      <c r="H7" s="10" t="str">
        <f t="shared" si="3"/>
        <v>OIS</v>
      </c>
      <c r="I7" s="95" t="str">
        <f t="shared" si="4"/>
        <v>obj_002fc#0001</v>
      </c>
      <c r="J7" s="149" t="str">
        <f>IFERROR(_xll.qlRateHelperQuoteName(I7,Trigger),"--")</f>
        <v>GBP2WOIS_Quote</v>
      </c>
      <c r="K7" s="99">
        <f>IFERROR(_xll.qlRateHelperQuoteValue($I7,Trigger),"--")</f>
        <v>4.5999999999999999E-3</v>
      </c>
      <c r="L7" s="98" t="b">
        <v>1</v>
      </c>
      <c r="M7" s="95">
        <v>50</v>
      </c>
      <c r="N7" s="95">
        <v>1</v>
      </c>
      <c r="O7" s="100">
        <f>IFERROR(_xll.qlRateHelperEarliestDate(I7,Trigger),"--")</f>
        <v>42275</v>
      </c>
      <c r="P7" s="100">
        <f>IFERROR(_xll.qlRateHelperPillarDate(I7,Trigger),"--")</f>
        <v>42289</v>
      </c>
      <c r="R7" s="4" t="str">
        <f t="shared" si="0"/>
        <v>OIS</v>
      </c>
      <c r="S7" s="4" t="str">
        <v>obj_00311</v>
      </c>
      <c r="T7" s="4" t="str">
        <f>IFERROR(_xll.qlRateHelperQuoteName(S7,Trigger),"")</f>
        <v>GBP2MOIS_Quote</v>
      </c>
      <c r="U7" s="73">
        <f>IFERROR(_xll.qlRateHelperRate(S7,Trigger),"")</f>
        <v>4.6375000000000001E-3</v>
      </c>
      <c r="V7" s="105" t="str">
        <f>IF(ISERROR(_xll.qlSwapRateHelperSpread($S7)),IF(ISERROR(_xll.qlFuturesRateHelperConvexityAdjustment($S7)),"",_xll.qlFuturesRateHelperConvexityAdjustment($S7)),_xll.qlSwapRateHelperSpread($S7))</f>
        <v/>
      </c>
      <c r="W7" s="5">
        <f>IFERROR(_xll.qlRateHelperEarliestDate(S7,Trigger),"")</f>
        <v>42275</v>
      </c>
      <c r="X7" s="5">
        <f>IFERROR(_xll.qlRateHelperPillarDate(S7,Trigger),"")</f>
        <v>42338</v>
      </c>
      <c r="Y7" s="241">
        <v>0.99920019499447532</v>
      </c>
    </row>
    <row r="8" spans="1:34" ht="11.25" customHeight="1" x14ac:dyDescent="0.2">
      <c r="A8" s="56" t="s">
        <v>70</v>
      </c>
      <c r="B8" s="57" t="s">
        <v>38</v>
      </c>
      <c r="C8" s="58">
        <v>0</v>
      </c>
      <c r="D8" s="65" t="str">
        <f>$D$1</f>
        <v>Sonia</v>
      </c>
      <c r="E8" s="60" t="str">
        <f t="shared" ref="E8:E43" si="5">Currency&amp;IF($B8="1W","SW",$B8)&amp;$D$6&amp;QuoteSuffix</f>
        <v>GBPSWOIS_Quote</v>
      </c>
      <c r="F8" s="61" t="str">
        <f>_xll.qlOISRateHelper(,C8,B8,E8,$D8,,Permanent,Trigger,ObjectOverwrite)</f>
        <v>obj_0033a#0001</v>
      </c>
      <c r="G8" s="51"/>
      <c r="H8" s="10" t="str">
        <f t="shared" si="3"/>
        <v>OIS</v>
      </c>
      <c r="I8" s="95" t="str">
        <f t="shared" si="4"/>
        <v>--</v>
      </c>
      <c r="J8" s="149" t="str">
        <f>IFERROR(_xll.qlRateHelperQuoteName(I8,Trigger),"--")</f>
        <v>--</v>
      </c>
      <c r="K8" s="99" t="str">
        <f>IFERROR(_xll.qlRateHelperQuoteValue($I8,Trigger),"--")</f>
        <v>--</v>
      </c>
      <c r="L8" s="98" t="b">
        <v>0</v>
      </c>
      <c r="M8" s="95">
        <v>50</v>
      </c>
      <c r="N8" s="95">
        <v>1</v>
      </c>
      <c r="O8" s="100" t="str">
        <f>IFERROR(_xll.qlRateHelperEarliestDate(I8,Trigger),"--")</f>
        <v>--</v>
      </c>
      <c r="P8" s="100" t="str">
        <f>IFERROR(_xll.qlRateHelperPillarDate(I8,Trigger),"--")</f>
        <v>--</v>
      </c>
      <c r="R8" s="4" t="str">
        <f t="shared" si="0"/>
        <v>OIS</v>
      </c>
      <c r="S8" s="4" t="str">
        <v>obj_0030d</v>
      </c>
      <c r="T8" s="4" t="str">
        <f>IFERROR(_xll.qlRateHelperQuoteName(S8,Trigger),"")</f>
        <v>GBP3MOIS_Quote</v>
      </c>
      <c r="U8" s="73">
        <f>IFERROR(_xll.qlRateHelperRate(S8,Trigger),"")</f>
        <v>4.6625E-3</v>
      </c>
      <c r="V8" s="105" t="str">
        <f>IF(ISERROR(_xll.qlSwapRateHelperSpread($S8)),IF(ISERROR(_xll.qlFuturesRateHelperConvexityAdjustment($S8)),"",_xll.qlFuturesRateHelperConvexityAdjustment($S8)),_xll.qlSwapRateHelperSpread($S8))</f>
        <v/>
      </c>
      <c r="W8" s="5">
        <f>IFERROR(_xll.qlRateHelperEarliestDate(S8,Trigger),"")</f>
        <v>42275</v>
      </c>
      <c r="X8" s="5">
        <f>IFERROR(_xll.qlRateHelperPillarDate(S8,Trigger),"")</f>
        <v>42367</v>
      </c>
      <c r="Y8" s="241">
        <v>0.99882617400707319</v>
      </c>
    </row>
    <row r="9" spans="1:34" ht="11.25" customHeight="1" x14ac:dyDescent="0.2">
      <c r="A9" s="62" t="s">
        <v>70</v>
      </c>
      <c r="B9" s="63" t="s">
        <v>39</v>
      </c>
      <c r="C9" s="64">
        <v>0</v>
      </c>
      <c r="D9" s="65" t="str">
        <f t="shared" ref="D9:D43" si="6">$D$1</f>
        <v>Sonia</v>
      </c>
      <c r="E9" s="66" t="str">
        <f t="shared" si="5"/>
        <v>GBP2WOIS_Quote</v>
      </c>
      <c r="F9" s="67" t="str">
        <f>_xll.qlOISRateHelper(,C9,B9,E9,$D9,,Permanent,Trigger,ObjectOverwrite)</f>
        <v>obj_002fc#0001</v>
      </c>
      <c r="G9" s="51"/>
      <c r="H9" s="10" t="str">
        <f t="shared" si="3"/>
        <v>OIS</v>
      </c>
      <c r="I9" s="95" t="str">
        <f t="shared" si="4"/>
        <v>obj_00307#0001</v>
      </c>
      <c r="J9" s="149" t="str">
        <f>IFERROR(_xll.qlRateHelperQuoteName(I9,Trigger),"--")</f>
        <v>GBP1MOIS_Quote</v>
      </c>
      <c r="K9" s="99">
        <f>IFERROR(_xll.qlRateHelperQuoteValue($I9,Trigger),"--")</f>
        <v>4.6125000000000003E-3</v>
      </c>
      <c r="L9" s="98" t="b">
        <v>1</v>
      </c>
      <c r="M9" s="95">
        <v>50</v>
      </c>
      <c r="N9" s="95">
        <v>1</v>
      </c>
      <c r="O9" s="100">
        <f>IFERROR(_xll.qlRateHelperEarliestDate(I9,Trigger),"--")</f>
        <v>42275</v>
      </c>
      <c r="P9" s="100">
        <f>IFERROR(_xll.qlRateHelperPillarDate(I9,Trigger),"--")</f>
        <v>42305</v>
      </c>
      <c r="R9" s="4" t="str">
        <f t="shared" si="0"/>
        <v>OIS</v>
      </c>
      <c r="S9" s="4" t="str">
        <v>obj_002f9</v>
      </c>
      <c r="T9" s="4" t="str">
        <f>IFERROR(_xll.qlRateHelperQuoteName(S9,Trigger),"")</f>
        <v>GBP4MOIS_Quote</v>
      </c>
      <c r="U9" s="73">
        <f>IFERROR(_xll.qlRateHelperRate(S9,Trigger),"")</f>
        <v>4.6499999999999996E-3</v>
      </c>
      <c r="V9" s="105" t="str">
        <f>IF(ISERROR(_xll.qlSwapRateHelperSpread($S9)),IF(ISERROR(_xll.qlFuturesRateHelperConvexityAdjustment($S9)),"",_xll.qlFuturesRateHelperConvexityAdjustment($S9)),_xll.qlSwapRateHelperSpread($S9))</f>
        <v/>
      </c>
      <c r="W9" s="5">
        <f>IFERROR(_xll.qlRateHelperEarliestDate(S9,Trigger),"")</f>
        <v>42275</v>
      </c>
      <c r="X9" s="5">
        <f>IFERROR(_xll.qlRateHelperPillarDate(S9,Trigger),"")</f>
        <v>42397</v>
      </c>
      <c r="Y9" s="241">
        <v>0.99844816535833492</v>
      </c>
      <c r="AC9" s="49" t="s">
        <v>128</v>
      </c>
    </row>
    <row r="10" spans="1:34" ht="11.25" customHeight="1" x14ac:dyDescent="0.2">
      <c r="A10" s="62" t="s">
        <v>70</v>
      </c>
      <c r="B10" s="63" t="s">
        <v>40</v>
      </c>
      <c r="C10" s="64">
        <v>0</v>
      </c>
      <c r="D10" s="65" t="str">
        <f t="shared" si="6"/>
        <v>Sonia</v>
      </c>
      <c r="E10" s="66" t="str">
        <f t="shared" si="5"/>
        <v>GBP3WOIS_Quote</v>
      </c>
      <c r="F10" s="67"/>
      <c r="G10" s="51"/>
      <c r="H10" s="10" t="str">
        <f t="shared" si="3"/>
        <v>OIS</v>
      </c>
      <c r="I10" s="95" t="str">
        <f t="shared" si="4"/>
        <v>obj_00311#0001</v>
      </c>
      <c r="J10" s="149" t="str">
        <f>IFERROR(_xll.qlRateHelperQuoteName(I10,Trigger),"--")</f>
        <v>GBP2MOIS_Quote</v>
      </c>
      <c r="K10" s="99">
        <f>IFERROR(_xll.qlRateHelperQuoteValue($I10,Trigger),"--")</f>
        <v>4.6375000000000001E-3</v>
      </c>
      <c r="L10" s="98" t="b">
        <v>1</v>
      </c>
      <c r="M10" s="95">
        <v>50</v>
      </c>
      <c r="N10" s="95">
        <v>1</v>
      </c>
      <c r="O10" s="100">
        <f>IFERROR(_xll.qlRateHelperEarliestDate(I10,Trigger),"--")</f>
        <v>42275</v>
      </c>
      <c r="P10" s="100">
        <f>IFERROR(_xll.qlRateHelperPillarDate(I10,Trigger),"--")</f>
        <v>42338</v>
      </c>
      <c r="R10" s="4" t="str">
        <f t="shared" si="0"/>
        <v>OIS</v>
      </c>
      <c r="S10" s="4" t="str">
        <v>obj_002ff</v>
      </c>
      <c r="T10" s="4" t="str">
        <f>IFERROR(_xll.qlRateHelperQuoteName(S10,Trigger),"")</f>
        <v>GBP5MOIS_Quote</v>
      </c>
      <c r="U10" s="73">
        <f>IFERROR(_xll.qlRateHelperRate(S10,Trigger),"")</f>
        <v>4.7375000000000004E-3</v>
      </c>
      <c r="V10" s="105" t="str">
        <f>IF(ISERROR(_xll.qlSwapRateHelperSpread($S10)),IF(ISERROR(_xll.qlFuturesRateHelperConvexityAdjustment($S10)),"",_xll.qlFuturesRateHelperConvexityAdjustment($S10)),_xll.qlSwapRateHelperSpread($S10))</f>
        <v/>
      </c>
      <c r="W10" s="5">
        <f>IFERROR(_xll.qlRateHelperEarliestDate(S10,Trigger),"")</f>
        <v>42275</v>
      </c>
      <c r="X10" s="5">
        <f>IFERROR(_xll.qlRateHelperPillarDate(S10,Trigger),"")</f>
        <v>42429</v>
      </c>
      <c r="Y10" s="241">
        <v>0.99800515175727866</v>
      </c>
      <c r="AA10" s="77" t="s">
        <v>122</v>
      </c>
      <c r="AB10" s="77" t="s">
        <v>123</v>
      </c>
      <c r="AC10" s="77" t="s">
        <v>124</v>
      </c>
      <c r="AD10" s="77" t="s">
        <v>135</v>
      </c>
      <c r="AE10" s="77" t="s">
        <v>125</v>
      </c>
      <c r="AF10" s="77" t="s">
        <v>136</v>
      </c>
      <c r="AG10" s="77" t="s">
        <v>126</v>
      </c>
      <c r="AH10" s="77" t="s">
        <v>127</v>
      </c>
    </row>
    <row r="11" spans="1:34" ht="11.25" customHeight="1" x14ac:dyDescent="0.2">
      <c r="A11" s="62" t="s">
        <v>70</v>
      </c>
      <c r="B11" s="63" t="s">
        <v>2</v>
      </c>
      <c r="C11" s="64">
        <v>0</v>
      </c>
      <c r="D11" s="65" t="str">
        <f t="shared" si="6"/>
        <v>Sonia</v>
      </c>
      <c r="E11" s="66" t="str">
        <f t="shared" si="5"/>
        <v>GBP1MOIS_Quote</v>
      </c>
      <c r="F11" s="67" t="str">
        <f>_xll.qlOISRateHelper(,C11,B11,E11,$D11,,Permanent,Trigger,ObjectOverwrite)</f>
        <v>obj_00307#0001</v>
      </c>
      <c r="G11" s="51"/>
      <c r="H11" s="10" t="str">
        <f t="shared" si="3"/>
        <v>OIS</v>
      </c>
      <c r="I11" s="95" t="str">
        <f t="shared" si="4"/>
        <v>obj_0030d#0001</v>
      </c>
      <c r="J11" s="149" t="str">
        <f>IFERROR(_xll.qlRateHelperQuoteName(I11,Trigger),"--")</f>
        <v>GBP3MOIS_Quote</v>
      </c>
      <c r="K11" s="99">
        <f>IFERROR(_xll.qlRateHelperQuoteValue($I11,Trigger),"--")</f>
        <v>4.6625E-3</v>
      </c>
      <c r="L11" s="98" t="b">
        <v>1</v>
      </c>
      <c r="M11" s="95">
        <v>50</v>
      </c>
      <c r="N11" s="95">
        <v>1</v>
      </c>
      <c r="O11" s="100">
        <f>IFERROR(_xll.qlRateHelperEarliestDate(I11,Trigger),"--")</f>
        <v>42275</v>
      </c>
      <c r="P11" s="100">
        <f>IFERROR(_xll.qlRateHelperPillarDate(I11,Trigger),"--")</f>
        <v>42367</v>
      </c>
      <c r="R11" s="4" t="str">
        <f t="shared" si="0"/>
        <v>OIS</v>
      </c>
      <c r="S11" s="4" t="str">
        <v>obj_00313</v>
      </c>
      <c r="T11" s="4" t="str">
        <f>IFERROR(_xll.qlRateHelperQuoteName(S11,Trigger),"")</f>
        <v>GBP6MOIS_Quote</v>
      </c>
      <c r="U11" s="73">
        <f>IFERROR(_xll.qlRateHelperRate(S11,Trigger),"")</f>
        <v>4.7999999999999996E-3</v>
      </c>
      <c r="V11" s="105" t="str">
        <f>IF(ISERROR(_xll.qlSwapRateHelperSpread($S11)),IF(ISERROR(_xll.qlFuturesRateHelperConvexityAdjustment($S11)),"",_xll.qlFuturesRateHelperConvexityAdjustment($S11)),_xll.qlSwapRateHelperSpread($S11))</f>
        <v/>
      </c>
      <c r="W11" s="5">
        <f>IFERROR(_xll.qlRateHelperEarliestDate(S11,Trigger),"")</f>
        <v>42275</v>
      </c>
      <c r="X11" s="5">
        <f>IFERROR(_xll.qlRateHelperPillarDate(S11,Trigger),"")</f>
        <v>42458</v>
      </c>
      <c r="Y11" s="241">
        <v>0.99759920235794186</v>
      </c>
      <c r="AA11" s="160">
        <v>1</v>
      </c>
      <c r="AB11" s="161">
        <f>_xll.qlCalendarEndOfMonth(Calendar,Settlementdate,Trigger)</f>
        <v>42277</v>
      </c>
      <c r="AC11" s="160" t="str">
        <f t="shared" ref="AC11:AC23" si="7">Currency&amp;$AC$9&amp;AA11&amp;JumpSuffix&amp;QuoteSuffix</f>
        <v>GBPJump1_SYNTHON_Quote</v>
      </c>
      <c r="AD11" s="204">
        <f>_xll.qlDayCounterYearFraction("actual/360",AB11,_xll.qlCalendarAdvance(Calendar,AB11,"1D",,,Trigger))</f>
        <v>2.7777777777777779E-3</v>
      </c>
      <c r="AE11" s="162" t="e">
        <f>IF(_xll.qlQuoteIsValid(AC11,Trigger),_xll.qlQuoteValue(AC11,Trigger),1)</f>
        <v>#NUM!</v>
      </c>
      <c r="AF11" s="207" t="e">
        <f>-LN(AE11)/AD11</f>
        <v>#NUM!</v>
      </c>
      <c r="AG11" s="210"/>
      <c r="AH11" s="162" t="str">
        <f>IF(ISBLANK(AG11),AC11,EXP(-AG11*AD11))</f>
        <v>GBPJump1_SYNTHON_Quote</v>
      </c>
    </row>
    <row r="12" spans="1:34" ht="11.25" customHeight="1" x14ac:dyDescent="0.2">
      <c r="A12" s="62" t="s">
        <v>70</v>
      </c>
      <c r="B12" s="63" t="s">
        <v>41</v>
      </c>
      <c r="C12" s="64">
        <v>0</v>
      </c>
      <c r="D12" s="65" t="str">
        <f t="shared" si="6"/>
        <v>Sonia</v>
      </c>
      <c r="E12" s="66" t="str">
        <f t="shared" si="5"/>
        <v>GBP2MOIS_Quote</v>
      </c>
      <c r="F12" s="67" t="str">
        <f>_xll.qlOISRateHelper(,C12,B12,E12,$D12,,Permanent,Trigger,ObjectOverwrite)</f>
        <v>obj_00311#0001</v>
      </c>
      <c r="G12" s="51"/>
      <c r="H12" s="10" t="str">
        <f t="shared" si="3"/>
        <v>OIS</v>
      </c>
      <c r="I12" s="95" t="str">
        <f t="shared" si="4"/>
        <v>obj_002f9#0001</v>
      </c>
      <c r="J12" s="149" t="str">
        <f>IFERROR(_xll.qlRateHelperQuoteName(I12,Trigger),"--")</f>
        <v>GBP4MOIS_Quote</v>
      </c>
      <c r="K12" s="99">
        <f>IFERROR(_xll.qlRateHelperQuoteValue($I12,Trigger),"--")</f>
        <v>4.6499999999999996E-3</v>
      </c>
      <c r="L12" s="98" t="b">
        <v>1</v>
      </c>
      <c r="M12" s="95">
        <v>50</v>
      </c>
      <c r="N12" s="95">
        <v>1</v>
      </c>
      <c r="O12" s="100">
        <f>IFERROR(_xll.qlRateHelperEarliestDate(I12,Trigger),"--")</f>
        <v>42275</v>
      </c>
      <c r="P12" s="100">
        <f>IFERROR(_xll.qlRateHelperPillarDate(I12,Trigger),"--")</f>
        <v>42397</v>
      </c>
      <c r="R12" s="4" t="str">
        <f t="shared" si="0"/>
        <v>OIS</v>
      </c>
      <c r="S12" s="4" t="str">
        <v>obj_00318</v>
      </c>
      <c r="T12" s="4" t="str">
        <f>IFERROR(_xll.qlRateHelperQuoteName(S12,Trigger),"")</f>
        <v>GBP7MOIS_Quote</v>
      </c>
      <c r="U12" s="73">
        <f>IFERROR(_xll.qlRateHelperRate(S12,Trigger),"")</f>
        <v>4.8624999999999996E-3</v>
      </c>
      <c r="V12" s="105" t="str">
        <f>IF(ISERROR(_xll.qlSwapRateHelperSpread($S12)),IF(ISERROR(_xll.qlFuturesRateHelperConvexityAdjustment($S12)),"",_xll.qlFuturesRateHelperConvexityAdjustment($S12)),_xll.qlSwapRateHelperSpread($S12))</f>
        <v/>
      </c>
      <c r="W12" s="5">
        <f>IFERROR(_xll.qlRateHelperEarliestDate(S12,Trigger),"")</f>
        <v>42275</v>
      </c>
      <c r="X12" s="5">
        <f>IFERROR(_xll.qlRateHelperPillarDate(S12,Trigger),"")</f>
        <v>42488</v>
      </c>
      <c r="Y12" s="241">
        <v>0.99717046051893099</v>
      </c>
      <c r="AA12" s="163">
        <v>2</v>
      </c>
      <c r="AB12" s="164">
        <f>_xll.qlCalendarEndOfMonth(Calendar,_xll.qlCalendarAdvance(Calendar,AB11,"1m","mf",TRUE),Trigger)</f>
        <v>42307</v>
      </c>
      <c r="AC12" s="163" t="str">
        <f t="shared" si="7"/>
        <v>GBPJump2_SYNTHON_Quote</v>
      </c>
      <c r="AD12" s="205">
        <f>_xll.qlDayCounterYearFraction("actual/360",AB12,_xll.qlCalendarAdvance(Calendar,AB12,"1D",,,Trigger))</f>
        <v>8.3333333333333332E-3</v>
      </c>
      <c r="AE12" s="165" t="e">
        <f>IF(_xll.qlQuoteIsValid(AC12,Trigger),_xll.qlQuoteValue(AC12,Trigger),1)</f>
        <v>#NUM!</v>
      </c>
      <c r="AF12" s="208" t="e">
        <f t="shared" ref="AF12:AF23" si="8">-LN(AE12)/AD12</f>
        <v>#NUM!</v>
      </c>
      <c r="AG12" s="211"/>
      <c r="AH12" s="165" t="str">
        <f t="shared" ref="AH12:AH23" si="9">IF(ISBLANK(AG12),AC12,EXP(-AG12*AD12))</f>
        <v>GBPJump2_SYNTHON_Quote</v>
      </c>
    </row>
    <row r="13" spans="1:34" ht="11.25" customHeight="1" x14ac:dyDescent="0.2">
      <c r="A13" s="62" t="s">
        <v>70</v>
      </c>
      <c r="B13" s="63" t="s">
        <v>0</v>
      </c>
      <c r="C13" s="64">
        <v>0</v>
      </c>
      <c r="D13" s="65" t="str">
        <f t="shared" si="6"/>
        <v>Sonia</v>
      </c>
      <c r="E13" s="66" t="str">
        <f t="shared" si="5"/>
        <v>GBP3MOIS_Quote</v>
      </c>
      <c r="F13" s="67" t="str">
        <f>_xll.qlOISRateHelper(,C13,B13,E13,$D13,,Permanent,Trigger,ObjectOverwrite)</f>
        <v>obj_0030d#0001</v>
      </c>
      <c r="G13" s="51"/>
      <c r="H13" s="10" t="str">
        <f t="shared" si="3"/>
        <v>OIS</v>
      </c>
      <c r="I13" s="95" t="str">
        <f t="shared" si="4"/>
        <v>obj_002ff#0001</v>
      </c>
      <c r="J13" s="149" t="str">
        <f>IFERROR(_xll.qlRateHelperQuoteName(I13,Trigger),"--")</f>
        <v>GBP5MOIS_Quote</v>
      </c>
      <c r="K13" s="99">
        <f>IFERROR(_xll.qlRateHelperQuoteValue($I13,Trigger),"--")</f>
        <v>4.7375000000000004E-3</v>
      </c>
      <c r="L13" s="98" t="b">
        <v>1</v>
      </c>
      <c r="M13" s="95">
        <v>50</v>
      </c>
      <c r="N13" s="95">
        <v>1</v>
      </c>
      <c r="O13" s="100">
        <f>IFERROR(_xll.qlRateHelperEarliestDate(I13,Trigger),"--")</f>
        <v>42275</v>
      </c>
      <c r="P13" s="100">
        <f>IFERROR(_xll.qlRateHelperPillarDate(I13,Trigger),"--")</f>
        <v>42429</v>
      </c>
      <c r="R13" s="4" t="str">
        <f t="shared" si="0"/>
        <v>OIS</v>
      </c>
      <c r="S13" s="4" t="str">
        <v>obj_00300</v>
      </c>
      <c r="T13" s="4" t="str">
        <f>IFERROR(_xll.qlRateHelperQuoteName(S13,Trigger),"")</f>
        <v>GBP8MOIS_Quote</v>
      </c>
      <c r="U13" s="73">
        <f>IFERROR(_xll.qlRateHelperRate(S13,Trigger),"")</f>
        <v>4.9499999999999995E-3</v>
      </c>
      <c r="V13" s="105" t="str">
        <f>IF(ISERROR(_xll.qlSwapRateHelperSpread($S13)),IF(ISERROR(_xll.qlFuturesRateHelperConvexityAdjustment($S13)),"",_xll.qlFuturesRateHelperConvexityAdjustment($S13)),_xll.qlSwapRateHelperSpread($S13))</f>
        <v/>
      </c>
      <c r="W13" s="5">
        <f>IFERROR(_xll.qlRateHelperEarliestDate(S13,Trigger),"")</f>
        <v>42275</v>
      </c>
      <c r="X13" s="5">
        <f>IFERROR(_xll.qlRateHelperPillarDate(S13,Trigger),"")</f>
        <v>42521</v>
      </c>
      <c r="Y13" s="241">
        <v>0.99667492860121187</v>
      </c>
      <c r="AA13" s="163">
        <v>3</v>
      </c>
      <c r="AB13" s="164">
        <f>_xll.qlCalendarEndOfMonth(Calendar,_xll.qlCalendarAdvance(Calendar,AB12,"1m","mf",TRUE),Trigger)</f>
        <v>42338</v>
      </c>
      <c r="AC13" s="163" t="str">
        <f t="shared" si="7"/>
        <v>GBPJump3_SYNTHON_Quote</v>
      </c>
      <c r="AD13" s="205">
        <f>_xll.qlDayCounterYearFraction("actual/360",AB13,_xll.qlCalendarAdvance(Calendar,AB13,"1D",,,Trigger))</f>
        <v>2.7777777777777779E-3</v>
      </c>
      <c r="AE13" s="165" t="e">
        <f>IF(_xll.qlQuoteIsValid(AC13,Trigger),_xll.qlQuoteValue(AC13,Trigger),1)</f>
        <v>#NUM!</v>
      </c>
      <c r="AF13" s="208" t="e">
        <f t="shared" si="8"/>
        <v>#NUM!</v>
      </c>
      <c r="AG13" s="211"/>
      <c r="AH13" s="165" t="str">
        <f t="shared" si="9"/>
        <v>GBPJump3_SYNTHON_Quote</v>
      </c>
    </row>
    <row r="14" spans="1:34" ht="11.25" customHeight="1" x14ac:dyDescent="0.2">
      <c r="A14" s="62" t="s">
        <v>70</v>
      </c>
      <c r="B14" s="63" t="s">
        <v>42</v>
      </c>
      <c r="C14" s="64">
        <v>0</v>
      </c>
      <c r="D14" s="65" t="str">
        <f t="shared" si="6"/>
        <v>Sonia</v>
      </c>
      <c r="E14" s="66" t="str">
        <f t="shared" si="5"/>
        <v>GBP4MOIS_Quote</v>
      </c>
      <c r="F14" s="67" t="str">
        <f>_xll.qlOISRateHelper(,C14,B14,E14,$D14,,Permanent,Trigger,ObjectOverwrite)</f>
        <v>obj_002f9#0001</v>
      </c>
      <c r="G14" s="51"/>
      <c r="H14" s="10" t="str">
        <f t="shared" si="3"/>
        <v>OIS</v>
      </c>
      <c r="I14" s="95" t="str">
        <f t="shared" si="4"/>
        <v>obj_00313#0001</v>
      </c>
      <c r="J14" s="149" t="str">
        <f>IFERROR(_xll.qlRateHelperQuoteName(I14,Trigger),"--")</f>
        <v>GBP6MOIS_Quote</v>
      </c>
      <c r="K14" s="99">
        <f>IFERROR(_xll.qlRateHelperQuoteValue($I14,Trigger),"--")</f>
        <v>4.7999999999999996E-3</v>
      </c>
      <c r="L14" s="98" t="b">
        <v>1</v>
      </c>
      <c r="M14" s="95">
        <v>50</v>
      </c>
      <c r="N14" s="95">
        <v>1</v>
      </c>
      <c r="O14" s="100">
        <f>IFERROR(_xll.qlRateHelperEarliestDate(I14,Trigger),"--")</f>
        <v>42275</v>
      </c>
      <c r="P14" s="100">
        <f>IFERROR(_xll.qlRateHelperPillarDate(I14,Trigger),"--")</f>
        <v>42458</v>
      </c>
      <c r="R14" s="4" t="str">
        <f t="shared" si="0"/>
        <v>OIS</v>
      </c>
      <c r="S14" s="4" t="str">
        <v>obj_00317</v>
      </c>
      <c r="T14" s="4" t="str">
        <f>IFERROR(_xll.qlRateHelperQuoteName(S14,Trigger),"")</f>
        <v>GBP9MOIS_Quote</v>
      </c>
      <c r="U14" s="73">
        <f>IFERROR(_xll.qlRateHelperRate(S14,Trigger),"")</f>
        <v>5.0499999999999998E-3</v>
      </c>
      <c r="V14" s="105" t="str">
        <f>IF(ISERROR(_xll.qlSwapRateHelperSpread($S14)),IF(ISERROR(_xll.qlFuturesRateHelperConvexityAdjustment($S14)),"",_xll.qlFuturesRateHelperConvexityAdjustment($S14)),_xll.qlSwapRateHelperSpread($S14))</f>
        <v/>
      </c>
      <c r="W14" s="5">
        <f>IFERROR(_xll.qlRateHelperEarliestDate(S14,Trigger),"")</f>
        <v>42275</v>
      </c>
      <c r="X14" s="5">
        <f>IFERROR(_xll.qlRateHelperPillarDate(S14,Trigger),"")</f>
        <v>42549</v>
      </c>
      <c r="Y14" s="241">
        <v>0.99622335818978869</v>
      </c>
      <c r="AA14" s="163">
        <v>4</v>
      </c>
      <c r="AB14" s="164">
        <f>_xll.qlCalendarEndOfMonth(Calendar,_xll.qlCalendarAdvance(Calendar,AB13,"1m","mf",TRUE),Trigger)</f>
        <v>42369</v>
      </c>
      <c r="AC14" s="163" t="str">
        <f t="shared" si="7"/>
        <v>GBPJump4_SYNTHON_Quote</v>
      </c>
      <c r="AD14" s="205">
        <f>_xll.qlDayCounterYearFraction("actual/360",AB14,_xll.qlCalendarAdvance(Calendar,AB14,"1D",,,Trigger))</f>
        <v>1.1111111111111112E-2</v>
      </c>
      <c r="AE14" s="165" t="e">
        <f>IF(_xll.qlQuoteIsValid(AC14,Trigger),_xll.qlQuoteValue(AC14,Trigger),1)</f>
        <v>#NUM!</v>
      </c>
      <c r="AF14" s="208" t="e">
        <f t="shared" si="8"/>
        <v>#NUM!</v>
      </c>
      <c r="AG14" s="211"/>
      <c r="AH14" s="165" t="str">
        <f t="shared" si="9"/>
        <v>GBPJump4_SYNTHON_Quote</v>
      </c>
    </row>
    <row r="15" spans="1:34" ht="11.25" customHeight="1" x14ac:dyDescent="0.2">
      <c r="A15" s="62" t="s">
        <v>70</v>
      </c>
      <c r="B15" s="63" t="s">
        <v>43</v>
      </c>
      <c r="C15" s="64">
        <v>0</v>
      </c>
      <c r="D15" s="65" t="str">
        <f t="shared" si="6"/>
        <v>Sonia</v>
      </c>
      <c r="E15" s="66" t="str">
        <f t="shared" si="5"/>
        <v>GBP5MOIS_Quote</v>
      </c>
      <c r="F15" s="67" t="str">
        <f>_xll.qlOISRateHelper(,C15,B15,E15,$D15,,Permanent,Trigger,ObjectOverwrite)</f>
        <v>obj_002ff#0001</v>
      </c>
      <c r="G15" s="51"/>
      <c r="H15" s="10" t="str">
        <f t="shared" si="3"/>
        <v>OIS</v>
      </c>
      <c r="I15" s="95" t="str">
        <f t="shared" si="4"/>
        <v>obj_00318#0001</v>
      </c>
      <c r="J15" s="149" t="str">
        <f>IFERROR(_xll.qlRateHelperQuoteName(I15,Trigger),"--")</f>
        <v>GBP7MOIS_Quote</v>
      </c>
      <c r="K15" s="99">
        <f>IFERROR(_xll.qlRateHelperQuoteValue($I15,Trigger),"--")</f>
        <v>4.8624999999999996E-3</v>
      </c>
      <c r="L15" s="98" t="b">
        <v>1</v>
      </c>
      <c r="M15" s="95">
        <v>50</v>
      </c>
      <c r="N15" s="95">
        <v>1</v>
      </c>
      <c r="O15" s="100">
        <f>IFERROR(_xll.qlRateHelperEarliestDate(I15,Trigger),"--")</f>
        <v>42275</v>
      </c>
      <c r="P15" s="100">
        <f>IFERROR(_xll.qlRateHelperPillarDate(I15,Trigger),"--")</f>
        <v>42488</v>
      </c>
      <c r="R15" s="4" t="str">
        <f t="shared" si="0"/>
        <v>OIS</v>
      </c>
      <c r="S15" s="4" t="str">
        <v>obj_0030e</v>
      </c>
      <c r="T15" s="4" t="str">
        <f>IFERROR(_xll.qlRateHelperQuoteName(S15,Trigger),"")</f>
        <v>GBP10MOIS_Quote</v>
      </c>
      <c r="U15" s="73">
        <f>IFERROR(_xll.qlRateHelperRate(S15,Trigger),"")</f>
        <v>5.1124999999999999E-3</v>
      </c>
      <c r="V15" s="105" t="str">
        <f>IF(ISERROR(_xll.qlSwapRateHelperSpread($S15)),IF(ISERROR(_xll.qlFuturesRateHelperConvexityAdjustment($S15)),"",_xll.qlFuturesRateHelperConvexityAdjustment($S15)),_xll.qlSwapRateHelperSpread($S15))</f>
        <v/>
      </c>
      <c r="W15" s="5">
        <f>IFERROR(_xll.qlRateHelperEarliestDate(S15,Trigger),"")</f>
        <v>42275</v>
      </c>
      <c r="X15" s="5">
        <f>IFERROR(_xll.qlRateHelperPillarDate(S15,Trigger),"")</f>
        <v>42579</v>
      </c>
      <c r="Y15" s="241">
        <v>0.99575997219510792</v>
      </c>
      <c r="AA15" s="163">
        <v>5</v>
      </c>
      <c r="AB15" s="164">
        <f>_xll.qlCalendarEndOfMonth(Calendar,_xll.qlCalendarAdvance(Calendar,AB14,"1m","mf",TRUE),Trigger)</f>
        <v>42398</v>
      </c>
      <c r="AC15" s="163" t="str">
        <f t="shared" si="7"/>
        <v>GBPJump5_SYNTHON_Quote</v>
      </c>
      <c r="AD15" s="205">
        <f>_xll.qlDayCounterYearFraction("actual/360",AB15,_xll.qlCalendarAdvance(Calendar,AB15,"1D",,,Trigger))</f>
        <v>8.3333333333333332E-3</v>
      </c>
      <c r="AE15" s="165" t="e">
        <f>IF(_xll.qlQuoteIsValid(AC15,Trigger),_xll.qlQuoteValue(AC15,Trigger),1)</f>
        <v>#NUM!</v>
      </c>
      <c r="AF15" s="208" t="e">
        <f t="shared" si="8"/>
        <v>#NUM!</v>
      </c>
      <c r="AG15" s="211"/>
      <c r="AH15" s="165" t="str">
        <f t="shared" si="9"/>
        <v>GBPJump5_SYNTHON_Quote</v>
      </c>
    </row>
    <row r="16" spans="1:34" ht="11.25" customHeight="1" x14ac:dyDescent="0.2">
      <c r="A16" s="62" t="s">
        <v>70</v>
      </c>
      <c r="B16" s="63" t="s">
        <v>3</v>
      </c>
      <c r="C16" s="64">
        <v>0</v>
      </c>
      <c r="D16" s="65" t="str">
        <f t="shared" si="6"/>
        <v>Sonia</v>
      </c>
      <c r="E16" s="66" t="str">
        <f t="shared" si="5"/>
        <v>GBP6MOIS_Quote</v>
      </c>
      <c r="F16" s="67" t="str">
        <f>_xll.qlOISRateHelper(,C16,B16,E16,$D16,,Permanent,Trigger,ObjectOverwrite)</f>
        <v>obj_00313#0001</v>
      </c>
      <c r="G16" s="51"/>
      <c r="H16" s="10" t="str">
        <f t="shared" si="3"/>
        <v>OIS</v>
      </c>
      <c r="I16" s="95" t="str">
        <f t="shared" si="4"/>
        <v>obj_00300#0001</v>
      </c>
      <c r="J16" s="149" t="str">
        <f>IFERROR(_xll.qlRateHelperQuoteName(I16,Trigger),"--")</f>
        <v>GBP8MOIS_Quote</v>
      </c>
      <c r="K16" s="99">
        <f>IFERROR(_xll.qlRateHelperQuoteValue($I16,Trigger),"--")</f>
        <v>4.9499999999999995E-3</v>
      </c>
      <c r="L16" s="98" t="b">
        <v>1</v>
      </c>
      <c r="M16" s="95">
        <v>50</v>
      </c>
      <c r="N16" s="95">
        <v>1</v>
      </c>
      <c r="O16" s="100">
        <f>IFERROR(_xll.qlRateHelperEarliestDate(I16,Trigger),"--")</f>
        <v>42275</v>
      </c>
      <c r="P16" s="100">
        <f>IFERROR(_xll.qlRateHelperPillarDate(I16,Trigger),"--")</f>
        <v>42521</v>
      </c>
      <c r="R16" s="4" t="str">
        <f t="shared" si="0"/>
        <v>OIS</v>
      </c>
      <c r="S16" s="4" t="str">
        <v>obj_0030a</v>
      </c>
      <c r="T16" s="4" t="str">
        <f>IFERROR(_xll.qlRateHelperQuoteName(S16,Trigger),"")</f>
        <v>GBP11MOIS_Quote</v>
      </c>
      <c r="U16" s="73">
        <f>IFERROR(_xll.qlRateHelperRate(S16,Trigger),"")</f>
        <v>5.2374999999999991E-3</v>
      </c>
      <c r="V16" s="105" t="str">
        <f>IF(ISERROR(_xll.qlSwapRateHelperSpread($S16)),IF(ISERROR(_xll.qlFuturesRateHelperConvexityAdjustment($S16)),"",_xll.qlFuturesRateHelperConvexityAdjustment($S16)),_xll.qlSwapRateHelperSpread($S16))</f>
        <v/>
      </c>
      <c r="W16" s="5">
        <f>IFERROR(_xll.qlRateHelperEarliestDate(S16,Trigger),"")</f>
        <v>42275</v>
      </c>
      <c r="X16" s="5">
        <f>IFERROR(_xll.qlRateHelperPillarDate(S16,Trigger),"")</f>
        <v>42612</v>
      </c>
      <c r="Y16" s="241">
        <v>0.99518755246674873</v>
      </c>
      <c r="AA16" s="163">
        <v>6</v>
      </c>
      <c r="AB16" s="164">
        <f>_xll.qlCalendarEndOfMonth(Calendar,_xll.qlCalendarAdvance(Calendar,AB15,"1m","mf",TRUE),Trigger)</f>
        <v>42429</v>
      </c>
      <c r="AC16" s="163" t="str">
        <f t="shared" si="7"/>
        <v>GBPJump6_SYNTHON_Quote</v>
      </c>
      <c r="AD16" s="205">
        <f>_xll.qlDayCounterYearFraction("actual/360",AB16,_xll.qlCalendarAdvance(Calendar,AB16,"1D",,,Trigger))</f>
        <v>2.7777777777777779E-3</v>
      </c>
      <c r="AE16" s="165" t="e">
        <f>IF(_xll.qlQuoteIsValid(AC16,Trigger),_xll.qlQuoteValue(AC16,Trigger),1)</f>
        <v>#NUM!</v>
      </c>
      <c r="AF16" s="208" t="e">
        <f t="shared" si="8"/>
        <v>#NUM!</v>
      </c>
      <c r="AG16" s="211"/>
      <c r="AH16" s="165" t="str">
        <f t="shared" si="9"/>
        <v>GBPJump6_SYNTHON_Quote</v>
      </c>
    </row>
    <row r="17" spans="1:34" ht="11.25" customHeight="1" x14ac:dyDescent="0.2">
      <c r="A17" s="62" t="s">
        <v>70</v>
      </c>
      <c r="B17" s="63" t="s">
        <v>44</v>
      </c>
      <c r="C17" s="64">
        <v>0</v>
      </c>
      <c r="D17" s="65" t="str">
        <f t="shared" si="6"/>
        <v>Sonia</v>
      </c>
      <c r="E17" s="66" t="str">
        <f t="shared" si="5"/>
        <v>GBP7MOIS_Quote</v>
      </c>
      <c r="F17" s="67" t="str">
        <f>_xll.qlOISRateHelper(,C17,B17,E17,$D17,,Permanent,Trigger,ObjectOverwrite)</f>
        <v>obj_00318#0001</v>
      </c>
      <c r="G17" s="51"/>
      <c r="H17" s="10" t="str">
        <f t="shared" si="3"/>
        <v>OIS</v>
      </c>
      <c r="I17" s="95" t="str">
        <f t="shared" si="4"/>
        <v>obj_00317#0001</v>
      </c>
      <c r="J17" s="149" t="str">
        <f>IFERROR(_xll.qlRateHelperQuoteName(I17,Trigger),"--")</f>
        <v>GBP9MOIS_Quote</v>
      </c>
      <c r="K17" s="99">
        <f>IFERROR(_xll.qlRateHelperQuoteValue($I17,Trigger),"--")</f>
        <v>5.0499999999999998E-3</v>
      </c>
      <c r="L17" s="98" t="b">
        <v>1</v>
      </c>
      <c r="M17" s="95">
        <v>50</v>
      </c>
      <c r="N17" s="95">
        <v>1</v>
      </c>
      <c r="O17" s="100">
        <f>IFERROR(_xll.qlRateHelperEarliestDate(I17,Trigger),"--")</f>
        <v>42275</v>
      </c>
      <c r="P17" s="100">
        <f>IFERROR(_xll.qlRateHelperPillarDate(I17,Trigger),"--")</f>
        <v>42549</v>
      </c>
      <c r="R17" s="4" t="str">
        <f t="shared" si="0"/>
        <v>OIS</v>
      </c>
      <c r="S17" s="4" t="str">
        <v>obj_00315</v>
      </c>
      <c r="T17" s="4" t="str">
        <f>IFERROR(_xll.qlRateHelperQuoteName(S17,Trigger),"")</f>
        <v>GBP1YOIS_Quote</v>
      </c>
      <c r="U17" s="73">
        <f>IFERROR(_xll.qlRateHelperRate(S17,Trigger),"")</f>
        <v>5.3625000000000001E-3</v>
      </c>
      <c r="V17" s="105" t="str">
        <f>IF(ISERROR(_xll.qlSwapRateHelperSpread($S17)),IF(ISERROR(_xll.qlFuturesRateHelperConvexityAdjustment($S17)),"",_xll.qlFuturesRateHelperConvexityAdjustment($S17)),_xll.qlSwapRateHelperSpread($S17))</f>
        <v/>
      </c>
      <c r="W17" s="5">
        <f>IFERROR(_xll.qlRateHelperEarliestDate(S17,Trigger),"")</f>
        <v>42275</v>
      </c>
      <c r="X17" s="5">
        <f>IFERROR(_xll.qlRateHelperPillarDate(S17,Trigger),"")</f>
        <v>42641</v>
      </c>
      <c r="Y17" s="241">
        <v>0.99465156776503316</v>
      </c>
      <c r="AA17" s="163">
        <v>7</v>
      </c>
      <c r="AB17" s="164">
        <f>_xll.qlCalendarEndOfMonth(Calendar,_xll.qlCalendarAdvance(Calendar,AB16,"1m","mf",TRUE),Trigger)</f>
        <v>42460</v>
      </c>
      <c r="AC17" s="163" t="str">
        <f t="shared" si="7"/>
        <v>GBPJump7_SYNTHON_Quote</v>
      </c>
      <c r="AD17" s="205">
        <f>_xll.qlDayCounterYearFraction("actual/360",AB17,_xll.qlCalendarAdvance(Calendar,AB17,"1D",,,Trigger))</f>
        <v>2.7777777777777779E-3</v>
      </c>
      <c r="AE17" s="165" t="e">
        <f>IF(_xll.qlQuoteIsValid(AC17,Trigger),_xll.qlQuoteValue(AC17,Trigger),1)</f>
        <v>#NUM!</v>
      </c>
      <c r="AF17" s="208" t="e">
        <f t="shared" si="8"/>
        <v>#NUM!</v>
      </c>
      <c r="AG17" s="211"/>
      <c r="AH17" s="165" t="str">
        <f t="shared" si="9"/>
        <v>GBPJump7_SYNTHON_Quote</v>
      </c>
    </row>
    <row r="18" spans="1:34" ht="11.25" customHeight="1" x14ac:dyDescent="0.2">
      <c r="A18" s="62" t="s">
        <v>70</v>
      </c>
      <c r="B18" s="63" t="s">
        <v>45</v>
      </c>
      <c r="C18" s="64">
        <v>0</v>
      </c>
      <c r="D18" s="65" t="str">
        <f t="shared" si="6"/>
        <v>Sonia</v>
      </c>
      <c r="E18" s="66" t="str">
        <f t="shared" si="5"/>
        <v>GBP8MOIS_Quote</v>
      </c>
      <c r="F18" s="67" t="str">
        <f>_xll.qlOISRateHelper(,C18,B18,E18,$D18,,Permanent,Trigger,ObjectOverwrite)</f>
        <v>obj_00300#0001</v>
      </c>
      <c r="G18" s="51"/>
      <c r="H18" s="10" t="str">
        <f t="shared" si="3"/>
        <v>OIS</v>
      </c>
      <c r="I18" s="95" t="str">
        <f t="shared" si="4"/>
        <v>obj_0030e#0001</v>
      </c>
      <c r="J18" s="149" t="str">
        <f>IFERROR(_xll.qlRateHelperQuoteName(I18,Trigger),"--")</f>
        <v>GBP10MOIS_Quote</v>
      </c>
      <c r="K18" s="99">
        <f>IFERROR(_xll.qlRateHelperQuoteValue($I18,Trigger),"--")</f>
        <v>5.1124999999999999E-3</v>
      </c>
      <c r="L18" s="98" t="b">
        <v>1</v>
      </c>
      <c r="M18" s="95">
        <v>50</v>
      </c>
      <c r="N18" s="95">
        <v>1</v>
      </c>
      <c r="O18" s="100">
        <f>IFERROR(_xll.qlRateHelperEarliestDate(I18,Trigger),"--")</f>
        <v>42275</v>
      </c>
      <c r="P18" s="100">
        <f>IFERROR(_xll.qlRateHelperPillarDate(I18,Trigger),"--")</f>
        <v>42579</v>
      </c>
      <c r="R18" s="4" t="str">
        <f t="shared" si="0"/>
        <v>OIS</v>
      </c>
      <c r="S18" s="4" t="str">
        <v>obj_0030b</v>
      </c>
      <c r="T18" s="4" t="str">
        <f>IFERROR(_xll.qlRateHelperQuoteName(S18,Trigger),"")</f>
        <v>GBP15MOIS_Quote</v>
      </c>
      <c r="U18" s="73">
        <f>IFERROR(_xll.qlRateHelperRate(S18,Trigger),"")</f>
        <v>5.6750000000000004E-3</v>
      </c>
      <c r="V18" s="105" t="str">
        <f>IF(ISERROR(_xll.qlSwapRateHelperSpread($S18)),IF(ISERROR(_xll.qlFuturesRateHelperConvexityAdjustment($S18)),"",_xll.qlFuturesRateHelperConvexityAdjustment($S18)),_xll.qlSwapRateHelperSpread($S18))</f>
        <v/>
      </c>
      <c r="W18" s="5">
        <f>IFERROR(_xll.qlRateHelperEarliestDate(S18,Trigger),"")</f>
        <v>42275</v>
      </c>
      <c r="X18" s="5">
        <f>IFERROR(_xll.qlRateHelperPillarDate(S18,Trigger),"")</f>
        <v>42732</v>
      </c>
      <c r="Y18" s="241">
        <v>0.99293635428430249</v>
      </c>
      <c r="AA18" s="163">
        <v>8</v>
      </c>
      <c r="AB18" s="164">
        <f>_xll.qlCalendarEndOfMonth(Calendar,_xll.qlCalendarAdvance(Calendar,AB17,"1m","mf",TRUE),Trigger)</f>
        <v>42489</v>
      </c>
      <c r="AC18" s="163" t="str">
        <f t="shared" si="7"/>
        <v>GBPJump8_SYNTHON_Quote</v>
      </c>
      <c r="AD18" s="205">
        <f>_xll.qlDayCounterYearFraction("actual/360",AB18,_xll.qlCalendarAdvance(Calendar,AB18,"1D",,,Trigger))</f>
        <v>1.1111111111111112E-2</v>
      </c>
      <c r="AE18" s="165" t="e">
        <f>IF(_xll.qlQuoteIsValid(AC18,Trigger),_xll.qlQuoteValue(AC18,Trigger),1)</f>
        <v>#NUM!</v>
      </c>
      <c r="AF18" s="208" t="e">
        <f t="shared" si="8"/>
        <v>#NUM!</v>
      </c>
      <c r="AG18" s="211"/>
      <c r="AH18" s="165" t="str">
        <f t="shared" si="9"/>
        <v>GBPJump8_SYNTHON_Quote</v>
      </c>
    </row>
    <row r="19" spans="1:34" ht="11.25" customHeight="1" x14ac:dyDescent="0.2">
      <c r="A19" s="62" t="s">
        <v>70</v>
      </c>
      <c r="B19" s="63" t="s">
        <v>46</v>
      </c>
      <c r="C19" s="64">
        <v>0</v>
      </c>
      <c r="D19" s="65" t="str">
        <f t="shared" si="6"/>
        <v>Sonia</v>
      </c>
      <c r="E19" s="66" t="str">
        <f t="shared" si="5"/>
        <v>GBP9MOIS_Quote</v>
      </c>
      <c r="F19" s="67" t="str">
        <f>_xll.qlOISRateHelper(,C19,B19,E19,$D19,,Permanent,Trigger,ObjectOverwrite)</f>
        <v>obj_00317#0001</v>
      </c>
      <c r="G19" s="51"/>
      <c r="H19" s="10" t="str">
        <f t="shared" si="3"/>
        <v>OIS</v>
      </c>
      <c r="I19" s="95" t="str">
        <f t="shared" si="4"/>
        <v>obj_0030a#0001</v>
      </c>
      <c r="J19" s="149" t="str">
        <f>IFERROR(_xll.qlRateHelperQuoteName(I19,Trigger),"--")</f>
        <v>GBP11MOIS_Quote</v>
      </c>
      <c r="K19" s="99">
        <f>IFERROR(_xll.qlRateHelperQuoteValue($I19,Trigger),"--")</f>
        <v>5.2374999999999991E-3</v>
      </c>
      <c r="L19" s="98" t="b">
        <v>1</v>
      </c>
      <c r="M19" s="95">
        <v>50</v>
      </c>
      <c r="N19" s="95">
        <v>1</v>
      </c>
      <c r="O19" s="100">
        <f>IFERROR(_xll.qlRateHelperEarliestDate(I19,Trigger),"--")</f>
        <v>42275</v>
      </c>
      <c r="P19" s="100">
        <f>IFERROR(_xll.qlRateHelperPillarDate(I19,Trigger),"--")</f>
        <v>42612</v>
      </c>
      <c r="R19" s="4" t="str">
        <f t="shared" si="0"/>
        <v>OIS</v>
      </c>
      <c r="S19" s="4" t="str">
        <v>obj_002fd</v>
      </c>
      <c r="T19" s="4" t="str">
        <f>IFERROR(_xll.qlRateHelperQuoteName(S19,Trigger),"")</f>
        <v>GBP18MOIS_Quote</v>
      </c>
      <c r="U19" s="73">
        <f>IFERROR(_xll.qlRateHelperRate(S19,Trigger),"")</f>
        <v>6.0499999999999998E-3</v>
      </c>
      <c r="V19" s="105" t="str">
        <f>IF(ISERROR(_xll.qlSwapRateHelperSpread($S19)),IF(ISERROR(_xll.qlFuturesRateHelperConvexityAdjustment($S19)),"",_xll.qlFuturesRateHelperConvexityAdjustment($S19)),_xll.qlSwapRateHelperSpread($S19))</f>
        <v/>
      </c>
      <c r="W19" s="5">
        <f>IFERROR(_xll.qlRateHelperEarliestDate(S19,Trigger),"")</f>
        <v>42275</v>
      </c>
      <c r="X19" s="5">
        <f>IFERROR(_xll.qlRateHelperPillarDate(S19,Trigger),"")</f>
        <v>42822</v>
      </c>
      <c r="Y19" s="241">
        <v>0.9909949015642997</v>
      </c>
      <c r="AA19" s="163">
        <v>9</v>
      </c>
      <c r="AB19" s="164">
        <f>_xll.qlCalendarEndOfMonth(Calendar,_xll.qlCalendarAdvance(Calendar,AB18,"1m","mf",TRUE),Trigger)</f>
        <v>42521</v>
      </c>
      <c r="AC19" s="163" t="str">
        <f t="shared" si="7"/>
        <v>GBPJump9_SYNTHON_Quote</v>
      </c>
      <c r="AD19" s="205">
        <f>_xll.qlDayCounterYearFraction("actual/360",AB19,_xll.qlCalendarAdvance(Calendar,AB19,"1D",,,Trigger))</f>
        <v>2.7777777777777779E-3</v>
      </c>
      <c r="AE19" s="165" t="e">
        <f>IF(_xll.qlQuoteIsValid(AC19,Trigger),_xll.qlQuoteValue(AC19,Trigger),1)</f>
        <v>#NUM!</v>
      </c>
      <c r="AF19" s="208" t="e">
        <f t="shared" si="8"/>
        <v>#NUM!</v>
      </c>
      <c r="AG19" s="211"/>
      <c r="AH19" s="165" t="str">
        <f t="shared" si="9"/>
        <v>GBPJump9_SYNTHON_Quote</v>
      </c>
    </row>
    <row r="20" spans="1:34" ht="11.25" customHeight="1" x14ac:dyDescent="0.2">
      <c r="A20" s="62" t="s">
        <v>70</v>
      </c>
      <c r="B20" s="63" t="s">
        <v>47</v>
      </c>
      <c r="C20" s="64">
        <v>0</v>
      </c>
      <c r="D20" s="65" t="str">
        <f t="shared" si="6"/>
        <v>Sonia</v>
      </c>
      <c r="E20" s="66" t="str">
        <f t="shared" si="5"/>
        <v>GBP10MOIS_Quote</v>
      </c>
      <c r="F20" s="67" t="str">
        <f>_xll.qlOISRateHelper(,C20,B20,E20,$D20,,Permanent,Trigger,ObjectOverwrite)</f>
        <v>obj_0030e#0001</v>
      </c>
      <c r="G20" s="51"/>
      <c r="H20" s="10" t="str">
        <f t="shared" si="3"/>
        <v>OIS</v>
      </c>
      <c r="I20" s="95" t="str">
        <f t="shared" si="4"/>
        <v>obj_00315#0001</v>
      </c>
      <c r="J20" s="149" t="str">
        <f>IFERROR(_xll.qlRateHelperQuoteName(I20,Trigger),"--")</f>
        <v>GBP1YOIS_Quote</v>
      </c>
      <c r="K20" s="99">
        <f>IFERROR(_xll.qlRateHelperQuoteValue($I20,Trigger),"--")</f>
        <v>5.3625000000000001E-3</v>
      </c>
      <c r="L20" s="98" t="b">
        <v>1</v>
      </c>
      <c r="M20" s="95">
        <v>50</v>
      </c>
      <c r="N20" s="95">
        <v>1</v>
      </c>
      <c r="O20" s="100">
        <f>IFERROR(_xll.qlRateHelperEarliestDate(I20,Trigger),"--")</f>
        <v>42275</v>
      </c>
      <c r="P20" s="100">
        <f>IFERROR(_xll.qlRateHelperPillarDate(I20,Trigger),"--")</f>
        <v>42641</v>
      </c>
      <c r="R20" s="4" t="str">
        <f t="shared" si="0"/>
        <v>OIS</v>
      </c>
      <c r="S20" s="4" t="str">
        <v>obj_00309</v>
      </c>
      <c r="T20" s="4" t="str">
        <f>IFERROR(_xll.qlRateHelperQuoteName(S20,Trigger),"")</f>
        <v>GBP2YOIS_Quote</v>
      </c>
      <c r="U20" s="73">
        <f>IFERROR(_xll.qlRateHelperRate(S20,Trigger),"")</f>
        <v>6.9125000000000002E-3</v>
      </c>
      <c r="V20" s="105" t="str">
        <f>IF(ISERROR(_xll.qlSwapRateHelperSpread($S20)),IF(ISERROR(_xll.qlFuturesRateHelperConvexityAdjustment($S20)),"",_xll.qlFuturesRateHelperConvexityAdjustment($S20)),_xll.qlSwapRateHelperSpread($S20))</f>
        <v/>
      </c>
      <c r="W20" s="5">
        <f>IFERROR(_xll.qlRateHelperEarliestDate(S20,Trigger),"")</f>
        <v>42275</v>
      </c>
      <c r="X20" s="5">
        <f>IFERROR(_xll.qlRateHelperPillarDate(S20,Trigger),"")</f>
        <v>43006</v>
      </c>
      <c r="Y20" s="241">
        <v>0.98628791873392618</v>
      </c>
      <c r="AA20" s="163">
        <v>10</v>
      </c>
      <c r="AB20" s="164">
        <f>_xll.qlCalendarEndOfMonth(Calendar,_xll.qlCalendarAdvance(Calendar,AB19,"1m","mf",TRUE),Trigger)</f>
        <v>42551</v>
      </c>
      <c r="AC20" s="163" t="str">
        <f t="shared" si="7"/>
        <v>GBPJump10_SYNTHON_Quote</v>
      </c>
      <c r="AD20" s="205">
        <f>_xll.qlDayCounterYearFraction("actual/360",AB20,_xll.qlCalendarAdvance(Calendar,AB20,"1D",,,Trigger))</f>
        <v>2.7777777777777779E-3</v>
      </c>
      <c r="AE20" s="165" t="e">
        <f>IF(_xll.qlQuoteIsValid(AC20,Trigger),_xll.qlQuoteValue(AC20,Trigger),1)</f>
        <v>#NUM!</v>
      </c>
      <c r="AF20" s="208" t="e">
        <f t="shared" si="8"/>
        <v>#NUM!</v>
      </c>
      <c r="AG20" s="211"/>
      <c r="AH20" s="165" t="str">
        <f t="shared" si="9"/>
        <v>GBPJump10_SYNTHON_Quote</v>
      </c>
    </row>
    <row r="21" spans="1:34" ht="11.25" customHeight="1" x14ac:dyDescent="0.2">
      <c r="A21" s="62" t="s">
        <v>70</v>
      </c>
      <c r="B21" s="63" t="s">
        <v>48</v>
      </c>
      <c r="C21" s="64">
        <v>0</v>
      </c>
      <c r="D21" s="65" t="str">
        <f t="shared" si="6"/>
        <v>Sonia</v>
      </c>
      <c r="E21" s="66" t="str">
        <f t="shared" si="5"/>
        <v>GBP11MOIS_Quote</v>
      </c>
      <c r="F21" s="67" t="str">
        <f>_xll.qlOISRateHelper(,C21,B21,E21,$D21,,Permanent,Trigger,ObjectOverwrite)</f>
        <v>obj_0030a#0001</v>
      </c>
      <c r="G21" s="51"/>
      <c r="H21" s="10" t="str">
        <f t="shared" si="3"/>
        <v>OIS</v>
      </c>
      <c r="I21" s="95" t="str">
        <f t="shared" si="4"/>
        <v>obj_0030b#0001</v>
      </c>
      <c r="J21" s="149" t="str">
        <f>IFERROR(_xll.qlRateHelperQuoteName(I21,Trigger),"--")</f>
        <v>GBP15MOIS_Quote</v>
      </c>
      <c r="K21" s="99">
        <f>IFERROR(_xll.qlRateHelperQuoteValue($I21,Trigger),"--")</f>
        <v>5.6750000000000004E-3</v>
      </c>
      <c r="L21" s="98" t="b">
        <v>1</v>
      </c>
      <c r="M21" s="95">
        <v>50</v>
      </c>
      <c r="N21" s="95">
        <v>1</v>
      </c>
      <c r="O21" s="100">
        <f>IFERROR(_xll.qlRateHelperEarliestDate(I21,Trigger),"--")</f>
        <v>42275</v>
      </c>
      <c r="P21" s="100">
        <f>IFERROR(_xll.qlRateHelperPillarDate(I21,Trigger),"--")</f>
        <v>42732</v>
      </c>
      <c r="R21" s="4" t="str">
        <f t="shared" si="0"/>
        <v>OIS</v>
      </c>
      <c r="S21" s="4" t="str">
        <v>obj_00308</v>
      </c>
      <c r="T21" s="4" t="str">
        <f>IFERROR(_xll.qlRateHelperQuoteName(S21,Trigger),"")</f>
        <v>GBP3YOIS_Quote</v>
      </c>
      <c r="U21" s="73">
        <f>IFERROR(_xll.qlRateHelperRate(S21,Trigger),"")</f>
        <v>8.5500000000000003E-3</v>
      </c>
      <c r="V21" s="105" t="str">
        <f>IF(ISERROR(_xll.qlSwapRateHelperSpread($S21)),IF(ISERROR(_xll.qlFuturesRateHelperConvexityAdjustment($S21)),"",_xll.qlFuturesRateHelperConvexityAdjustment($S21)),_xll.qlSwapRateHelperSpread($S21))</f>
        <v/>
      </c>
      <c r="W21" s="5">
        <f>IFERROR(_xll.qlRateHelperEarliestDate(S21,Trigger),"")</f>
        <v>42275</v>
      </c>
      <c r="X21" s="5">
        <f>IFERROR(_xll.qlRateHelperPillarDate(S21,Trigger),"")</f>
        <v>43371</v>
      </c>
      <c r="Y21" s="241">
        <v>0.97470593229695424</v>
      </c>
      <c r="AA21" s="163">
        <v>11</v>
      </c>
      <c r="AB21" s="164">
        <f>_xll.qlCalendarEndOfMonth(Calendar,_xll.qlCalendarAdvance(Calendar,AB20,"1m","mf",TRUE),Trigger)</f>
        <v>42580</v>
      </c>
      <c r="AC21" s="163" t="str">
        <f t="shared" si="7"/>
        <v>GBPJump11_SYNTHON_Quote</v>
      </c>
      <c r="AD21" s="205">
        <f>_xll.qlDayCounterYearFraction("actual/360",AB21,_xll.qlCalendarAdvance(Calendar,AB21,"1D",,,Trigger))</f>
        <v>8.3333333333333332E-3</v>
      </c>
      <c r="AE21" s="165" t="e">
        <f>IF(_xll.qlQuoteIsValid(AC21,Trigger),_xll.qlQuoteValue(AC21,Trigger),1)</f>
        <v>#NUM!</v>
      </c>
      <c r="AF21" s="208" t="e">
        <f t="shared" si="8"/>
        <v>#NUM!</v>
      </c>
      <c r="AG21" s="211"/>
      <c r="AH21" s="165" t="str">
        <f t="shared" si="9"/>
        <v>GBPJump11_SYNTHON_Quote</v>
      </c>
    </row>
    <row r="22" spans="1:34" ht="11.25" customHeight="1" x14ac:dyDescent="0.2">
      <c r="A22" s="62" t="s">
        <v>70</v>
      </c>
      <c r="B22" s="63" t="s">
        <v>29</v>
      </c>
      <c r="C22" s="64">
        <v>0</v>
      </c>
      <c r="D22" s="65" t="str">
        <f t="shared" si="6"/>
        <v>Sonia</v>
      </c>
      <c r="E22" s="66" t="str">
        <f t="shared" si="5"/>
        <v>GBP1YOIS_Quote</v>
      </c>
      <c r="F22" s="67" t="str">
        <f>_xll.qlOISRateHelper(,C22,B22,E22,$D22,,Permanent,Trigger,ObjectOverwrite)</f>
        <v>obj_00315#0001</v>
      </c>
      <c r="H22" s="10" t="str">
        <f t="shared" si="3"/>
        <v>OIS</v>
      </c>
      <c r="I22" s="95" t="str">
        <f t="shared" si="4"/>
        <v>obj_002fd#0001</v>
      </c>
      <c r="J22" s="149" t="str">
        <f>IFERROR(_xll.qlRateHelperQuoteName(I22,Trigger),"--")</f>
        <v>GBP18MOIS_Quote</v>
      </c>
      <c r="K22" s="99">
        <f>IFERROR(_xll.qlRateHelperQuoteValue($I22,Trigger),"--")</f>
        <v>6.0499999999999998E-3</v>
      </c>
      <c r="L22" s="98" t="b">
        <v>1</v>
      </c>
      <c r="M22" s="95">
        <v>50</v>
      </c>
      <c r="N22" s="95">
        <v>1</v>
      </c>
      <c r="O22" s="100">
        <f>IFERROR(_xll.qlRateHelperEarliestDate(I22,Trigger),"--")</f>
        <v>42275</v>
      </c>
      <c r="P22" s="100">
        <f>IFERROR(_xll.qlRateHelperPillarDate(I22,Trigger),"--")</f>
        <v>42822</v>
      </c>
      <c r="R22" s="4" t="str">
        <f t="shared" si="0"/>
        <v>OIS</v>
      </c>
      <c r="S22" s="4" t="str">
        <v>obj_00314</v>
      </c>
      <c r="T22" s="4" t="str">
        <f>IFERROR(_xll.qlRateHelperQuoteName(S22,Trigger),"")</f>
        <v>GBP4YOIS_Quote</v>
      </c>
      <c r="U22" s="73">
        <f>IFERROR(_xll.qlRateHelperRate(S22,Trigger),"")</f>
        <v>1.0125000000000002E-2</v>
      </c>
      <c r="V22" s="105" t="str">
        <f>IF(ISERROR(_xll.qlSwapRateHelperSpread($S22)),IF(ISERROR(_xll.qlFuturesRateHelperConvexityAdjustment($S22)),"",_xll.qlFuturesRateHelperConvexityAdjustment($S22)),_xll.qlSwapRateHelperSpread($S22))</f>
        <v/>
      </c>
      <c r="W22" s="5">
        <f>IFERROR(_xll.qlRateHelperEarliestDate(S22,Trigger),"")</f>
        <v>42275</v>
      </c>
      <c r="X22" s="5">
        <f>IFERROR(_xll.qlRateHelperPillarDate(S22,Trigger),"")</f>
        <v>43738</v>
      </c>
      <c r="Y22" s="241">
        <v>0.96027048483344735</v>
      </c>
      <c r="AA22" s="163">
        <v>12</v>
      </c>
      <c r="AB22" s="164">
        <f>_xll.qlCalendarEndOfMonth(Calendar,_xll.qlCalendarAdvance(Calendar,AB21,"1m","mf",TRUE),Trigger)</f>
        <v>42613</v>
      </c>
      <c r="AC22" s="163" t="str">
        <f t="shared" si="7"/>
        <v>GBPJump12_SYNTHON_Quote</v>
      </c>
      <c r="AD22" s="205">
        <f>_xll.qlDayCounterYearFraction("actual/360",AB22,_xll.qlCalendarAdvance(Calendar,AB22,"1D",,,Trigger))</f>
        <v>2.7777777777777779E-3</v>
      </c>
      <c r="AE22" s="165" t="e">
        <f>IF(_xll.qlQuoteIsValid(AC22,Trigger),_xll.qlQuoteValue(AC22,Trigger),1)</f>
        <v>#NUM!</v>
      </c>
      <c r="AF22" s="208" t="e">
        <f t="shared" si="8"/>
        <v>#NUM!</v>
      </c>
      <c r="AG22" s="211"/>
      <c r="AH22" s="165" t="str">
        <f t="shared" si="9"/>
        <v>GBPJump12_SYNTHON_Quote</v>
      </c>
    </row>
    <row r="23" spans="1:34" ht="11.25" customHeight="1" x14ac:dyDescent="0.2">
      <c r="A23" s="62" t="s">
        <v>70</v>
      </c>
      <c r="B23" s="63" t="s">
        <v>49</v>
      </c>
      <c r="C23" s="64">
        <v>0</v>
      </c>
      <c r="D23" s="65" t="str">
        <f t="shared" si="6"/>
        <v>Sonia</v>
      </c>
      <c r="E23" s="66" t="str">
        <f t="shared" si="5"/>
        <v>GBP15MOIS_Quote</v>
      </c>
      <c r="F23" s="67" t="str">
        <f>_xll.qlOISRateHelper(,C23,B23,E23,$D23,,Permanent,Trigger,ObjectOverwrite)</f>
        <v>obj_0030b#0001</v>
      </c>
      <c r="H23" s="10" t="str">
        <f t="shared" si="3"/>
        <v>OIS</v>
      </c>
      <c r="I23" s="95" t="str">
        <f t="shared" si="4"/>
        <v>--</v>
      </c>
      <c r="J23" s="149" t="str">
        <f>IFERROR(_xll.qlRateHelperQuoteName(I23,Trigger),"--")</f>
        <v>--</v>
      </c>
      <c r="K23" s="99" t="str">
        <f>IFERROR(_xll.qlRateHelperQuoteValue($I23,Trigger),"--")</f>
        <v>--</v>
      </c>
      <c r="L23" s="98" t="b">
        <v>0</v>
      </c>
      <c r="M23" s="95">
        <v>50</v>
      </c>
      <c r="N23" s="95">
        <v>1</v>
      </c>
      <c r="O23" s="100" t="str">
        <f>IFERROR(_xll.qlRateHelperEarliestDate(I23,Trigger),"--")</f>
        <v>--</v>
      </c>
      <c r="P23" s="100" t="str">
        <f>IFERROR(_xll.qlRateHelperPillarDate(I23,Trigger),"--")</f>
        <v>--</v>
      </c>
      <c r="R23" s="4" t="str">
        <f t="shared" si="0"/>
        <v>OIS</v>
      </c>
      <c r="S23" s="4" t="str">
        <v>obj_00312</v>
      </c>
      <c r="T23" s="4" t="str">
        <f>IFERROR(_xll.qlRateHelperQuoteName(S23,Trigger),"")</f>
        <v>GBP5YOIS_Quote</v>
      </c>
      <c r="U23" s="73">
        <f>IFERROR(_xll.qlRateHelperRate(S23,Trigger),"")</f>
        <v>1.1512500000000002E-2</v>
      </c>
      <c r="V23" s="105" t="str">
        <f>IF(ISERROR(_xll.qlSwapRateHelperSpread($S23)),IF(ISERROR(_xll.qlFuturesRateHelperConvexityAdjustment($S23)),"",_xll.qlFuturesRateHelperConvexityAdjustment($S23)),_xll.qlSwapRateHelperSpread($S23))</f>
        <v/>
      </c>
      <c r="W23" s="5">
        <f>IFERROR(_xll.qlRateHelperEarliestDate(S23,Trigger),"")</f>
        <v>42275</v>
      </c>
      <c r="X23" s="5">
        <f>IFERROR(_xll.qlRateHelperPillarDate(S23,Trigger),"")</f>
        <v>44102</v>
      </c>
      <c r="Y23" s="241">
        <v>0.94398818028825027</v>
      </c>
      <c r="AA23" s="166">
        <v>13</v>
      </c>
      <c r="AB23" s="167">
        <f>_xll.qlCalendarAdjust(Calendar,DATE(YEAR(AB11)+1,12,31),"preceding",Trigger)</f>
        <v>42734</v>
      </c>
      <c r="AC23" s="166" t="str">
        <f t="shared" si="7"/>
        <v>GBPJump13_SYNTHON_Quote</v>
      </c>
      <c r="AD23" s="206">
        <f>_xll.qlDayCounterYearFraction("actual/360",AB23,_xll.qlCalendarAdvance(Calendar,AB23,"1D",,,Trigger))</f>
        <v>1.1111111111111112E-2</v>
      </c>
      <c r="AE23" s="168" t="e">
        <f>IF(_xll.qlQuoteIsValid(AC23,Trigger),_xll.qlQuoteValue(AC23,Trigger),1)</f>
        <v>#NUM!</v>
      </c>
      <c r="AF23" s="209" t="e">
        <f t="shared" si="8"/>
        <v>#NUM!</v>
      </c>
      <c r="AG23" s="212"/>
      <c r="AH23" s="168" t="str">
        <f t="shared" si="9"/>
        <v>GBPJump13_SYNTHON_Quote</v>
      </c>
    </row>
    <row r="24" spans="1:34" ht="11.25" customHeight="1" x14ac:dyDescent="0.2">
      <c r="A24" s="62" t="s">
        <v>70</v>
      </c>
      <c r="B24" s="63" t="s">
        <v>50</v>
      </c>
      <c r="C24" s="64">
        <v>0</v>
      </c>
      <c r="D24" s="65" t="str">
        <f t="shared" si="6"/>
        <v>Sonia</v>
      </c>
      <c r="E24" s="66" t="str">
        <f t="shared" si="5"/>
        <v>GBP18MOIS_Quote</v>
      </c>
      <c r="F24" s="67" t="str">
        <f>_xll.qlOISRateHelper(,C24,B24,E24,$D24,,Permanent,Trigger,ObjectOverwrite)</f>
        <v>obj_002fd#0001</v>
      </c>
      <c r="H24" s="10" t="str">
        <f t="shared" si="3"/>
        <v>OIS</v>
      </c>
      <c r="I24" s="95" t="str">
        <f t="shared" si="4"/>
        <v>obj_00309#0001</v>
      </c>
      <c r="J24" s="149" t="str">
        <f>IFERROR(_xll.qlRateHelperQuoteName(I24,Trigger),"--")</f>
        <v>GBP2YOIS_Quote</v>
      </c>
      <c r="K24" s="99">
        <f>IFERROR(_xll.qlRateHelperQuoteValue($I24,Trigger),"--")</f>
        <v>6.9125000000000002E-3</v>
      </c>
      <c r="L24" s="98" t="b">
        <v>1</v>
      </c>
      <c r="M24" s="95">
        <v>50</v>
      </c>
      <c r="N24" s="95">
        <v>1</v>
      </c>
      <c r="O24" s="100">
        <f>IFERROR(_xll.qlRateHelperEarliestDate(I24,Trigger),"--")</f>
        <v>42275</v>
      </c>
      <c r="P24" s="100">
        <f>IFERROR(_xll.qlRateHelperPillarDate(I24,Trigger),"--")</f>
        <v>43006</v>
      </c>
      <c r="R24" s="4" t="str">
        <f t="shared" si="0"/>
        <v>OIS</v>
      </c>
      <c r="S24" s="4" t="str">
        <v>obj_00302</v>
      </c>
      <c r="T24" s="4" t="str">
        <f>IFERROR(_xll.qlRateHelperQuoteName(S24,Trigger),"")</f>
        <v>GBP6YOIS_Quote</v>
      </c>
      <c r="U24" s="73">
        <f>IFERROR(_xll.qlRateHelperRate(S24,Trigger),"")</f>
        <v>1.2699999999999999E-2</v>
      </c>
      <c r="V24" s="105" t="str">
        <f>IF(ISERROR(_xll.qlSwapRateHelperSpread($S24)),IF(ISERROR(_xll.qlFuturesRateHelperConvexityAdjustment($S24)),"",_xll.qlFuturesRateHelperConvexityAdjustment($S24)),_xll.qlSwapRateHelperSpread($S24))</f>
        <v/>
      </c>
      <c r="W24" s="5">
        <f>IFERROR(_xll.qlRateHelperEarliestDate(S24,Trigger),"")</f>
        <v>42275</v>
      </c>
      <c r="X24" s="5">
        <f>IFERROR(_xll.qlRateHelperPillarDate(S24,Trigger),"")</f>
        <v>44467</v>
      </c>
      <c r="Y24" s="241">
        <v>0.92644478228867133</v>
      </c>
      <c r="AG24" s="213"/>
    </row>
    <row r="25" spans="1:34" ht="11.25" customHeight="1" x14ac:dyDescent="0.2">
      <c r="A25" s="62" t="s">
        <v>70</v>
      </c>
      <c r="B25" s="63" t="s">
        <v>51</v>
      </c>
      <c r="C25" s="64">
        <v>0</v>
      </c>
      <c r="D25" s="65" t="str">
        <f t="shared" si="6"/>
        <v>Sonia</v>
      </c>
      <c r="E25" s="66" t="str">
        <f t="shared" si="5"/>
        <v>GBP21MOIS_Quote</v>
      </c>
      <c r="F25" s="67"/>
      <c r="H25" s="10" t="str">
        <f t="shared" si="3"/>
        <v>OIS</v>
      </c>
      <c r="I25" s="95" t="str">
        <f t="shared" si="4"/>
        <v>obj_00308#0001</v>
      </c>
      <c r="J25" s="149" t="str">
        <f>IFERROR(_xll.qlRateHelperQuoteName(I25,Trigger),"--")</f>
        <v>GBP3YOIS_Quote</v>
      </c>
      <c r="K25" s="99">
        <f>IFERROR(_xll.qlRateHelperQuoteValue($I25,Trigger),"--")</f>
        <v>8.5500000000000003E-3</v>
      </c>
      <c r="L25" s="98" t="b">
        <v>1</v>
      </c>
      <c r="M25" s="95">
        <v>50</v>
      </c>
      <c r="N25" s="95">
        <v>1</v>
      </c>
      <c r="O25" s="100">
        <f>IFERROR(_xll.qlRateHelperEarliestDate(I25,Trigger),"--")</f>
        <v>42275</v>
      </c>
      <c r="P25" s="100">
        <f>IFERROR(_xll.qlRateHelperPillarDate(I25,Trigger),"--")</f>
        <v>43371</v>
      </c>
      <c r="R25" s="4" t="str">
        <f t="shared" si="0"/>
        <v>OIS</v>
      </c>
      <c r="S25" s="4" t="str">
        <v>obj_00301</v>
      </c>
      <c r="T25" s="4" t="str">
        <f>IFERROR(_xll.qlRateHelperQuoteName(S25,Trigger),"")</f>
        <v>GBP7YOIS_Quote</v>
      </c>
      <c r="U25" s="73">
        <f>IFERROR(_xll.qlRateHelperRate(S25,Trigger),"")</f>
        <v>1.3650000000000001E-2</v>
      </c>
      <c r="V25" s="105" t="str">
        <f>IF(ISERROR(_xll.qlSwapRateHelperSpread($S25)),IF(ISERROR(_xll.qlFuturesRateHelperConvexityAdjustment($S25)),"",_xll.qlFuturesRateHelperConvexityAdjustment($S25)),_xll.qlSwapRateHelperSpread($S25))</f>
        <v/>
      </c>
      <c r="W25" s="5">
        <f>IFERROR(_xll.qlRateHelperEarliestDate(S25,Trigger),"")</f>
        <v>42275</v>
      </c>
      <c r="X25" s="5">
        <f>IFERROR(_xll.qlRateHelperPillarDate(S25,Trigger),"")</f>
        <v>44832</v>
      </c>
      <c r="Y25" s="241">
        <v>0.90854103520336116</v>
      </c>
    </row>
    <row r="26" spans="1:34" ht="11.25" customHeight="1" x14ac:dyDescent="0.2">
      <c r="A26" s="62" t="s">
        <v>70</v>
      </c>
      <c r="B26" s="63" t="s">
        <v>52</v>
      </c>
      <c r="C26" s="64">
        <v>0</v>
      </c>
      <c r="D26" s="65" t="str">
        <f t="shared" si="6"/>
        <v>Sonia</v>
      </c>
      <c r="E26" s="66" t="str">
        <f t="shared" si="5"/>
        <v>GBP2YOIS_Quote</v>
      </c>
      <c r="F26" s="67" t="str">
        <f>_xll.qlOISRateHelper(,C26,B26,E26,$D26,,Permanent,Trigger,ObjectOverwrite)</f>
        <v>obj_00309#0001</v>
      </c>
      <c r="H26" s="10" t="str">
        <f t="shared" si="3"/>
        <v>OIS</v>
      </c>
      <c r="I26" s="95" t="str">
        <f t="shared" si="4"/>
        <v>obj_00314#0001</v>
      </c>
      <c r="J26" s="149" t="str">
        <f>IFERROR(_xll.qlRateHelperQuoteName(I26,Trigger),"--")</f>
        <v>GBP4YOIS_Quote</v>
      </c>
      <c r="K26" s="99">
        <f>IFERROR(_xll.qlRateHelperQuoteValue($I26,Trigger),"--")</f>
        <v>1.0125000000000002E-2</v>
      </c>
      <c r="L26" s="98" t="b">
        <v>1</v>
      </c>
      <c r="M26" s="95">
        <v>50</v>
      </c>
      <c r="N26" s="95">
        <v>1</v>
      </c>
      <c r="O26" s="100">
        <f>IFERROR(_xll.qlRateHelperEarliestDate(I26,Trigger),"--")</f>
        <v>42275</v>
      </c>
      <c r="P26" s="100">
        <f>IFERROR(_xll.qlRateHelperPillarDate(I26,Trigger),"--")</f>
        <v>43738</v>
      </c>
      <c r="R26" s="4" t="str">
        <f t="shared" si="0"/>
        <v>OIS</v>
      </c>
      <c r="S26" s="4" t="str">
        <v>obj_002fb</v>
      </c>
      <c r="T26" s="4" t="str">
        <f>IFERROR(_xll.qlRateHelperQuoteName(S26,Trigger),"")</f>
        <v>GBP8YOIS_Quote</v>
      </c>
      <c r="U26" s="73">
        <f>IFERROR(_xll.qlRateHelperRate(S26,Trigger),"")</f>
        <v>1.4449999999999998E-2</v>
      </c>
      <c r="V26" s="105" t="str">
        <f>IF(ISERROR(_xll.qlSwapRateHelperSpread($S26)),IF(ISERROR(_xll.qlFuturesRateHelperConvexityAdjustment($S26)),"",_xll.qlFuturesRateHelperConvexityAdjustment($S26)),_xll.qlSwapRateHelperSpread($S26))</f>
        <v/>
      </c>
      <c r="W26" s="5">
        <f>IFERROR(_xll.qlRateHelperEarliestDate(S26,Trigger),"")</f>
        <v>42275</v>
      </c>
      <c r="X26" s="5">
        <f>IFERROR(_xll.qlRateHelperPillarDate(S26,Trigger),"")</f>
        <v>45197</v>
      </c>
      <c r="Y26" s="241">
        <v>0.89031574038575323</v>
      </c>
    </row>
    <row r="27" spans="1:34" ht="11.25" customHeight="1" x14ac:dyDescent="0.2">
      <c r="A27" s="62" t="s">
        <v>70</v>
      </c>
      <c r="B27" s="63" t="s">
        <v>53</v>
      </c>
      <c r="C27" s="64">
        <v>0</v>
      </c>
      <c r="D27" s="65" t="str">
        <f t="shared" si="6"/>
        <v>Sonia</v>
      </c>
      <c r="E27" s="66" t="str">
        <f t="shared" si="5"/>
        <v>GBP3YOIS_Quote</v>
      </c>
      <c r="F27" s="67" t="str">
        <f>_xll.qlOISRateHelper(,C27,B27,E27,$D27,,Permanent,Trigger,ObjectOverwrite)</f>
        <v>obj_00308#0001</v>
      </c>
      <c r="H27" s="10" t="str">
        <f t="shared" si="3"/>
        <v>OIS</v>
      </c>
      <c r="I27" s="95" t="str">
        <f t="shared" si="4"/>
        <v>obj_00312#0001</v>
      </c>
      <c r="J27" s="149" t="str">
        <f>IFERROR(_xll.qlRateHelperQuoteName(I27,Trigger),"--")</f>
        <v>GBP5YOIS_Quote</v>
      </c>
      <c r="K27" s="99">
        <f>IFERROR(_xll.qlRateHelperQuoteValue($I27,Trigger),"--")</f>
        <v>1.1512500000000002E-2</v>
      </c>
      <c r="L27" s="98" t="b">
        <v>1</v>
      </c>
      <c r="M27" s="95">
        <v>50</v>
      </c>
      <c r="N27" s="95">
        <v>1</v>
      </c>
      <c r="O27" s="100">
        <f>IFERROR(_xll.qlRateHelperEarliestDate(I27,Trigger),"--")</f>
        <v>42275</v>
      </c>
      <c r="P27" s="100">
        <f>IFERROR(_xll.qlRateHelperPillarDate(I27,Trigger),"--")</f>
        <v>44102</v>
      </c>
      <c r="R27" s="4" t="str">
        <f t="shared" si="0"/>
        <v>OIS</v>
      </c>
      <c r="S27" s="4" t="str">
        <v>obj_002fe</v>
      </c>
      <c r="T27" s="4" t="str">
        <f>IFERROR(_xll.qlRateHelperQuoteName(S27,Trigger),"")</f>
        <v>GBP9YOIS_Quote</v>
      </c>
      <c r="U27" s="73">
        <f>IFERROR(_xll.qlRateHelperRate(S27,Trigger),"")</f>
        <v>1.51375E-2</v>
      </c>
      <c r="V27" s="105" t="str">
        <f>IF(ISERROR(_xll.qlSwapRateHelperSpread($S27)),IF(ISERROR(_xll.qlFuturesRateHelperConvexityAdjustment($S27)),"",_xll.qlFuturesRateHelperConvexityAdjustment($S27)),_xll.qlSwapRateHelperSpread($S27))</f>
        <v/>
      </c>
      <c r="W27" s="5">
        <f>IFERROR(_xll.qlRateHelperEarliestDate(S27,Trigger),"")</f>
        <v>42275</v>
      </c>
      <c r="X27" s="5">
        <f>IFERROR(_xll.qlRateHelperPillarDate(S27,Trigger),"")</f>
        <v>45565</v>
      </c>
      <c r="Y27" s="241">
        <v>0.87179198106127775</v>
      </c>
    </row>
    <row r="28" spans="1:34" ht="11.25" customHeight="1" x14ac:dyDescent="0.2">
      <c r="A28" s="62" t="s">
        <v>70</v>
      </c>
      <c r="B28" s="63" t="s">
        <v>54</v>
      </c>
      <c r="C28" s="64">
        <v>0</v>
      </c>
      <c r="D28" s="65" t="str">
        <f t="shared" si="6"/>
        <v>Sonia</v>
      </c>
      <c r="E28" s="66" t="str">
        <f t="shared" si="5"/>
        <v>GBP4YOIS_Quote</v>
      </c>
      <c r="F28" s="67" t="str">
        <f>_xll.qlOISRateHelper(,C28,B28,E28,$D28,,Permanent,Trigger,ObjectOverwrite)</f>
        <v>obj_00314#0001</v>
      </c>
      <c r="H28" s="10" t="str">
        <f t="shared" si="3"/>
        <v>OIS</v>
      </c>
      <c r="I28" s="95" t="str">
        <f t="shared" si="4"/>
        <v>obj_00302#0001</v>
      </c>
      <c r="J28" s="149" t="str">
        <f>IFERROR(_xll.qlRateHelperQuoteName(I28,Trigger),"--")</f>
        <v>GBP6YOIS_Quote</v>
      </c>
      <c r="K28" s="99">
        <f>IFERROR(_xll.qlRateHelperQuoteValue($I28,Trigger),"--")</f>
        <v>1.2699999999999999E-2</v>
      </c>
      <c r="L28" s="98" t="b">
        <v>1</v>
      </c>
      <c r="M28" s="95">
        <v>50</v>
      </c>
      <c r="N28" s="95">
        <v>1</v>
      </c>
      <c r="O28" s="100">
        <f>IFERROR(_xll.qlRateHelperEarliestDate(I28,Trigger),"--")</f>
        <v>42275</v>
      </c>
      <c r="P28" s="100">
        <f>IFERROR(_xll.qlRateHelperPillarDate(I28,Trigger),"--")</f>
        <v>44467</v>
      </c>
      <c r="R28" s="4" t="str">
        <f t="shared" si="0"/>
        <v>OIS</v>
      </c>
      <c r="S28" s="4" t="str">
        <v>obj_00303</v>
      </c>
      <c r="T28" s="4" t="str">
        <f>IFERROR(_xll.qlRateHelperQuoteName(S28,Trigger),"")</f>
        <v>GBP10YOIS_Quote</v>
      </c>
      <c r="U28" s="73">
        <f>IFERROR(_xll.qlRateHelperRate(S28,Trigger),"")</f>
        <v>1.5762499999999999E-2</v>
      </c>
      <c r="V28" s="105" t="str">
        <f>IF(ISERROR(_xll.qlSwapRateHelperSpread($S28)),IF(ISERROR(_xll.qlFuturesRateHelperConvexityAdjustment($S28)),"",_xll.qlFuturesRateHelperConvexityAdjustment($S28)),_xll.qlSwapRateHelperSpread($S28))</f>
        <v/>
      </c>
      <c r="W28" s="5">
        <f>IFERROR(_xll.qlRateHelperEarliestDate(S28,Trigger),"")</f>
        <v>42275</v>
      </c>
      <c r="X28" s="5">
        <f>IFERROR(_xll.qlRateHelperPillarDate(S28,Trigger),"")</f>
        <v>45929</v>
      </c>
      <c r="Y28" s="241">
        <v>0.85308853632957848</v>
      </c>
    </row>
    <row r="29" spans="1:34" ht="11.25" customHeight="1" x14ac:dyDescent="0.2">
      <c r="A29" s="62" t="s">
        <v>70</v>
      </c>
      <c r="B29" s="63" t="s">
        <v>55</v>
      </c>
      <c r="C29" s="64">
        <v>0</v>
      </c>
      <c r="D29" s="65" t="str">
        <f t="shared" si="6"/>
        <v>Sonia</v>
      </c>
      <c r="E29" s="66" t="str">
        <f t="shared" si="5"/>
        <v>GBP5YOIS_Quote</v>
      </c>
      <c r="F29" s="67" t="str">
        <f>_xll.qlOISRateHelper(,C29,B29,E29,$D29,,Permanent,Trigger,ObjectOverwrite)</f>
        <v>obj_00312#0001</v>
      </c>
      <c r="H29" s="10" t="str">
        <f t="shared" si="3"/>
        <v>OIS</v>
      </c>
      <c r="I29" s="95" t="str">
        <f t="shared" si="4"/>
        <v>obj_00301#0001</v>
      </c>
      <c r="J29" s="149" t="str">
        <f>IFERROR(_xll.qlRateHelperQuoteName(I29,Trigger),"--")</f>
        <v>GBP7YOIS_Quote</v>
      </c>
      <c r="K29" s="99">
        <f>IFERROR(_xll.qlRateHelperQuoteValue($I29,Trigger),"--")</f>
        <v>1.3650000000000001E-2</v>
      </c>
      <c r="L29" s="98" t="b">
        <v>1</v>
      </c>
      <c r="M29" s="95">
        <v>50</v>
      </c>
      <c r="N29" s="95">
        <v>1</v>
      </c>
      <c r="O29" s="100">
        <f>IFERROR(_xll.qlRateHelperEarliestDate(I29,Trigger),"--")</f>
        <v>42275</v>
      </c>
      <c r="P29" s="100">
        <f>IFERROR(_xll.qlRateHelperPillarDate(I29,Trigger),"--")</f>
        <v>44832</v>
      </c>
      <c r="R29" s="4" t="str">
        <f t="shared" si="0"/>
        <v>OIS</v>
      </c>
      <c r="S29" s="4" t="str">
        <v>obj_00310</v>
      </c>
      <c r="T29" s="4" t="str">
        <f>IFERROR(_xll.qlRateHelperQuoteName(S29,Trigger),"")</f>
        <v>GBP12YOIS_Quote</v>
      </c>
      <c r="U29" s="73">
        <f>IFERROR(_xll.qlRateHelperRate(S29,Trigger),"")</f>
        <v>1.685E-2</v>
      </c>
      <c r="V29" s="105" t="str">
        <f>IF(ISERROR(_xll.qlSwapRateHelperSpread($S29)),IF(ISERROR(_xll.qlFuturesRateHelperConvexityAdjustment($S29)),"",_xll.qlFuturesRateHelperConvexityAdjustment($S29)),_xll.qlSwapRateHelperSpread($S29))</f>
        <v/>
      </c>
      <c r="W29" s="5">
        <f>IFERROR(_xll.qlRateHelperEarliestDate(S29,Trigger),"")</f>
        <v>42275</v>
      </c>
      <c r="X29" s="5">
        <f>IFERROR(_xll.qlRateHelperPillarDate(S29,Trigger),"")</f>
        <v>46658</v>
      </c>
      <c r="Y29" s="241">
        <v>0.81519959645151652</v>
      </c>
    </row>
    <row r="30" spans="1:34" ht="11.25" customHeight="1" x14ac:dyDescent="0.2">
      <c r="A30" s="62" t="s">
        <v>70</v>
      </c>
      <c r="B30" s="63" t="s">
        <v>56</v>
      </c>
      <c r="C30" s="64">
        <v>0</v>
      </c>
      <c r="D30" s="65" t="str">
        <f t="shared" si="6"/>
        <v>Sonia</v>
      </c>
      <c r="E30" s="66" t="str">
        <f t="shared" si="5"/>
        <v>GBP6YOIS_Quote</v>
      </c>
      <c r="F30" s="67" t="str">
        <f>_xll.qlOISRateHelper(,C30,B30,E30,$D30,,Permanent,Trigger,ObjectOverwrite)</f>
        <v>obj_00302#0001</v>
      </c>
      <c r="H30" s="10" t="str">
        <f t="shared" si="3"/>
        <v>OIS</v>
      </c>
      <c r="I30" s="95" t="str">
        <f t="shared" si="4"/>
        <v>obj_002fb#0001</v>
      </c>
      <c r="J30" s="149" t="str">
        <f>IFERROR(_xll.qlRateHelperQuoteName(I30,Trigger),"--")</f>
        <v>GBP8YOIS_Quote</v>
      </c>
      <c r="K30" s="99">
        <f>IFERROR(_xll.qlRateHelperQuoteValue($I30,Trigger),"--")</f>
        <v>1.4449999999999998E-2</v>
      </c>
      <c r="L30" s="98" t="b">
        <v>1</v>
      </c>
      <c r="M30" s="95">
        <v>50</v>
      </c>
      <c r="N30" s="95">
        <v>1</v>
      </c>
      <c r="O30" s="100">
        <f>IFERROR(_xll.qlRateHelperEarliestDate(I30,Trigger),"--")</f>
        <v>42275</v>
      </c>
      <c r="P30" s="100">
        <f>IFERROR(_xll.qlRateHelperPillarDate(I30,Trigger),"--")</f>
        <v>45197</v>
      </c>
      <c r="R30" s="4" t="str">
        <f t="shared" si="0"/>
        <v>OIS</v>
      </c>
      <c r="S30" s="4" t="str">
        <v>obj_002fa</v>
      </c>
      <c r="T30" s="4" t="str">
        <f>IFERROR(_xll.qlRateHelperQuoteName(S30,Trigger),"")</f>
        <v>GBP15YOIS_Quote</v>
      </c>
      <c r="U30" s="73">
        <f>IFERROR(_xll.qlRateHelperRate(S30,Trigger),"")</f>
        <v>1.8025000000000003E-2</v>
      </c>
      <c r="V30" s="105" t="str">
        <f>IF(ISERROR(_xll.qlSwapRateHelperSpread($S30)),IF(ISERROR(_xll.qlFuturesRateHelperConvexityAdjustment($S30)),"",_xll.qlFuturesRateHelperConvexityAdjustment($S30)),_xll.qlSwapRateHelperSpread($S30))</f>
        <v/>
      </c>
      <c r="W30" s="5">
        <f>IFERROR(_xll.qlRateHelperEarliestDate(S30,Trigger),"")</f>
        <v>42275</v>
      </c>
      <c r="X30" s="5">
        <f>IFERROR(_xll.qlRateHelperPillarDate(S30,Trigger),"")</f>
        <v>47756</v>
      </c>
      <c r="Y30" s="241">
        <v>0.76011605445980135</v>
      </c>
    </row>
    <row r="31" spans="1:34" ht="11.25" customHeight="1" x14ac:dyDescent="0.2">
      <c r="A31" s="62" t="s">
        <v>70</v>
      </c>
      <c r="B31" s="63" t="s">
        <v>57</v>
      </c>
      <c r="C31" s="64">
        <v>0</v>
      </c>
      <c r="D31" s="65" t="str">
        <f t="shared" si="6"/>
        <v>Sonia</v>
      </c>
      <c r="E31" s="66" t="str">
        <f t="shared" si="5"/>
        <v>GBP7YOIS_Quote</v>
      </c>
      <c r="F31" s="67" t="str">
        <f>_xll.qlOISRateHelper(,C31,B31,E31,$D31,,Permanent,Trigger,ObjectOverwrite)</f>
        <v>obj_00301#0001</v>
      </c>
      <c r="H31" s="10" t="str">
        <f t="shared" si="3"/>
        <v>OIS</v>
      </c>
      <c r="I31" s="95" t="str">
        <f t="shared" si="4"/>
        <v>obj_002fe#0001</v>
      </c>
      <c r="J31" s="149" t="str">
        <f>IFERROR(_xll.qlRateHelperQuoteName(I31,Trigger),"--")</f>
        <v>GBP9YOIS_Quote</v>
      </c>
      <c r="K31" s="99">
        <f>IFERROR(_xll.qlRateHelperQuoteValue($I31,Trigger),"--")</f>
        <v>1.51375E-2</v>
      </c>
      <c r="L31" s="98" t="b">
        <v>1</v>
      </c>
      <c r="M31" s="95">
        <v>50</v>
      </c>
      <c r="N31" s="95">
        <v>1</v>
      </c>
      <c r="O31" s="100">
        <f>IFERROR(_xll.qlRateHelperEarliestDate(I31,Trigger),"--")</f>
        <v>42275</v>
      </c>
      <c r="P31" s="100">
        <f>IFERROR(_xll.qlRateHelperPillarDate(I31,Trigger),"--")</f>
        <v>45565</v>
      </c>
      <c r="R31" s="4" t="str">
        <f t="shared" si="0"/>
        <v>OIS</v>
      </c>
      <c r="S31" s="4" t="str">
        <v>obj_00304</v>
      </c>
      <c r="T31" s="4" t="str">
        <f>IFERROR(_xll.qlRateHelperQuoteName(S31,Trigger),"")</f>
        <v>GBP20YOIS_Quote</v>
      </c>
      <c r="U31" s="73">
        <f>IFERROR(_xll.qlRateHelperRate(S31,Trigger),"")</f>
        <v>1.9037499999999999E-2</v>
      </c>
      <c r="V31" s="105" t="str">
        <f>IF(ISERROR(_xll.qlSwapRateHelperSpread($S31)),IF(ISERROR(_xll.qlFuturesRateHelperConvexityAdjustment($S31)),"",_xll.qlFuturesRateHelperConvexityAdjustment($S31)),_xll.qlSwapRateHelperSpread($S31))</f>
        <v/>
      </c>
      <c r="W31" s="5">
        <f>IFERROR(_xll.qlRateHelperEarliestDate(S31,Trigger),"")</f>
        <v>42275</v>
      </c>
      <c r="X31" s="5">
        <f>IFERROR(_xll.qlRateHelperPillarDate(S31,Trigger),"")</f>
        <v>49580</v>
      </c>
      <c r="Y31" s="241">
        <v>0.67906759148557583</v>
      </c>
    </row>
    <row r="32" spans="1:34" ht="11.25" customHeight="1" x14ac:dyDescent="0.2">
      <c r="A32" s="62" t="s">
        <v>70</v>
      </c>
      <c r="B32" s="63" t="s">
        <v>58</v>
      </c>
      <c r="C32" s="64">
        <v>0</v>
      </c>
      <c r="D32" s="65" t="str">
        <f t="shared" si="6"/>
        <v>Sonia</v>
      </c>
      <c r="E32" s="66" t="str">
        <f t="shared" si="5"/>
        <v>GBP8YOIS_Quote</v>
      </c>
      <c r="F32" s="67" t="str">
        <f>_xll.qlOISRateHelper(,C32,B32,E32,$D32,,Permanent,Trigger,ObjectOverwrite)</f>
        <v>obj_002fb#0001</v>
      </c>
      <c r="H32" s="10" t="str">
        <f t="shared" si="3"/>
        <v>OIS</v>
      </c>
      <c r="I32" s="95" t="str">
        <f t="shared" si="4"/>
        <v>obj_00303#0001</v>
      </c>
      <c r="J32" s="149" t="str">
        <f>IFERROR(_xll.qlRateHelperQuoteName(I32,Trigger),"--")</f>
        <v>GBP10YOIS_Quote</v>
      </c>
      <c r="K32" s="99">
        <f>IFERROR(_xll.qlRateHelperQuoteValue($I32,Trigger),"--")</f>
        <v>1.5762499999999999E-2</v>
      </c>
      <c r="L32" s="98" t="b">
        <v>1</v>
      </c>
      <c r="M32" s="95">
        <v>50</v>
      </c>
      <c r="N32" s="95">
        <v>1</v>
      </c>
      <c r="O32" s="100">
        <f>IFERROR(_xll.qlRateHelperEarliestDate(I32,Trigger),"--")</f>
        <v>42275</v>
      </c>
      <c r="P32" s="100">
        <f>IFERROR(_xll.qlRateHelperPillarDate(I32,Trigger),"--")</f>
        <v>45929</v>
      </c>
      <c r="R32" s="4" t="str">
        <f t="shared" si="0"/>
        <v>OIS</v>
      </c>
      <c r="S32" s="4" t="str">
        <v>obj_0030c</v>
      </c>
      <c r="T32" s="4" t="str">
        <f>IFERROR(_xll.qlRateHelperQuoteName(S32,Trigger),"")</f>
        <v>GBP25YOIS_Quote</v>
      </c>
      <c r="U32" s="73">
        <f>IFERROR(_xll.qlRateHelperRate(S32,Trigger),"")</f>
        <v>1.9349999999999999E-2</v>
      </c>
      <c r="V32" s="105" t="str">
        <f>IF(ISERROR(_xll.qlSwapRateHelperSpread($S32)),IF(ISERROR(_xll.qlFuturesRateHelperConvexityAdjustment($S32)),"",_xll.qlFuturesRateHelperConvexityAdjustment($S32)),_xll.qlSwapRateHelperSpread($S32))</f>
        <v/>
      </c>
      <c r="W32" s="5">
        <f>IFERROR(_xll.qlRateHelperEarliestDate(S32,Trigger),"")</f>
        <v>42275</v>
      </c>
      <c r="X32" s="5">
        <f>IFERROR(_xll.qlRateHelperPillarDate(S32,Trigger),"")</f>
        <v>51407</v>
      </c>
      <c r="Y32" s="241">
        <v>0.61200819095968029</v>
      </c>
    </row>
    <row r="33" spans="1:25" ht="11.25" customHeight="1" x14ac:dyDescent="0.2">
      <c r="A33" s="62" t="s">
        <v>70</v>
      </c>
      <c r="B33" s="63" t="s">
        <v>59</v>
      </c>
      <c r="C33" s="64">
        <v>0</v>
      </c>
      <c r="D33" s="65" t="str">
        <f t="shared" si="6"/>
        <v>Sonia</v>
      </c>
      <c r="E33" s="66" t="str">
        <f t="shared" si="5"/>
        <v>GBP9YOIS_Quote</v>
      </c>
      <c r="F33" s="67" t="str">
        <f>_xll.qlOISRateHelper(,C33,B33,E33,$D33,,Permanent,Trigger,ObjectOverwrite)</f>
        <v>obj_002fe#0001</v>
      </c>
      <c r="H33" s="10" t="str">
        <f t="shared" si="3"/>
        <v>OIS</v>
      </c>
      <c r="I33" s="95" t="str">
        <f t="shared" si="4"/>
        <v>--</v>
      </c>
      <c r="J33" s="149" t="str">
        <f>IFERROR(_xll.qlRateHelperQuoteName(I33,Trigger),"--")</f>
        <v>--</v>
      </c>
      <c r="K33" s="99" t="str">
        <f>IFERROR(_xll.qlRateHelperQuoteValue($I33,Trigger),"--")</f>
        <v>--</v>
      </c>
      <c r="L33" s="98" t="b">
        <v>0</v>
      </c>
      <c r="M33" s="95">
        <v>50</v>
      </c>
      <c r="N33" s="95">
        <v>1</v>
      </c>
      <c r="O33" s="100" t="str">
        <f>IFERROR(_xll.qlRateHelperEarliestDate(I33,Trigger),"--")</f>
        <v>--</v>
      </c>
      <c r="P33" s="100" t="str">
        <f>IFERROR(_xll.qlRateHelperPillarDate(I33,Trigger),"--")</f>
        <v>--</v>
      </c>
      <c r="R33" s="4" t="str">
        <f t="shared" si="0"/>
        <v>OIS</v>
      </c>
      <c r="S33" s="4" t="str">
        <v>obj_00305</v>
      </c>
      <c r="T33" s="4" t="str">
        <f>IFERROR(_xll.qlRateHelperQuoteName(S33,Trigger),"")</f>
        <v>GBP30YOIS_Quote</v>
      </c>
      <c r="U33" s="73">
        <f>IFERROR(_xll.qlRateHelperRate(S33,Trigger),"")</f>
        <v>1.9474999999999999E-2</v>
      </c>
      <c r="V33" s="105" t="str">
        <f>IF(ISERROR(_xll.qlSwapRateHelperSpread($S33)),IF(ISERROR(_xll.qlFuturesRateHelperConvexityAdjustment($S33)),"",_xll.qlFuturesRateHelperConvexityAdjustment($S33)),_xll.qlSwapRateHelperSpread($S33))</f>
        <v/>
      </c>
      <c r="W33" s="5">
        <f>IFERROR(_xll.qlRateHelperEarliestDate(S33,Trigger),"")</f>
        <v>42275</v>
      </c>
      <c r="X33" s="5">
        <f>IFERROR(_xll.qlRateHelperPillarDate(S33,Trigger),"")</f>
        <v>53233</v>
      </c>
      <c r="Y33" s="241">
        <v>0.55337083831350597</v>
      </c>
    </row>
    <row r="34" spans="1:25" ht="11.25" customHeight="1" x14ac:dyDescent="0.2">
      <c r="A34" s="62" t="s">
        <v>70</v>
      </c>
      <c r="B34" s="63" t="s">
        <v>60</v>
      </c>
      <c r="C34" s="64">
        <v>0</v>
      </c>
      <c r="D34" s="65" t="str">
        <f t="shared" si="6"/>
        <v>Sonia</v>
      </c>
      <c r="E34" s="66" t="str">
        <f t="shared" si="5"/>
        <v>GBP10YOIS_Quote</v>
      </c>
      <c r="F34" s="67" t="str">
        <f>_xll.qlOISRateHelper(,C34,B34,E34,$D34,,Permanent,Trigger,ObjectOverwrite)</f>
        <v>obj_00303#0001</v>
      </c>
      <c r="H34" s="10" t="str">
        <f t="shared" si="3"/>
        <v>OIS</v>
      </c>
      <c r="I34" s="95" t="str">
        <f t="shared" si="4"/>
        <v>obj_00310#0001</v>
      </c>
      <c r="J34" s="149" t="str">
        <f>IFERROR(_xll.qlRateHelperQuoteName(I34,Trigger),"--")</f>
        <v>GBP12YOIS_Quote</v>
      </c>
      <c r="K34" s="99">
        <f>IFERROR(_xll.qlRateHelperQuoteValue($I34,Trigger),"--")</f>
        <v>1.685E-2</v>
      </c>
      <c r="L34" s="98" t="b">
        <v>1</v>
      </c>
      <c r="M34" s="95">
        <v>50</v>
      </c>
      <c r="N34" s="95">
        <v>1</v>
      </c>
      <c r="O34" s="100">
        <f>IFERROR(_xll.qlRateHelperEarliestDate(I34,Trigger),"--")</f>
        <v>42275</v>
      </c>
      <c r="P34" s="100">
        <f>IFERROR(_xll.qlRateHelperPillarDate(I34,Trigger),"--")</f>
        <v>46658</v>
      </c>
      <c r="R34" s="4" t="str">
        <f t="shared" si="0"/>
        <v>OIS</v>
      </c>
      <c r="S34" s="4" t="str">
        <v>obj_0030f</v>
      </c>
      <c r="T34" s="4" t="str">
        <f>IFERROR(_xll.qlRateHelperQuoteName(S34,Trigger),"")</f>
        <v>GBP40YOIS_Quote</v>
      </c>
      <c r="U34" s="73">
        <f>IFERROR(_xll.qlRateHelperRate(S34,Trigger),"")</f>
        <v>1.9199999999999998E-2</v>
      </c>
      <c r="V34" s="105" t="str">
        <f>IF(ISERROR(_xll.qlSwapRateHelperSpread($S34)),IF(ISERROR(_xll.qlFuturesRateHelperConvexityAdjustment($S34)),"",_xll.qlFuturesRateHelperConvexityAdjustment($S34)),_xll.qlSwapRateHelperSpread($S34))</f>
        <v/>
      </c>
      <c r="W34" s="5">
        <f>IFERROR(_xll.qlRateHelperEarliestDate(S34,Trigger),"")</f>
        <v>42275</v>
      </c>
      <c r="X34" s="5">
        <f>IFERROR(_xll.qlRateHelperPillarDate(S34,Trigger),"")</f>
        <v>56885</v>
      </c>
      <c r="Y34" s="241">
        <v>0.46336796178082501</v>
      </c>
    </row>
    <row r="35" spans="1:25" ht="11.25" customHeight="1" x14ac:dyDescent="0.2">
      <c r="A35" s="62" t="s">
        <v>70</v>
      </c>
      <c r="B35" s="63" t="s">
        <v>102</v>
      </c>
      <c r="C35" s="64">
        <v>0</v>
      </c>
      <c r="D35" s="65" t="str">
        <f t="shared" si="6"/>
        <v>Sonia</v>
      </c>
      <c r="E35" s="66" t="str">
        <f t="shared" si="5"/>
        <v>GBP11YOIS_Quote</v>
      </c>
      <c r="F35" s="67"/>
      <c r="H35" s="10" t="str">
        <f t="shared" si="3"/>
        <v>OIS</v>
      </c>
      <c r="I35" s="95" t="str">
        <f t="shared" si="4"/>
        <v>obj_002fa#0001</v>
      </c>
      <c r="J35" s="149" t="str">
        <f>IFERROR(_xll.qlRateHelperQuoteName(I35,Trigger),"--")</f>
        <v>GBP15YOIS_Quote</v>
      </c>
      <c r="K35" s="99">
        <f>IFERROR(_xll.qlRateHelperQuoteValue($I35,Trigger),"--")</f>
        <v>1.8025000000000003E-2</v>
      </c>
      <c r="L35" s="98" t="b">
        <v>1</v>
      </c>
      <c r="M35" s="95">
        <v>50</v>
      </c>
      <c r="N35" s="95">
        <v>1</v>
      </c>
      <c r="O35" s="100">
        <f>IFERROR(_xll.qlRateHelperEarliestDate(I35,Trigger),"--")</f>
        <v>42275</v>
      </c>
      <c r="P35" s="100">
        <f>IFERROR(_xll.qlRateHelperPillarDate(I35,Trigger),"--")</f>
        <v>47756</v>
      </c>
      <c r="R35" s="4" t="str">
        <f t="shared" si="0"/>
        <v>OIS</v>
      </c>
      <c r="S35" s="4" t="str">
        <v>obj_00306</v>
      </c>
      <c r="T35" s="4" t="str">
        <f>IFERROR(_xll.qlRateHelperQuoteName(S35,Trigger),"")</f>
        <v>GBP50YOIS_Quote</v>
      </c>
      <c r="U35" s="73">
        <f>IFERROR(_xll.qlRateHelperRate(S35,Trigger),"")</f>
        <v>1.8887499999999998E-2</v>
      </c>
      <c r="V35" s="105" t="str">
        <f>IF(ISERROR(_xll.qlSwapRateHelperSpread($S35)),IF(ISERROR(_xll.qlFuturesRateHelperConvexityAdjustment($S35)),"",_xll.qlFuturesRateHelperConvexityAdjustment($S35)),_xll.qlSwapRateHelperSpread($S35))</f>
        <v/>
      </c>
      <c r="W35" s="5">
        <f>IFERROR(_xll.qlRateHelperEarliestDate(S35,Trigger),"")</f>
        <v>42275</v>
      </c>
      <c r="X35" s="5">
        <f>IFERROR(_xll.qlRateHelperPillarDate(S35,Trigger),"")</f>
        <v>60538</v>
      </c>
      <c r="Y35" s="241">
        <v>0.39203556609448792</v>
      </c>
    </row>
    <row r="36" spans="1:25" ht="11.25" customHeight="1" x14ac:dyDescent="0.2">
      <c r="A36" s="62" t="s">
        <v>70</v>
      </c>
      <c r="B36" s="63" t="s">
        <v>61</v>
      </c>
      <c r="C36" s="64">
        <v>0</v>
      </c>
      <c r="D36" s="65" t="str">
        <f t="shared" si="6"/>
        <v>Sonia</v>
      </c>
      <c r="E36" s="66" t="str">
        <f t="shared" si="5"/>
        <v>GBP12YOIS_Quote</v>
      </c>
      <c r="F36" s="67" t="str">
        <f>_xll.qlOISRateHelper(,C36,B36,E36,$D36,,Permanent,Trigger,ObjectOverwrite)</f>
        <v>obj_00310#0001</v>
      </c>
      <c r="H36" s="10" t="str">
        <f t="shared" si="3"/>
        <v>OIS</v>
      </c>
      <c r="I36" s="95" t="str">
        <f t="shared" si="4"/>
        <v>obj_00304#0001</v>
      </c>
      <c r="J36" s="149" t="str">
        <f>IFERROR(_xll.qlRateHelperQuoteName(I36,Trigger),"--")</f>
        <v>GBP20YOIS_Quote</v>
      </c>
      <c r="K36" s="99">
        <f>IFERROR(_xll.qlRateHelperQuoteValue($I36,Trigger),"--")</f>
        <v>1.9037499999999999E-2</v>
      </c>
      <c r="L36" s="98" t="b">
        <v>1</v>
      </c>
      <c r="M36" s="95">
        <v>50</v>
      </c>
      <c r="N36" s="95">
        <v>1</v>
      </c>
      <c r="O36" s="100">
        <f>IFERROR(_xll.qlRateHelperEarliestDate(I36,Trigger),"--")</f>
        <v>42275</v>
      </c>
      <c r="P36" s="100">
        <f>IFERROR(_xll.qlRateHelperPillarDate(I36,Trigger),"--")</f>
        <v>49580</v>
      </c>
      <c r="R36" s="4" t="str">
        <f t="shared" si="0"/>
        <v>OIS</v>
      </c>
      <c r="S36" s="4" t="str">
        <v>obj_00316</v>
      </c>
      <c r="T36" s="4" t="str">
        <f>IFERROR(_xll.qlRateHelperQuoteName(S36,Trigger),"")</f>
        <v>GBP60YOIS_Quote</v>
      </c>
      <c r="U36" s="73">
        <f>IFERROR(_xll.qlRateHelperRate(S36,Trigger),"")</f>
        <v>1.8912499999999999E-2</v>
      </c>
      <c r="V36" s="105" t="str">
        <f>IF(ISERROR(_xll.qlSwapRateHelperSpread($S36)),IF(ISERROR(_xll.qlFuturesRateHelperConvexityAdjustment($S36)),"",_xll.qlFuturesRateHelperConvexityAdjustment($S36)),_xll.qlSwapRateHelperSpread($S36))</f>
        <v/>
      </c>
      <c r="W36" s="5">
        <f>IFERROR(_xll.qlRateHelperEarliestDate(S36,Trigger),"")</f>
        <v>42275</v>
      </c>
      <c r="X36" s="5">
        <f>IFERROR(_xll.qlRateHelperPillarDate(S36,Trigger),"")</f>
        <v>64192</v>
      </c>
      <c r="Y36" s="241">
        <v>0.32416829534420294</v>
      </c>
    </row>
    <row r="37" spans="1:25" ht="11.25" customHeight="1" x14ac:dyDescent="0.2">
      <c r="A37" s="62" t="s">
        <v>70</v>
      </c>
      <c r="B37" s="63" t="s">
        <v>62</v>
      </c>
      <c r="C37" s="64">
        <v>0</v>
      </c>
      <c r="D37" s="65" t="str">
        <f t="shared" si="6"/>
        <v>Sonia</v>
      </c>
      <c r="E37" s="66" t="str">
        <f t="shared" si="5"/>
        <v>GBP15YOIS_Quote</v>
      </c>
      <c r="F37" s="67" t="str">
        <f>_xll.qlOISRateHelper(,C37,B37,E37,$D37,,Permanent,Trigger,ObjectOverwrite)</f>
        <v>obj_002fa#0001</v>
      </c>
      <c r="H37" s="10" t="str">
        <f t="shared" si="3"/>
        <v>OIS</v>
      </c>
      <c r="I37" s="95" t="str">
        <f t="shared" si="4"/>
        <v>obj_0030c#0001</v>
      </c>
      <c r="J37" s="149" t="str">
        <f>IFERROR(_xll.qlRateHelperQuoteName(I37,Trigger),"--")</f>
        <v>GBP25YOIS_Quote</v>
      </c>
      <c r="K37" s="99">
        <f>IFERROR(_xll.qlRateHelperQuoteValue($I37,Trigger),"--")</f>
        <v>1.9349999999999999E-2</v>
      </c>
      <c r="L37" s="98" t="b">
        <v>1</v>
      </c>
      <c r="M37" s="95">
        <v>50</v>
      </c>
      <c r="N37" s="95">
        <v>1</v>
      </c>
      <c r="O37" s="100">
        <f>IFERROR(_xll.qlRateHelperEarliestDate(I37,Trigger),"--")</f>
        <v>42275</v>
      </c>
      <c r="P37" s="100">
        <f>IFERROR(_xll.qlRateHelperPillarDate(I37,Trigger),"--")</f>
        <v>51407</v>
      </c>
      <c r="R37" s="4" t="str">
        <f t="shared" si="0"/>
        <v/>
      </c>
      <c r="S37" s="4" t="e">
        <v>#N/A</v>
      </c>
      <c r="T37" s="4" t="str">
        <f>IFERROR(_xll.qlRateHelperQuoteName(S37,Trigger),"")</f>
        <v/>
      </c>
      <c r="U37" s="73" t="str">
        <f>IFERROR(_xll.qlRateHelperRate(S37,Trigger),"")</f>
        <v/>
      </c>
      <c r="V37" s="105" t="str">
        <f>IF(ISERROR(_xll.qlSwapRateHelperSpread($S37)),IF(ISERROR(_xll.qlFuturesRateHelperConvexityAdjustment($S37)),"",_xll.qlFuturesRateHelperConvexityAdjustment($S37)),_xll.qlSwapRateHelperSpread($S37))</f>
        <v/>
      </c>
      <c r="W37" s="5" t="str">
        <f>IFERROR(_xll.qlRateHelperEarliestDate(S37,Trigger),"")</f>
        <v/>
      </c>
      <c r="X37" s="5" t="str">
        <f>IFERROR(_xll.qlRateHelperPillarDate(S37,Trigger),"")</f>
        <v/>
      </c>
      <c r="Y37" s="241" t="e">
        <v>#N/A</v>
      </c>
    </row>
    <row r="38" spans="1:25" ht="11.25" customHeight="1" x14ac:dyDescent="0.2">
      <c r="A38" s="62" t="s">
        <v>70</v>
      </c>
      <c r="B38" s="63" t="s">
        <v>63</v>
      </c>
      <c r="C38" s="64">
        <v>0</v>
      </c>
      <c r="D38" s="65" t="str">
        <f t="shared" si="6"/>
        <v>Sonia</v>
      </c>
      <c r="E38" s="66" t="str">
        <f t="shared" si="5"/>
        <v>GBP20YOIS_Quote</v>
      </c>
      <c r="F38" s="67" t="str">
        <f>_xll.qlOISRateHelper(,C38,B38,E38,$D38,,Permanent,Trigger,ObjectOverwrite)</f>
        <v>obj_00304#0001</v>
      </c>
      <c r="H38" s="10" t="str">
        <f t="shared" si="3"/>
        <v>OIS</v>
      </c>
      <c r="I38" s="95" t="str">
        <f t="shared" si="4"/>
        <v>obj_00305#0001</v>
      </c>
      <c r="J38" s="149" t="str">
        <f>IFERROR(_xll.qlRateHelperQuoteName(I38,Trigger),"--")</f>
        <v>GBP30YOIS_Quote</v>
      </c>
      <c r="K38" s="99">
        <f>IFERROR(_xll.qlRateHelperQuoteValue($I38,Trigger),"--")</f>
        <v>1.9474999999999999E-2</v>
      </c>
      <c r="L38" s="98" t="b">
        <v>1</v>
      </c>
      <c r="M38" s="95">
        <v>50</v>
      </c>
      <c r="N38" s="95">
        <v>1</v>
      </c>
      <c r="O38" s="100">
        <f>IFERROR(_xll.qlRateHelperEarliestDate(I38,Trigger),"--")</f>
        <v>42275</v>
      </c>
      <c r="P38" s="100">
        <f>IFERROR(_xll.qlRateHelperPillarDate(I38,Trigger),"--")</f>
        <v>53233</v>
      </c>
      <c r="R38" s="4" t="str">
        <f t="shared" si="0"/>
        <v/>
      </c>
      <c r="S38" s="4" t="e">
        <v>#N/A</v>
      </c>
      <c r="T38" s="4" t="str">
        <f>IFERROR(_xll.qlRateHelperQuoteName(S38,Trigger),"")</f>
        <v/>
      </c>
      <c r="U38" s="73" t="str">
        <f>IFERROR(_xll.qlRateHelperRate(S38,Trigger),"")</f>
        <v/>
      </c>
      <c r="V38" s="105" t="str">
        <f>IF(ISERROR(_xll.qlSwapRateHelperSpread($S38)),IF(ISERROR(_xll.qlFuturesRateHelperConvexityAdjustment($S38)),"",_xll.qlFuturesRateHelperConvexityAdjustment($S38)),_xll.qlSwapRateHelperSpread($S38))</f>
        <v/>
      </c>
      <c r="W38" s="5" t="str">
        <f>IFERROR(_xll.qlRateHelperEarliestDate(S38,Trigger),"")</f>
        <v/>
      </c>
      <c r="X38" s="5" t="str">
        <f>IFERROR(_xll.qlRateHelperPillarDate(S38,Trigger),"")</f>
        <v/>
      </c>
      <c r="Y38" s="241" t="e">
        <v>#N/A</v>
      </c>
    </row>
    <row r="39" spans="1:25" ht="11.25" customHeight="1" x14ac:dyDescent="0.2">
      <c r="A39" s="62" t="s">
        <v>70</v>
      </c>
      <c r="B39" s="63" t="s">
        <v>64</v>
      </c>
      <c r="C39" s="64">
        <v>0</v>
      </c>
      <c r="D39" s="65" t="str">
        <f t="shared" si="6"/>
        <v>Sonia</v>
      </c>
      <c r="E39" s="66" t="str">
        <f t="shared" si="5"/>
        <v>GBP25YOIS_Quote</v>
      </c>
      <c r="F39" s="67" t="str">
        <f>_xll.qlOISRateHelper(,C39,B39,E39,$D39,,Permanent,Trigger,ObjectOverwrite)</f>
        <v>obj_0030c#0001</v>
      </c>
      <c r="H39" s="10" t="str">
        <f t="shared" si="3"/>
        <v>OIS</v>
      </c>
      <c r="I39" s="95" t="str">
        <f t="shared" si="4"/>
        <v>obj_0030f#0001</v>
      </c>
      <c r="J39" s="149" t="str">
        <f>IFERROR(_xll.qlRateHelperQuoteName(I39,Trigger),"--")</f>
        <v>GBP40YOIS_Quote</v>
      </c>
      <c r="K39" s="99">
        <f>IFERROR(_xll.qlRateHelperQuoteValue($I39,Trigger),"--")</f>
        <v>1.9199999999999998E-2</v>
      </c>
      <c r="L39" s="98" t="b">
        <v>1</v>
      </c>
      <c r="M39" s="95">
        <v>50</v>
      </c>
      <c r="N39" s="95">
        <v>1</v>
      </c>
      <c r="O39" s="100">
        <f>IFERROR(_xll.qlRateHelperEarliestDate(I39,Trigger),"--")</f>
        <v>42275</v>
      </c>
      <c r="P39" s="100">
        <f>IFERROR(_xll.qlRateHelperPillarDate(I39,Trigger),"--")</f>
        <v>56885</v>
      </c>
      <c r="R39" s="4" t="str">
        <f t="shared" si="0"/>
        <v/>
      </c>
      <c r="S39" s="4" t="e">
        <v>#N/A</v>
      </c>
      <c r="T39" s="4" t="str">
        <f>IFERROR(_xll.qlRateHelperQuoteName(S39,Trigger),"")</f>
        <v/>
      </c>
      <c r="U39" s="73" t="str">
        <f>IFERROR(_xll.qlRateHelperRate(S39,Trigger),"")</f>
        <v/>
      </c>
      <c r="V39" s="105" t="str">
        <f>IF(ISERROR(_xll.qlSwapRateHelperSpread($S39)),IF(ISERROR(_xll.qlFuturesRateHelperConvexityAdjustment($S39)),"",_xll.qlFuturesRateHelperConvexityAdjustment($S39)),_xll.qlSwapRateHelperSpread($S39))</f>
        <v/>
      </c>
      <c r="W39" s="5" t="str">
        <f>IFERROR(_xll.qlRateHelperEarliestDate(S39,Trigger),"")</f>
        <v/>
      </c>
      <c r="X39" s="5" t="str">
        <f>IFERROR(_xll.qlRateHelperPillarDate(S39,Trigger),"")</f>
        <v/>
      </c>
      <c r="Y39" s="241" t="e">
        <v>#N/A</v>
      </c>
    </row>
    <row r="40" spans="1:25" ht="11.25" customHeight="1" x14ac:dyDescent="0.2">
      <c r="A40" s="62" t="s">
        <v>70</v>
      </c>
      <c r="B40" s="63" t="s">
        <v>66</v>
      </c>
      <c r="C40" s="64">
        <v>0</v>
      </c>
      <c r="D40" s="65" t="str">
        <f t="shared" si="6"/>
        <v>Sonia</v>
      </c>
      <c r="E40" s="66" t="str">
        <f t="shared" si="5"/>
        <v>GBP30YOIS_Quote</v>
      </c>
      <c r="F40" s="67" t="str">
        <f>_xll.qlOISRateHelper(,C40,B40,E40,$D40,,Permanent,Trigger,ObjectOverwrite)</f>
        <v>obj_00305#0001</v>
      </c>
      <c r="H40" s="10" t="str">
        <f t="shared" si="3"/>
        <v>OIS</v>
      </c>
      <c r="I40" s="95" t="str">
        <f t="shared" si="4"/>
        <v>obj_00306#0001</v>
      </c>
      <c r="J40" s="149" t="str">
        <f>IFERROR(_xll.qlRateHelperQuoteName(I40,Trigger),"--")</f>
        <v>GBP50YOIS_Quote</v>
      </c>
      <c r="K40" s="99">
        <f>IFERROR(_xll.qlRateHelperQuoteValue($I40,Trigger),"--")</f>
        <v>1.8887499999999998E-2</v>
      </c>
      <c r="L40" s="98" t="b">
        <v>1</v>
      </c>
      <c r="M40" s="95">
        <v>50</v>
      </c>
      <c r="N40" s="95">
        <v>1</v>
      </c>
      <c r="O40" s="100">
        <f>IFERROR(_xll.qlRateHelperEarliestDate(I40,Trigger),"--")</f>
        <v>42275</v>
      </c>
      <c r="P40" s="100">
        <f>IFERROR(_xll.qlRateHelperPillarDate(I40,Trigger),"--")</f>
        <v>60538</v>
      </c>
      <c r="R40" s="4" t="str">
        <f t="shared" si="0"/>
        <v/>
      </c>
      <c r="S40" s="4" t="e">
        <v>#N/A</v>
      </c>
      <c r="T40" s="4" t="str">
        <f>IFERROR(_xll.qlRateHelperQuoteName(S40,Trigger),"")</f>
        <v/>
      </c>
      <c r="U40" s="73" t="str">
        <f>IFERROR(_xll.qlRateHelperRate(S40,Trigger),"")</f>
        <v/>
      </c>
      <c r="V40" s="105" t="str">
        <f>IF(ISERROR(_xll.qlSwapRateHelperSpread($S40)),IF(ISERROR(_xll.qlFuturesRateHelperConvexityAdjustment($S40)),"",_xll.qlFuturesRateHelperConvexityAdjustment($S40)),_xll.qlSwapRateHelperSpread($S40))</f>
        <v/>
      </c>
      <c r="W40" s="5" t="str">
        <f>IFERROR(_xll.qlRateHelperEarliestDate(S40,Trigger),"")</f>
        <v/>
      </c>
      <c r="X40" s="5" t="str">
        <f>IFERROR(_xll.qlRateHelperPillarDate(S40,Trigger),"")</f>
        <v/>
      </c>
      <c r="Y40" s="241" t="e">
        <v>#N/A</v>
      </c>
    </row>
    <row r="41" spans="1:25" ht="11.25" customHeight="1" x14ac:dyDescent="0.2">
      <c r="A41" s="62" t="s">
        <v>70</v>
      </c>
      <c r="B41" s="63" t="s">
        <v>68</v>
      </c>
      <c r="C41" s="64">
        <v>0</v>
      </c>
      <c r="D41" s="65" t="str">
        <f t="shared" si="6"/>
        <v>Sonia</v>
      </c>
      <c r="E41" s="66" t="str">
        <f t="shared" si="5"/>
        <v>GBP40YOIS_Quote</v>
      </c>
      <c r="F41" s="67" t="str">
        <f>_xll.qlOISRateHelper(,C41,B41,E41,$D41,,Permanent,Trigger,ObjectOverwrite)</f>
        <v>obj_0030f#0001</v>
      </c>
      <c r="H41" s="11" t="str">
        <f t="shared" si="3"/>
        <v>OIS</v>
      </c>
      <c r="I41" s="96" t="str">
        <f t="shared" si="4"/>
        <v>obj_00316#0001</v>
      </c>
      <c r="J41" s="150" t="str">
        <f>IFERROR(_xll.qlRateHelperQuoteName(I41,Trigger),"--")</f>
        <v>GBP60YOIS_Quote</v>
      </c>
      <c r="K41" s="102">
        <f>IFERROR(_xll.qlRateHelperQuoteValue($I41,Trigger),"--")</f>
        <v>1.8912499999999999E-2</v>
      </c>
      <c r="L41" s="101" t="b">
        <v>1</v>
      </c>
      <c r="M41" s="96">
        <v>50</v>
      </c>
      <c r="N41" s="96">
        <v>1</v>
      </c>
      <c r="O41" s="103">
        <f>IFERROR(_xll.qlRateHelperEarliestDate(I41,Trigger),"--")</f>
        <v>42275</v>
      </c>
      <c r="P41" s="103">
        <f>IFERROR(_xll.qlRateHelperPillarDate(I41,Trigger),"--")</f>
        <v>64192</v>
      </c>
      <c r="R41" s="6" t="str">
        <f t="shared" si="0"/>
        <v/>
      </c>
      <c r="S41" s="6" t="e">
        <v>#N/A</v>
      </c>
      <c r="T41" s="6" t="str">
        <f>IFERROR(_xll.qlRateHelperQuoteName(S41,Trigger),"")</f>
        <v/>
      </c>
      <c r="U41" s="80" t="str">
        <f>IFERROR(_xll.qlRateHelperRate(S41,Trigger),"")</f>
        <v/>
      </c>
      <c r="V41" s="106" t="str">
        <f>IF(ISERROR(_xll.qlSwapRateHelperSpread($S41)),IF(ISERROR(_xll.qlFuturesRateHelperConvexityAdjustment($S41)),"",_xll.qlFuturesRateHelperConvexityAdjustment($S41)),_xll.qlSwapRateHelperSpread($S41))</f>
        <v/>
      </c>
      <c r="W41" s="12" t="str">
        <f>IFERROR(_xll.qlRateHelperEarliestDate(S41,Trigger),"")</f>
        <v/>
      </c>
      <c r="X41" s="12" t="str">
        <f>IFERROR(_xll.qlRateHelperPillarDate(S41,Trigger),"")</f>
        <v/>
      </c>
      <c r="Y41" s="242" t="e">
        <v>#N/A</v>
      </c>
    </row>
    <row r="42" spans="1:25" ht="11.25" customHeight="1" x14ac:dyDescent="0.2">
      <c r="A42" s="62" t="s">
        <v>70</v>
      </c>
      <c r="B42" s="63" t="s">
        <v>69</v>
      </c>
      <c r="C42" s="64">
        <v>0</v>
      </c>
      <c r="D42" s="65" t="str">
        <f t="shared" si="6"/>
        <v>Sonia</v>
      </c>
      <c r="E42" s="66" t="str">
        <f t="shared" si="5"/>
        <v>GBP50YOIS_Quote</v>
      </c>
      <c r="F42" s="67" t="str">
        <f>_xll.qlOISRateHelper(,C42,B42,E42,$D42,,Permanent,Trigger,ObjectOverwrite)</f>
        <v>obj_00306#0001</v>
      </c>
    </row>
    <row r="43" spans="1:25" ht="11.25" customHeight="1" x14ac:dyDescent="0.2">
      <c r="A43" s="1" t="s">
        <v>70</v>
      </c>
      <c r="B43" s="8" t="s">
        <v>116</v>
      </c>
      <c r="C43" s="7">
        <v>0</v>
      </c>
      <c r="D43" s="9" t="str">
        <f t="shared" si="6"/>
        <v>Sonia</v>
      </c>
      <c r="E43" s="2" t="str">
        <f t="shared" si="5"/>
        <v>GBP60YOIS_Quote</v>
      </c>
      <c r="F43" s="3" t="str">
        <f>_xll.qlOISRateHelper(,C43,B43,E43,$D43,,Permanent,Trigger,ObjectOverwrite)</f>
        <v>obj_00316#0001</v>
      </c>
    </row>
    <row r="44" spans="1:25" ht="11.25" customHeight="1" x14ac:dyDescent="0.2"/>
    <row r="45" spans="1:25" ht="11.25" customHeight="1" x14ac:dyDescent="0.2"/>
    <row r="46" spans="1:25" ht="11.25" customHeight="1" x14ac:dyDescent="0.2"/>
    <row r="47" spans="1:25" ht="11.25" customHeight="1" x14ac:dyDescent="0.2"/>
    <row r="48" spans="1:25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dataValidations disablePrompts="1" count="1"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42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10" style="54" hidden="1" customWidth="1" outlineLevel="1"/>
    <col min="3" max="3" width="6.7109375" style="53" hidden="1" customWidth="1" outlineLevel="1"/>
    <col min="4" max="4" width="11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2.42578125" style="55" hidden="1" customWidth="1" outlineLevel="1"/>
    <col min="9" max="9" width="24.425781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1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0</v>
      </c>
      <c r="H1" s="53" t="str">
        <f>"_SYNTH"&amp;Tenor</f>
        <v>_SYNTH3M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GBP3M</v>
      </c>
      <c r="W1" s="69"/>
      <c r="X1" s="69"/>
      <c r="Y1" s="72"/>
      <c r="Z1" s="72"/>
      <c r="AA1" s="69"/>
      <c r="AB1" s="69"/>
      <c r="AC1" s="76" t="s">
        <v>141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131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251" t="s">
        <v>9</v>
      </c>
      <c r="W2" s="251" t="s">
        <v>25</v>
      </c>
      <c r="X2" s="251" t="s">
        <v>81</v>
      </c>
      <c r="Y2" s="252" t="s">
        <v>24</v>
      </c>
      <c r="Z2" s="252" t="s">
        <v>86</v>
      </c>
      <c r="AA2" s="251" t="s">
        <v>23</v>
      </c>
      <c r="AB2" s="251" t="s">
        <v>78</v>
      </c>
      <c r="AC2" s="240">
        <f t="array" ref="AC2:AC130">_xll.qlPiecewiseYieldCurveData(YieldCurve_3M,Trigger)</f>
        <v>1</v>
      </c>
      <c r="AD2" s="175"/>
      <c r="AF2" s="219" t="s">
        <v>87</v>
      </c>
      <c r="AG2" s="220"/>
      <c r="AH2" s="220"/>
      <c r="AI2" s="220"/>
      <c r="AJ2" s="221"/>
    </row>
    <row r="3" spans="1:38" ht="11.25" customHeight="1" x14ac:dyDescent="0.2">
      <c r="A3" s="111" t="s">
        <v>27</v>
      </c>
      <c r="B3" s="112" t="s">
        <v>74</v>
      </c>
      <c r="C3" s="113" t="str">
        <f t="shared" ref="C3:C4" si="0">B3</f>
        <v>SN</v>
      </c>
      <c r="D3" s="125"/>
      <c r="E3" s="125"/>
      <c r="F3" s="125"/>
      <c r="G3" s="114" t="str">
        <f>_xll.qlLibor(,Currency,C3,,Permanent,Trigger,ObjectOverwrite)</f>
        <v>obj_002b7#0001</v>
      </c>
      <c r="H3" s="122" t="str">
        <f t="shared" ref="H3:H9" si="1">Currency&amp;$B3&amp;"D"&amp;$H$1&amp;QuoteSuffix</f>
        <v>GBPSND_SYNTH3M_Quote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253" t="str">
        <f>IFERROR(INDEX($L$3:$L$130,MATCH(X3,$N$3:$N$130,0),1),"")</f>
        <v>Dp</v>
      </c>
      <c r="W3" s="253" t="str">
        <f t="array" ref="W3:W130">_xll.qlRateHelperSelection(_xll.ohFilter(RateHelpers,IncludeFlag),_xll.ohFilter(Priority,IncludeFlag),$AJ$3,$AJ$4,$AJ$5,$AJ$6,_xll.ohFilter(MinDistance,IncludeFlag),Trigger)</f>
        <v>obj_00332</v>
      </c>
      <c r="X3" s="253" t="str">
        <f>IFERROR(_xll.qlRateHelperQuoteName(W3,Trigger),"")</f>
        <v>GBP1MD_SYNTH3M_Quote</v>
      </c>
      <c r="Y3" s="222">
        <f>IFERROR(_xll.qlRateHelperRate(W3,Trigger),"")</f>
        <v>5.7409999999999996E-3</v>
      </c>
      <c r="Z3" s="254" t="str">
        <f>IF(ISERROR(_xll.qlSwapRateHelperSpread($W3)),IF(ISERROR(_xll.qlFuturesRateHelperConvexityAdjustment($W3)),"",_xll.qlFuturesRateHelperConvexityAdjustment($W3)),_xll.qlSwapRateHelperSpread($W3))</f>
        <v/>
      </c>
      <c r="AA3" s="255">
        <f>IFERROR(_xll.qlRateHelperEarliestDate(W3,Trigger),"")</f>
        <v>42275</v>
      </c>
      <c r="AB3" s="255">
        <f>IFERROR(_xll.qlRateHelperPillarDate(W3,Trigger),"")</f>
        <v>42305</v>
      </c>
      <c r="AC3" s="241">
        <v>0.99952835953599217</v>
      </c>
      <c r="AD3" s="175"/>
      <c r="AF3" s="217" t="s">
        <v>88</v>
      </c>
      <c r="AJ3" s="218">
        <v>8</v>
      </c>
    </row>
    <row r="4" spans="1:38" ht="11.25" customHeight="1" x14ac:dyDescent="0.2">
      <c r="A4" s="235" t="s">
        <v>27</v>
      </c>
      <c r="B4" s="247" t="s">
        <v>93</v>
      </c>
      <c r="C4" s="248" t="str">
        <f t="shared" si="0"/>
        <v>SW</v>
      </c>
      <c r="D4" s="249"/>
      <c r="E4" s="249"/>
      <c r="F4" s="249"/>
      <c r="G4" s="237" t="str">
        <f>PROPER(Currency)&amp;FamilyName&amp;B4</f>
        <v>GbpLiborSW</v>
      </c>
      <c r="H4" s="250" t="str">
        <f t="shared" si="1"/>
        <v>GBPSWD_SYNTH3M_Quote</v>
      </c>
      <c r="I4" s="249"/>
      <c r="J4" s="239"/>
      <c r="K4" s="51"/>
      <c r="L4" s="10" t="str">
        <f t="shared" ref="L4:L9" si="2">A4</f>
        <v>Dp</v>
      </c>
      <c r="M4" s="95" t="str">
        <f t="shared" ref="M4:M9" si="3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4" t="str">
        <f t="shared" ref="V4:V67" si="4">IFERROR(INDEX($L$3:$L$130,MATCH(X4,$N$3:$N$130,0),1),"")</f>
        <v>Dp</v>
      </c>
      <c r="W4" s="4" t="str">
        <v>obj_00335</v>
      </c>
      <c r="X4" s="4" t="str">
        <f>IFERROR(_xll.qlRateHelperQuoteName(W4,Trigger),"")</f>
        <v>GBP2MD_SYNTH3M_Quote</v>
      </c>
      <c r="Y4" s="73">
        <f>IFERROR(_xll.qlRateHelperRate(W4,Trigger),"")</f>
        <v>5.7920000000000003E-3</v>
      </c>
      <c r="Z4" s="10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42275</v>
      </c>
      <c r="AB4" s="5">
        <f>IFERROR(_xll.qlRateHelperPillarDate(W4,Trigger),"")</f>
        <v>42338</v>
      </c>
      <c r="AC4" s="241">
        <v>0.9990012833635773</v>
      </c>
      <c r="AD4" s="175"/>
      <c r="AF4" s="108" t="s">
        <v>89</v>
      </c>
      <c r="AJ4" s="109">
        <v>0</v>
      </c>
    </row>
    <row r="5" spans="1:38" ht="11.25" customHeight="1" x14ac:dyDescent="0.2">
      <c r="A5" s="230" t="s">
        <v>27</v>
      </c>
      <c r="B5" s="243" t="s">
        <v>39</v>
      </c>
      <c r="C5" s="244" t="str">
        <f>B5</f>
        <v>2W</v>
      </c>
      <c r="D5" s="245"/>
      <c r="E5" s="245"/>
      <c r="F5" s="245"/>
      <c r="G5" s="232" t="str">
        <f>_xll.qlLibor(,Currency,C5,,Permanent,Trigger,ObjectOverwrite)</f>
        <v>obj_0032c#0001</v>
      </c>
      <c r="H5" s="246" t="str">
        <f t="shared" si="1"/>
        <v>GBP2WD_SYNTH3M_Quote</v>
      </c>
      <c r="I5" s="245"/>
      <c r="J5" s="234"/>
      <c r="K5" s="51"/>
      <c r="L5" s="10" t="str">
        <f t="shared" si="2"/>
        <v>Dp</v>
      </c>
      <c r="M5" s="95" t="str">
        <f t="shared" si="3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4" t="str">
        <f t="shared" si="4"/>
        <v>Dp</v>
      </c>
      <c r="W5" s="4" t="str">
        <v>obj_00337</v>
      </c>
      <c r="X5" s="4" t="str">
        <f>IFERROR(_xll.qlRateHelperQuoteName(W5,Trigger),"")</f>
        <v>GBP3MD_SYNTH3M_Quote</v>
      </c>
      <c r="Y5" s="73">
        <f>IFERROR(_xll.qlRateHelperRate(W5,Trigger),"")</f>
        <v>5.8310000000000002E-3</v>
      </c>
      <c r="Z5" s="105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42275</v>
      </c>
      <c r="AB5" s="5">
        <f>IFERROR(_xll.qlRateHelperPillarDate(W5,Trigger),"")</f>
        <v>42367</v>
      </c>
      <c r="AC5" s="241">
        <v>0.99853242543372944</v>
      </c>
      <c r="AD5" s="175"/>
      <c r="AE5" s="81"/>
      <c r="AF5" s="108" t="s">
        <v>90</v>
      </c>
      <c r="AJ5" s="109">
        <v>1</v>
      </c>
    </row>
    <row r="6" spans="1:38" ht="11.25" customHeight="1" x14ac:dyDescent="0.2">
      <c r="A6" s="235" t="s">
        <v>27</v>
      </c>
      <c r="B6" s="247" t="s">
        <v>40</v>
      </c>
      <c r="C6" s="248" t="str">
        <f t="shared" ref="C6:C9" si="5">B6</f>
        <v>3W</v>
      </c>
      <c r="D6" s="249"/>
      <c r="E6" s="249"/>
      <c r="F6" s="249"/>
      <c r="G6" s="237" t="str">
        <f>_xll.qlLibor(,Currency,C6,,Permanent,Trigger,ObjectOverwrite)</f>
        <v>obj_0032b#0001</v>
      </c>
      <c r="H6" s="250" t="str">
        <f t="shared" si="1"/>
        <v>GBP3WD_SYNTH3M_Quote</v>
      </c>
      <c r="I6" s="249"/>
      <c r="J6" s="239"/>
      <c r="K6" s="51"/>
      <c r="L6" s="10" t="str">
        <f t="shared" si="2"/>
        <v>Dp</v>
      </c>
      <c r="M6" s="95" t="str">
        <f t="shared" si="3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4" t="str">
        <f t="shared" si="4"/>
        <v>FUT</v>
      </c>
      <c r="W6" s="4" t="str">
        <v>obj_0033e</v>
      </c>
      <c r="X6" s="4" t="str">
        <f>IFERROR(_xll.qlRateHelperQuoteName(W6,Trigger),"")</f>
        <v>GBPFUT3MZ5_Quote</v>
      </c>
      <c r="Y6" s="73">
        <f>IFERROR(_xll.qlRateHelperRate(W6,Trigger),"")</f>
        <v>6.0457579028769075E-3</v>
      </c>
      <c r="Z6" s="105">
        <f>IF(ISERROR(_xll.qlSwapRateHelperSpread($W6)),IF(ISERROR(_xll.qlFuturesRateHelperConvexityAdjustment($W6)),"",_xll.qlFuturesRateHelperConvexityAdjustment($W6)),_xll.qlSwapRateHelperSpread($W6))</f>
        <v>4.2420971229812902E-6</v>
      </c>
      <c r="AA6" s="5">
        <f>IFERROR(_xll.qlRateHelperEarliestDate(W6,Trigger),"")</f>
        <v>42354</v>
      </c>
      <c r="AB6" s="5">
        <f>IFERROR(_xll.qlRateHelperPillarDate(W6,Trigger),"")</f>
        <v>42445</v>
      </c>
      <c r="AC6" s="241">
        <v>0.99723992954162366</v>
      </c>
      <c r="AD6" s="175"/>
      <c r="AF6" s="108" t="s">
        <v>91</v>
      </c>
      <c r="AJ6" s="110" t="s">
        <v>92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5"/>
        <v>1M</v>
      </c>
      <c r="D7" s="126"/>
      <c r="E7" s="126"/>
      <c r="F7" s="126"/>
      <c r="G7" s="64" t="str">
        <f>PROPER(Currency)&amp;FamilyName&amp;B7</f>
        <v>GbpLibor1M</v>
      </c>
      <c r="H7" s="123" t="str">
        <f t="shared" si="1"/>
        <v>GBP1MD_SYNTH3M_Quote</v>
      </c>
      <c r="I7" s="126"/>
      <c r="J7" s="67" t="str">
        <f>_xll.qlDepositRateHelper(,H7,G7,Permanent,Trigger,ObjectOverwrite)</f>
        <v>obj_00332#0001</v>
      </c>
      <c r="K7" s="51"/>
      <c r="L7" s="10" t="str">
        <f t="shared" si="2"/>
        <v>Dp</v>
      </c>
      <c r="M7" s="95" t="str">
        <f t="shared" si="3"/>
        <v>obj_00332#0001</v>
      </c>
      <c r="N7" s="149" t="str">
        <f>IFERROR(_xll.qlRateHelperQuoteName(M7,Trigger),"--")</f>
        <v>GBP1MD_SYNTH3M_Quote</v>
      </c>
      <c r="O7" s="99">
        <f>IFERROR(_xll.qlRateHelperQuoteValue($M7,Trigger),"--")</f>
        <v>5.7409999999999996E-3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42275</v>
      </c>
      <c r="T7" s="100">
        <f>IFERROR(_xll.qlRateHelperPillarDate(M7,Trigger),"--")</f>
        <v>42305</v>
      </c>
      <c r="V7" s="4" t="str">
        <f t="shared" si="4"/>
        <v>FUT</v>
      </c>
      <c r="W7" s="4" t="str">
        <v>obj_00341</v>
      </c>
      <c r="X7" s="4" t="str">
        <f>IFERROR(_xll.qlRateHelperQuoteName(W7,Trigger),"")</f>
        <v>GBPFUT3MH6_Quote</v>
      </c>
      <c r="Y7" s="73">
        <f>IFERROR(_xll.qlRateHelperRate(W7,Trigger),"")</f>
        <v>6.6377013175020119E-3</v>
      </c>
      <c r="Z7" s="105">
        <f>IF(ISERROR(_xll.qlSwapRateHelperSpread($W7)),IF(ISERROR(_xll.qlFuturesRateHelperConvexityAdjustment($W7)),"",_xll.qlFuturesRateHelperConvexityAdjustment($W7)),_xll.qlSwapRateHelperSpread($W7))</f>
        <v>1.2298682497921818E-5</v>
      </c>
      <c r="AA7" s="5">
        <f>IFERROR(_xll.qlRateHelperEarliestDate(W7,Trigger),"")</f>
        <v>42445</v>
      </c>
      <c r="AB7" s="5">
        <f>IFERROR(_xll.qlRateHelperPillarDate(W7,Trigger),"")</f>
        <v>42537</v>
      </c>
      <c r="AC7" s="241">
        <v>0.99557426963205886</v>
      </c>
      <c r="AD7" s="175"/>
    </row>
    <row r="8" spans="1:38" ht="11.25" customHeight="1" x14ac:dyDescent="0.2">
      <c r="A8" s="62" t="s">
        <v>27</v>
      </c>
      <c r="B8" s="63" t="s">
        <v>41</v>
      </c>
      <c r="C8" s="65" t="str">
        <f t="shared" si="5"/>
        <v>2M</v>
      </c>
      <c r="D8" s="126"/>
      <c r="E8" s="126"/>
      <c r="F8" s="126"/>
      <c r="G8" s="64" t="str">
        <f>PROPER(Currency)&amp;FamilyName&amp;B8</f>
        <v>GbpLibor2M</v>
      </c>
      <c r="H8" s="123" t="str">
        <f t="shared" si="1"/>
        <v>GBP2MD_SYNTH3M_Quote</v>
      </c>
      <c r="I8" s="126"/>
      <c r="J8" s="67" t="str">
        <f>_xll.qlDepositRateHelper(,H8,G8,Permanent,Trigger,ObjectOverwrite)</f>
        <v>obj_00335#0001</v>
      </c>
      <c r="K8" s="51"/>
      <c r="L8" s="10" t="str">
        <f t="shared" si="2"/>
        <v>Dp</v>
      </c>
      <c r="M8" s="95" t="str">
        <f t="shared" si="3"/>
        <v>obj_00335#0001</v>
      </c>
      <c r="N8" s="149" t="str">
        <f>IFERROR(_xll.qlRateHelperQuoteName(M8,Trigger),"--")</f>
        <v>GBP2MD_SYNTH3M_Quote</v>
      </c>
      <c r="O8" s="99">
        <f>IFERROR(_xll.qlRateHelperQuoteValue($M8,Trigger),"--")</f>
        <v>5.7920000000000003E-3</v>
      </c>
      <c r="P8" s="98" t="b">
        <v>1</v>
      </c>
      <c r="Q8" s="95">
        <v>10</v>
      </c>
      <c r="R8" s="95">
        <v>1</v>
      </c>
      <c r="S8" s="100">
        <f>IFERROR(_xll.qlRateHelperEarliestDate(M8,Trigger),"--")</f>
        <v>42275</v>
      </c>
      <c r="T8" s="100">
        <f>IFERROR(_xll.qlRateHelperPillarDate(M8,Trigger),"--")</f>
        <v>42338</v>
      </c>
      <c r="V8" s="4" t="str">
        <f t="shared" si="4"/>
        <v>FUT</v>
      </c>
      <c r="W8" s="4" t="str">
        <v>obj_00342</v>
      </c>
      <c r="X8" s="4" t="str">
        <f>IFERROR(_xll.qlRateHelperQuoteName(W8,Trigger),"")</f>
        <v>GBPFUT3MM6_Quote</v>
      </c>
      <c r="Y8" s="73">
        <f>IFERROR(_xll.qlRateHelperRate(W8,Trigger),"")</f>
        <v>7.4264260351087292E-3</v>
      </c>
      <c r="Z8" s="105">
        <f>IF(ISERROR(_xll.qlSwapRateHelperSpread($W8)),IF(ISERROR(_xll.qlFuturesRateHelperConvexityAdjustment($W8)),"",_xll.qlFuturesRateHelperConvexityAdjustment($W8)),_xll.qlSwapRateHelperSpread($W8))</f>
        <v>2.3573964891338357E-5</v>
      </c>
      <c r="AA8" s="5">
        <f>IFERROR(_xll.qlRateHelperEarliestDate(W8,Trigger),"")</f>
        <v>42536</v>
      </c>
      <c r="AB8" s="5">
        <f>IFERROR(_xll.qlRateHelperPillarDate(W8,Trigger),"")</f>
        <v>42628</v>
      </c>
      <c r="AC8" s="241">
        <v>0.99373322398340302</v>
      </c>
      <c r="AD8" s="175"/>
    </row>
    <row r="9" spans="1:38" ht="11.25" customHeight="1" x14ac:dyDescent="0.2">
      <c r="A9" s="1" t="s">
        <v>27</v>
      </c>
      <c r="B9" s="8" t="s">
        <v>0</v>
      </c>
      <c r="C9" s="9" t="str">
        <f t="shared" si="5"/>
        <v>3M</v>
      </c>
      <c r="D9" s="127"/>
      <c r="E9" s="127"/>
      <c r="F9" s="127"/>
      <c r="G9" s="7" t="str">
        <f>PROPER(Currency)&amp;FamilyName&amp;B9</f>
        <v>GbpLibor3M</v>
      </c>
      <c r="H9" s="124" t="str">
        <f t="shared" si="1"/>
        <v>GBP3MD_SYNTH3M_Quote</v>
      </c>
      <c r="I9" s="127"/>
      <c r="J9" s="3" t="str">
        <f>_xll.qlDepositRateHelper(,H9,G9,Permanent,Trigger,ObjectOverwrite)</f>
        <v>obj_00337#0001</v>
      </c>
      <c r="K9" s="51"/>
      <c r="L9" s="11" t="str">
        <f t="shared" si="2"/>
        <v>Dp</v>
      </c>
      <c r="M9" s="96" t="str">
        <f t="shared" si="3"/>
        <v>obj_00337#0001</v>
      </c>
      <c r="N9" s="150" t="str">
        <f>IFERROR(_xll.qlRateHelperQuoteName(M9,Trigger),"--")</f>
        <v>GBP3MD_SYNTH3M_Quote</v>
      </c>
      <c r="O9" s="102">
        <f>IFERROR(_xll.qlRateHelperQuoteValue($M9,Trigger),"--")</f>
        <v>5.8310000000000002E-3</v>
      </c>
      <c r="P9" s="101" t="b">
        <v>1</v>
      </c>
      <c r="Q9" s="96">
        <v>10</v>
      </c>
      <c r="R9" s="96">
        <v>1</v>
      </c>
      <c r="S9" s="103">
        <f>IFERROR(_xll.qlRateHelperEarliestDate(M9,Trigger),"--")</f>
        <v>42275</v>
      </c>
      <c r="T9" s="103">
        <f>IFERROR(_xll.qlRateHelperPillarDate(M9,Trigger),"--")</f>
        <v>42367</v>
      </c>
      <c r="V9" s="4" t="str">
        <f t="shared" si="4"/>
        <v>FUT</v>
      </c>
      <c r="W9" s="4" t="str">
        <v>obj_00344</v>
      </c>
      <c r="X9" s="4" t="str">
        <f>IFERROR(_xll.qlRateHelperQuoteName(W9,Trigger),"")</f>
        <v>GBPFUT3MU6_Quote</v>
      </c>
      <c r="Y9" s="73">
        <f>IFERROR(_xll.qlRateHelperRate(W9,Trigger),"")</f>
        <v>8.5108705593588112E-3</v>
      </c>
      <c r="Z9" s="105">
        <f>IF(ISERROR(_xll.qlSwapRateHelperSpread($W9)),IF(ISERROR(_xll.qlFuturesRateHelperConvexityAdjustment($W9)),"",_xll.qlFuturesRateHelperConvexityAdjustment($W9)),_xll.qlSwapRateHelperSpread($W9))</f>
        <v>3.9129440641135367E-5</v>
      </c>
      <c r="AA9" s="5">
        <f>IFERROR(_xll.qlRateHelperEarliestDate(W9,Trigger),"")</f>
        <v>42634</v>
      </c>
      <c r="AB9" s="5">
        <f>IFERROR(_xll.qlRateHelperPillarDate(W9,Trigger),"")</f>
        <v>42725</v>
      </c>
      <c r="AC9" s="241">
        <v>0.99149997837452764</v>
      </c>
      <c r="AD9" s="175"/>
      <c r="AG9" s="49" t="s">
        <v>128</v>
      </c>
    </row>
    <row r="10" spans="1:38" ht="11.25" customHeight="1" x14ac:dyDescent="0.2">
      <c r="B10" s="49"/>
      <c r="C10" s="49"/>
      <c r="D10" s="49"/>
      <c r="E10" s="49"/>
      <c r="F10" s="49"/>
      <c r="G10" s="49"/>
      <c r="H10" s="49"/>
      <c r="K10" s="51"/>
      <c r="L10" s="71" t="str">
        <f>A12</f>
        <v>FRA</v>
      </c>
      <c r="M10" s="134" t="str">
        <f>IF(ISBLANK(J12),"--",J12)</f>
        <v>qlFraRateHelper(,H12,B12&amp;"M",G12,PillarDate,,Permanent,Trigger,ObjectOverwrite)</v>
      </c>
      <c r="N10" s="148" t="str">
        <f>IFERROR(_xll.qlRateHelperQuoteName(M10,Trigger),"--")</f>
        <v>--</v>
      </c>
      <c r="O10" s="136" t="str">
        <f>IFERROR(_xll.qlRateHelperQuoteValue($M10,Trigger),"--")</f>
        <v>--</v>
      </c>
      <c r="P10" s="135" t="b">
        <v>0</v>
      </c>
      <c r="Q10" s="134">
        <v>20</v>
      </c>
      <c r="R10" s="134">
        <v>1</v>
      </c>
      <c r="S10" s="137" t="str">
        <f>IFERROR(_xll.qlRateHelperEarliestDate(M10,Trigger),"--")</f>
        <v>--</v>
      </c>
      <c r="T10" s="137" t="str">
        <f>IFERROR(_xll.qlRateHelperPillarDate(M10,Trigger),"--")</f>
        <v>--</v>
      </c>
      <c r="V10" s="4" t="str">
        <f t="shared" si="4"/>
        <v>FUT</v>
      </c>
      <c r="W10" s="4" t="str">
        <v>obj_00343</v>
      </c>
      <c r="X10" s="4" t="str">
        <f>IFERROR(_xll.qlRateHelperQuoteName(W10,Trigger),"")</f>
        <v>GBPFUT3MZ6_Quote</v>
      </c>
      <c r="Y10" s="73">
        <f>IFERROR(_xll.qlRateHelperRate(W10,Trigger),"")</f>
        <v>9.6932768261853881E-3</v>
      </c>
      <c r="Z10" s="105">
        <f>IF(ISERROR(_xll.qlSwapRateHelperSpread($W10)),IF(ISERROR(_xll.qlFuturesRateHelperConvexityAdjustment($W10)),"",_xll.qlFuturesRateHelperConvexityAdjustment($W10)),_xll.qlSwapRateHelperSpread($W10))</f>
        <v>5.6723173814536561E-5</v>
      </c>
      <c r="AA10" s="5">
        <f>IFERROR(_xll.qlRateHelperEarliestDate(W10,Trigger),"")</f>
        <v>42725</v>
      </c>
      <c r="AB10" s="5">
        <f>IFERROR(_xll.qlRateHelperPillarDate(W10,Trigger),"")</f>
        <v>42815</v>
      </c>
      <c r="AC10" s="241">
        <v>0.98913582204368122</v>
      </c>
      <c r="AD10" s="175"/>
      <c r="AE10" s="77" t="s">
        <v>122</v>
      </c>
      <c r="AF10" s="77" t="s">
        <v>123</v>
      </c>
      <c r="AG10" s="77" t="s">
        <v>124</v>
      </c>
      <c r="AH10" s="77" t="s">
        <v>135</v>
      </c>
      <c r="AI10" s="77" t="s">
        <v>125</v>
      </c>
      <c r="AJ10" s="77" t="s">
        <v>136</v>
      </c>
      <c r="AK10" s="77" t="s">
        <v>126</v>
      </c>
      <c r="AL10" s="77" t="s">
        <v>127</v>
      </c>
    </row>
    <row r="11" spans="1:38" ht="11.25" customHeight="1" x14ac:dyDescent="0.2">
      <c r="A11" s="68" t="s">
        <v>9</v>
      </c>
      <c r="B11" s="68" t="s">
        <v>95</v>
      </c>
      <c r="C11" s="68" t="s">
        <v>96</v>
      </c>
      <c r="D11" s="68"/>
      <c r="E11" s="68"/>
      <c r="F11" s="68"/>
      <c r="G11" s="68" t="s">
        <v>4</v>
      </c>
      <c r="H11" s="68" t="s">
        <v>1</v>
      </c>
      <c r="I11" s="68"/>
      <c r="J11" s="68" t="s">
        <v>25</v>
      </c>
      <c r="K11" s="51"/>
      <c r="L11" s="10" t="str">
        <f t="shared" ref="L11:L21" si="6">A13</f>
        <v>FRA</v>
      </c>
      <c r="M11" s="95" t="str">
        <f t="shared" ref="M11:M21" si="7">IF(ISBLANK(J13),"--",J13)</f>
        <v>--</v>
      </c>
      <c r="N11" s="149" t="str">
        <f>IFERROR(_xll.qlRateHelperQuoteName(M11,Trigger),"--")</f>
        <v>--</v>
      </c>
      <c r="O11" s="99" t="str">
        <f>IFERROR(_xll.qlRateHelperQuoteValue($M11,Trigger),"--")</f>
        <v>--</v>
      </c>
      <c r="P11" s="98" t="b">
        <v>0</v>
      </c>
      <c r="Q11" s="95">
        <v>20</v>
      </c>
      <c r="R11" s="95">
        <v>1</v>
      </c>
      <c r="S11" s="100" t="str">
        <f>IFERROR(_xll.qlRateHelperEarliestDate(M11,Trigger),"--")</f>
        <v>--</v>
      </c>
      <c r="T11" s="100" t="str">
        <f>IFERROR(_xll.qlRateHelperPillarDate(M11,Trigger),"--")</f>
        <v>--</v>
      </c>
      <c r="V11" s="4" t="str">
        <f t="shared" si="4"/>
        <v>FUT</v>
      </c>
      <c r="W11" s="4" t="str">
        <v>obj_00347</v>
      </c>
      <c r="X11" s="4" t="str">
        <f>IFERROR(_xll.qlRateHelperQuoteName(W11,Trigger),"")</f>
        <v>GBPFUT3MH7_Quote</v>
      </c>
      <c r="Y11" s="73">
        <f>IFERROR(_xll.qlRateHelperRate(W11,Trigger),"")</f>
        <v>1.0773784510111236E-2</v>
      </c>
      <c r="Z11" s="105">
        <f>IF(ISERROR(_xll.qlSwapRateHelperSpread($W11)),IF(ISERROR(_xll.qlFuturesRateHelperConvexityAdjustment($W11)),"",_xll.qlFuturesRateHelperConvexityAdjustment($W11)),_xll.qlSwapRateHelperSpread($W11))</f>
        <v>7.6215489888789461E-5</v>
      </c>
      <c r="AA11" s="5">
        <f>IFERROR(_xll.qlRateHelperEarliestDate(W11,Trigger),"")</f>
        <v>42809</v>
      </c>
      <c r="AB11" s="5">
        <f>IFERROR(_xll.qlRateHelperPillarDate(W11,Trigger),"")</f>
        <v>42901</v>
      </c>
      <c r="AC11" s="241">
        <v>0.98662301538343222</v>
      </c>
      <c r="AD11" s="175"/>
      <c r="AE11" s="160">
        <v>1</v>
      </c>
      <c r="AF11" s="161">
        <f>_xll.qlCalendarEndOfMonth(Calendar,Settlementdate,Trigger)</f>
        <v>42277</v>
      </c>
      <c r="AG11" s="160" t="str">
        <f t="shared" ref="AG11:AG23" si="8">Currency&amp;$AG$9&amp;AE11&amp;JumpSuffix&amp;QuoteSuffix</f>
        <v>GBPJump1_SYNTHON_Quote</v>
      </c>
      <c r="AH11" s="204">
        <f>_xll.qlDayCounterYearFraction("actual/360",AF11,_xll.qlCalendarAdvance(Calendar,AF11,"1D",,,Trigger))</f>
        <v>2.7777777777777779E-3</v>
      </c>
      <c r="AI11" s="162" t="e">
        <f>IF(_xll.qlQuoteIsValid(AG11,Trigger),_xll.qlQuoteValue(AG11,Trigger),1)</f>
        <v>#NUM!</v>
      </c>
      <c r="AJ11" s="207" t="e">
        <f>-LN(AI11)/AH11</f>
        <v>#NUM!</v>
      </c>
      <c r="AK11" s="210"/>
      <c r="AL11" s="162" t="str">
        <f>IF(ISBLANK(AK11),AG11,EXP(-AK11*AH11))</f>
        <v>GBPJump1_SYNTHON_Quote</v>
      </c>
    </row>
    <row r="12" spans="1:38" ht="11.25" customHeight="1" x14ac:dyDescent="0.2">
      <c r="A12" s="56" t="s">
        <v>97</v>
      </c>
      <c r="B12" s="116">
        <v>1</v>
      </c>
      <c r="C12" s="59" t="str">
        <f t="shared" ref="C12:C23" si="9">"x"&amp;B12+SUBSTITUTE(Tenor,"M","")&amp;"F"</f>
        <v>x4F</v>
      </c>
      <c r="D12" s="126"/>
      <c r="E12" s="126"/>
      <c r="F12" s="126"/>
      <c r="G12" s="58" t="str">
        <f t="shared" ref="G12:G23" si="10">PROPER(Currency)&amp;FamilyName&amp;Tenor</f>
        <v>GbpLibor3M</v>
      </c>
      <c r="H12" s="119" t="str">
        <f t="shared" ref="H12:H23" si="11">Currency&amp;B12&amp;C12&amp;QuoteSuffix</f>
        <v>GBP1x4F_Quote</v>
      </c>
      <c r="I12" s="126"/>
      <c r="J12" s="61" t="s">
        <v>137</v>
      </c>
      <c r="K12" s="51" t="s">
        <v>36</v>
      </c>
      <c r="L12" s="10" t="str">
        <f t="shared" si="6"/>
        <v>FRA</v>
      </c>
      <c r="M12" s="95" t="str">
        <f t="shared" si="7"/>
        <v>--</v>
      </c>
      <c r="N12" s="149" t="str">
        <f>IFERROR(_xll.qlRateHelperQuoteName(M12,Trigger),"--")</f>
        <v>--</v>
      </c>
      <c r="O12" s="99" t="str">
        <f>IFERROR(_xll.qlRateHelperQuoteValue($M12,Trigger),"--")</f>
        <v>--</v>
      </c>
      <c r="P12" s="98" t="b">
        <v>0</v>
      </c>
      <c r="Q12" s="95">
        <v>20</v>
      </c>
      <c r="R12" s="95">
        <v>1</v>
      </c>
      <c r="S12" s="100" t="str">
        <f>IFERROR(_xll.qlRateHelperEarliestDate(M12,Trigger),"--")</f>
        <v>--</v>
      </c>
      <c r="T12" s="100" t="str">
        <f>IFERROR(_xll.qlRateHelperPillarDate(M12,Trigger),"--")</f>
        <v>--</v>
      </c>
      <c r="V12" s="4" t="str">
        <f t="shared" si="4"/>
        <v>FUT</v>
      </c>
      <c r="W12" s="4" t="str">
        <v>obj_00345</v>
      </c>
      <c r="X12" s="4" t="str">
        <f>IFERROR(_xll.qlRateHelperQuoteName(W12,Trigger),"")</f>
        <v>GBPFUT3MM7_Quote</v>
      </c>
      <c r="Y12" s="73">
        <f>IFERROR(_xll.qlRateHelperRate(W12,Trigger),"")</f>
        <v>1.1848260913410317E-2</v>
      </c>
      <c r="Z12" s="105">
        <f>IF(ISERROR(_xll.qlSwapRateHelperSpread($W12)),IF(ISERROR(_xll.qlFuturesRateHelperConvexityAdjustment($W12)),"",_xll.qlFuturesRateHelperConvexityAdjustment($W12)),_xll.qlSwapRateHelperSpread($W12))</f>
        <v>1.0173908658958743E-4</v>
      </c>
      <c r="AA12" s="5">
        <f>IFERROR(_xll.qlRateHelperEarliestDate(W12,Trigger),"")</f>
        <v>42907</v>
      </c>
      <c r="AB12" s="5">
        <f>IFERROR(_xll.qlRateHelperPillarDate(W12,Trigger),"")</f>
        <v>42999</v>
      </c>
      <c r="AC12" s="241">
        <v>0.98350252302036933</v>
      </c>
      <c r="AD12" s="175"/>
      <c r="AE12" s="163">
        <v>2</v>
      </c>
      <c r="AF12" s="164">
        <f>_xll.qlCalendarEndOfMonth(Calendar,_xll.qlCalendarAdvance(Calendar,AF11,"1m","mf",TRUE),Trigger)</f>
        <v>42307</v>
      </c>
      <c r="AG12" s="163" t="str">
        <f t="shared" si="8"/>
        <v>GBPJump2_SYNTHON_Quote</v>
      </c>
      <c r="AH12" s="205">
        <f>_xll.qlDayCounterYearFraction("actual/360",AF12,_xll.qlCalendarAdvance(Calendar,AF12,"1D",,,Trigger))</f>
        <v>8.3333333333333332E-3</v>
      </c>
      <c r="AI12" s="165" t="e">
        <f>IF(_xll.qlQuoteIsValid(AG12,Trigger),_xll.qlQuoteValue(AG12,Trigger),1)</f>
        <v>#NUM!</v>
      </c>
      <c r="AJ12" s="208" t="e">
        <f t="shared" ref="AJ12:AJ23" si="12">-LN(AI12)/AH12</f>
        <v>#NUM!</v>
      </c>
      <c r="AK12" s="211"/>
      <c r="AL12" s="165" t="str">
        <f t="shared" ref="AL12:AL23" si="13">IF(ISBLANK(AK12),AG12,EXP(-AK12*AH12))</f>
        <v>GBPJump2_SYNTHON_Quote</v>
      </c>
    </row>
    <row r="13" spans="1:38" ht="11.25" customHeight="1" x14ac:dyDescent="0.2">
      <c r="A13" s="62" t="s">
        <v>97</v>
      </c>
      <c r="B13" s="117">
        <v>2</v>
      </c>
      <c r="C13" s="65" t="str">
        <f t="shared" si="9"/>
        <v>x5F</v>
      </c>
      <c r="D13" s="126"/>
      <c r="E13" s="126"/>
      <c r="F13" s="126"/>
      <c r="G13" s="64" t="str">
        <f t="shared" si="10"/>
        <v>GbpLibor3M</v>
      </c>
      <c r="H13" s="120" t="str">
        <f t="shared" si="11"/>
        <v>GBP2x5F_Quote</v>
      </c>
      <c r="I13" s="126"/>
      <c r="J13" s="67"/>
      <c r="K13" s="51"/>
      <c r="L13" s="10" t="str">
        <f t="shared" si="6"/>
        <v>FRA</v>
      </c>
      <c r="M13" s="95" t="str">
        <f t="shared" si="7"/>
        <v>--</v>
      </c>
      <c r="N13" s="149" t="str">
        <f>IFERROR(_xll.qlRateHelperQuoteName(M13,Trigger),"--")</f>
        <v>--</v>
      </c>
      <c r="O13" s="99" t="str">
        <f>IFERROR(_xll.qlRateHelperQuoteValue($M13,Trigger),"--")</f>
        <v>--</v>
      </c>
      <c r="P13" s="98" t="b">
        <v>0</v>
      </c>
      <c r="Q13" s="95">
        <v>20</v>
      </c>
      <c r="R13" s="95">
        <v>1</v>
      </c>
      <c r="S13" s="100" t="str">
        <f>IFERROR(_xll.qlRateHelperEarliestDate(M13,Trigger),"--")</f>
        <v>--</v>
      </c>
      <c r="T13" s="100" t="str">
        <f>IFERROR(_xll.qlRateHelperPillarDate(M13,Trigger),"--")</f>
        <v>--</v>
      </c>
      <c r="V13" s="4" t="str">
        <f t="shared" si="4"/>
        <v>FUT</v>
      </c>
      <c r="W13" s="4" t="str">
        <v>obj_00346</v>
      </c>
      <c r="X13" s="4" t="str">
        <f>IFERROR(_xll.qlRateHelperQuoteName(W13,Trigger),"")</f>
        <v>GBPFUT3MU7_Quote</v>
      </c>
      <c r="Y13" s="73">
        <f>IFERROR(_xll.qlRateHelperRate(W13,Trigger),"")</f>
        <v>1.2821823982618075E-2</v>
      </c>
      <c r="Z13" s="105">
        <f>IF(ISERROR(_xll.qlSwapRateHelperSpread($W13)),IF(ISERROR(_xll.qlFuturesRateHelperConvexityAdjustment($W13)),"",_xll.qlFuturesRateHelperConvexityAdjustment($W13)),_xll.qlSwapRateHelperSpread($W13))</f>
        <v>1.2817601738194278E-4</v>
      </c>
      <c r="AA13" s="5">
        <f>IFERROR(_xll.qlRateHelperEarliestDate(W13,Trigger),"")</f>
        <v>42998</v>
      </c>
      <c r="AB13" s="5">
        <f>IFERROR(_xll.qlRateHelperPillarDate(W13,Trigger),"")</f>
        <v>43089</v>
      </c>
      <c r="AC13" s="241">
        <v>0.98040174608811193</v>
      </c>
      <c r="AD13" s="175"/>
      <c r="AE13" s="163">
        <v>3</v>
      </c>
      <c r="AF13" s="164">
        <f>_xll.qlCalendarEndOfMonth(Calendar,_xll.qlCalendarAdvance(Calendar,AF12,"1m","mf",TRUE),Trigger)</f>
        <v>42338</v>
      </c>
      <c r="AG13" s="163" t="str">
        <f t="shared" si="8"/>
        <v>GBPJump3_SYNTHON_Quote</v>
      </c>
      <c r="AH13" s="205">
        <f>_xll.qlDayCounterYearFraction("actual/360",AF13,_xll.qlCalendarAdvance(Calendar,AF13,"1D",,,Trigger))</f>
        <v>2.7777777777777779E-3</v>
      </c>
      <c r="AI13" s="165" t="e">
        <f>IF(_xll.qlQuoteIsValid(AG13,Trigger),_xll.qlQuoteValue(AG13,Trigger),1)</f>
        <v>#NUM!</v>
      </c>
      <c r="AJ13" s="208" t="e">
        <f t="shared" si="12"/>
        <v>#NUM!</v>
      </c>
      <c r="AK13" s="211"/>
      <c r="AL13" s="165" t="str">
        <f t="shared" si="13"/>
        <v>GBPJump3_SYNTHON_Quote</v>
      </c>
    </row>
    <row r="14" spans="1:38" ht="11.25" customHeight="1" x14ac:dyDescent="0.2">
      <c r="A14" s="62" t="s">
        <v>97</v>
      </c>
      <c r="B14" s="117">
        <v>3</v>
      </c>
      <c r="C14" s="65" t="str">
        <f t="shared" si="9"/>
        <v>x6F</v>
      </c>
      <c r="D14" s="126"/>
      <c r="E14" s="126"/>
      <c r="F14" s="126"/>
      <c r="G14" s="64" t="str">
        <f t="shared" si="10"/>
        <v>GbpLibor3M</v>
      </c>
      <c r="H14" s="120" t="str">
        <f t="shared" si="11"/>
        <v>GBP3x6F_Quote</v>
      </c>
      <c r="I14" s="126"/>
      <c r="J14" s="67"/>
      <c r="K14" s="51"/>
      <c r="L14" s="10" t="str">
        <f t="shared" si="6"/>
        <v>FRA</v>
      </c>
      <c r="M14" s="95" t="str">
        <f t="shared" si="7"/>
        <v>--</v>
      </c>
      <c r="N14" s="149" t="str">
        <f>IFERROR(_xll.qlRateHelperQuoteName(M14,Trigger),"--")</f>
        <v>--</v>
      </c>
      <c r="O14" s="99" t="str">
        <f>IFERROR(_xll.qlRateHelperQuoteValue($M14,Trigger),"--")</f>
        <v>--</v>
      </c>
      <c r="P14" s="98" t="b">
        <v>0</v>
      </c>
      <c r="Q14" s="95">
        <v>20</v>
      </c>
      <c r="R14" s="95">
        <v>1</v>
      </c>
      <c r="S14" s="100" t="str">
        <f>IFERROR(_xll.qlRateHelperEarliestDate(M14,Trigger),"--")</f>
        <v>--</v>
      </c>
      <c r="T14" s="100" t="str">
        <f>IFERROR(_xll.qlRateHelperPillarDate(M14,Trigger),"--")</f>
        <v>--</v>
      </c>
      <c r="V14" s="4" t="str">
        <f t="shared" si="4"/>
        <v>Sw</v>
      </c>
      <c r="W14" s="4" t="str">
        <v>obj_002ef</v>
      </c>
      <c r="X14" s="4" t="str">
        <f>IFERROR(_xll.qlRateHelperQuoteName(W14,Trigger),"")</f>
        <v>GBPSM3L3Y_Quote</v>
      </c>
      <c r="Y14" s="73">
        <f>IFERROR(_xll.qlRateHelperRate(W14,Trigger),"")</f>
        <v>1.0289999999999999E-2</v>
      </c>
      <c r="Z14" s="105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42275</v>
      </c>
      <c r="AB14" s="5">
        <f>IFERROR(_xll.qlRateHelperPillarDate(W14,Trigger),"")</f>
        <v>43371</v>
      </c>
      <c r="AC14" s="241">
        <v>0.96957853137233752</v>
      </c>
      <c r="AD14" s="175"/>
      <c r="AE14" s="163">
        <v>4</v>
      </c>
      <c r="AF14" s="164">
        <f>_xll.qlCalendarEndOfMonth(Calendar,_xll.qlCalendarAdvance(Calendar,AF13,"1m","mf",TRUE),Trigger)</f>
        <v>42369</v>
      </c>
      <c r="AG14" s="163" t="str">
        <f t="shared" si="8"/>
        <v>GBPJump4_SYNTHON_Quote</v>
      </c>
      <c r="AH14" s="205">
        <f>_xll.qlDayCounterYearFraction("actual/360",AF14,_xll.qlCalendarAdvance(Calendar,AF14,"1D",,,Trigger))</f>
        <v>1.1111111111111112E-2</v>
      </c>
      <c r="AI14" s="165" t="e">
        <f>IF(_xll.qlQuoteIsValid(AG14,Trigger),_xll.qlQuoteValue(AG14,Trigger),1)</f>
        <v>#NUM!</v>
      </c>
      <c r="AJ14" s="208" t="e">
        <f t="shared" si="12"/>
        <v>#NUM!</v>
      </c>
      <c r="AK14" s="211"/>
      <c r="AL14" s="165" t="str">
        <f t="shared" si="13"/>
        <v>GBPJump4_SYNTHON_Quote</v>
      </c>
    </row>
    <row r="15" spans="1:38" ht="11.25" customHeight="1" x14ac:dyDescent="0.2">
      <c r="A15" s="62" t="s">
        <v>97</v>
      </c>
      <c r="B15" s="117">
        <v>4</v>
      </c>
      <c r="C15" s="65" t="str">
        <f t="shared" si="9"/>
        <v>x7F</v>
      </c>
      <c r="D15" s="126"/>
      <c r="E15" s="126"/>
      <c r="F15" s="126"/>
      <c r="G15" s="64" t="str">
        <f t="shared" si="10"/>
        <v>GbpLibor3M</v>
      </c>
      <c r="H15" s="120" t="str">
        <f t="shared" si="11"/>
        <v>GBP4x7F_Quote</v>
      </c>
      <c r="I15" s="126"/>
      <c r="J15" s="67"/>
      <c r="K15" s="51"/>
      <c r="L15" s="10" t="str">
        <f t="shared" si="6"/>
        <v>FRA</v>
      </c>
      <c r="M15" s="95" t="str">
        <f t="shared" si="7"/>
        <v>--</v>
      </c>
      <c r="N15" s="149" t="str">
        <f>IFERROR(_xll.qlRateHelperQuoteName(M15,Trigger),"--")</f>
        <v>--</v>
      </c>
      <c r="O15" s="99" t="str">
        <f>IFERROR(_xll.qlRateHelperQuoteValue($M15,Trigger),"--")</f>
        <v>--</v>
      </c>
      <c r="P15" s="98" t="b">
        <v>0</v>
      </c>
      <c r="Q15" s="95">
        <v>20</v>
      </c>
      <c r="R15" s="95">
        <v>1</v>
      </c>
      <c r="S15" s="100" t="str">
        <f>IFERROR(_xll.qlRateHelperEarliestDate(M15,Trigger),"--")</f>
        <v>--</v>
      </c>
      <c r="T15" s="100" t="str">
        <f>IFERROR(_xll.qlRateHelperPillarDate(M15,Trigger),"--")</f>
        <v>--</v>
      </c>
      <c r="V15" s="4" t="str">
        <f t="shared" si="4"/>
        <v>Sw</v>
      </c>
      <c r="W15" s="4" t="str">
        <v>obj_002ed</v>
      </c>
      <c r="X15" s="4" t="str">
        <f>IFERROR(_xll.qlRateHelperQuoteName(W15,Trigger),"")</f>
        <v>GBPSM3L4Y_Quote</v>
      </c>
      <c r="Y15" s="73">
        <f>IFERROR(_xll.qlRateHelperRate(W15,Trigger),"")</f>
        <v>1.2000000000000002E-2</v>
      </c>
      <c r="Z15" s="105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42275</v>
      </c>
      <c r="AB15" s="5">
        <f>IFERROR(_xll.qlRateHelperPillarDate(W15,Trigger),"")</f>
        <v>43738</v>
      </c>
      <c r="AC15" s="241">
        <v>0.95298860620710468</v>
      </c>
      <c r="AD15" s="175"/>
      <c r="AE15" s="163">
        <v>5</v>
      </c>
      <c r="AF15" s="164">
        <f>_xll.qlCalendarEndOfMonth(Calendar,_xll.qlCalendarAdvance(Calendar,AF14,"1m","mf",TRUE),Trigger)</f>
        <v>42398</v>
      </c>
      <c r="AG15" s="163" t="str">
        <f t="shared" si="8"/>
        <v>GBPJump5_SYNTHON_Quote</v>
      </c>
      <c r="AH15" s="205">
        <f>_xll.qlDayCounterYearFraction("actual/360",AF15,_xll.qlCalendarAdvance(Calendar,AF15,"1D",,,Trigger))</f>
        <v>8.3333333333333332E-3</v>
      </c>
      <c r="AI15" s="165" t="e">
        <f>IF(_xll.qlQuoteIsValid(AG15,Trigger),_xll.qlQuoteValue(AG15,Trigger),1)</f>
        <v>#NUM!</v>
      </c>
      <c r="AJ15" s="208" t="e">
        <f t="shared" si="12"/>
        <v>#NUM!</v>
      </c>
      <c r="AK15" s="211"/>
      <c r="AL15" s="165" t="str">
        <f t="shared" si="13"/>
        <v>GBPJump5_SYNTHON_Quote</v>
      </c>
    </row>
    <row r="16" spans="1:38" ht="11.25" customHeight="1" x14ac:dyDescent="0.2">
      <c r="A16" s="62" t="s">
        <v>97</v>
      </c>
      <c r="B16" s="117">
        <v>5</v>
      </c>
      <c r="C16" s="65" t="str">
        <f t="shared" si="9"/>
        <v>x8F</v>
      </c>
      <c r="D16" s="126"/>
      <c r="E16" s="126"/>
      <c r="F16" s="126"/>
      <c r="G16" s="64" t="str">
        <f t="shared" si="10"/>
        <v>GbpLibor3M</v>
      </c>
      <c r="H16" s="120" t="str">
        <f t="shared" si="11"/>
        <v>GBP5x8F_Quote</v>
      </c>
      <c r="I16" s="126"/>
      <c r="J16" s="67"/>
      <c r="K16" s="51"/>
      <c r="L16" s="10" t="str">
        <f t="shared" si="6"/>
        <v>FRA</v>
      </c>
      <c r="M16" s="95" t="str">
        <f t="shared" si="7"/>
        <v>--</v>
      </c>
      <c r="N16" s="149" t="str">
        <f>IFERROR(_xll.qlRateHelperQuoteName(M16,Trigger),"--")</f>
        <v>--</v>
      </c>
      <c r="O16" s="99" t="str">
        <f>IFERROR(_xll.qlRateHelperQuoteValue($M16,Trigger),"--")</f>
        <v>--</v>
      </c>
      <c r="P16" s="98" t="b">
        <v>0</v>
      </c>
      <c r="Q16" s="95">
        <v>20</v>
      </c>
      <c r="R16" s="95">
        <v>1</v>
      </c>
      <c r="S16" s="100" t="str">
        <f>IFERROR(_xll.qlRateHelperEarliestDate(M16,Trigger),"--")</f>
        <v>--</v>
      </c>
      <c r="T16" s="100" t="str">
        <f>IFERROR(_xll.qlRateHelperPillarDate(M16,Trigger),"--")</f>
        <v>--</v>
      </c>
      <c r="V16" s="4" t="str">
        <f t="shared" si="4"/>
        <v>Sw</v>
      </c>
      <c r="W16" s="4" t="str">
        <v>obj_002ec</v>
      </c>
      <c r="X16" s="4" t="str">
        <f>IFERROR(_xll.qlRateHelperQuoteName(W16,Trigger),"")</f>
        <v>GBPSM3L5Y_Quote</v>
      </c>
      <c r="Y16" s="73">
        <f>IFERROR(_xll.qlRateHelperRate(W16,Trigger),"")</f>
        <v>1.3460000000000001E-2</v>
      </c>
      <c r="Z16" s="105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42275</v>
      </c>
      <c r="AB16" s="5">
        <f>IFERROR(_xll.qlRateHelperPillarDate(W16,Trigger),"")</f>
        <v>44102</v>
      </c>
      <c r="AC16" s="241">
        <v>0.93468377421732218</v>
      </c>
      <c r="AD16" s="175"/>
      <c r="AE16" s="163">
        <v>6</v>
      </c>
      <c r="AF16" s="164">
        <f>_xll.qlCalendarEndOfMonth(Calendar,_xll.qlCalendarAdvance(Calendar,AF15,"1m","mf",TRUE),Trigger)</f>
        <v>42429</v>
      </c>
      <c r="AG16" s="163" t="str">
        <f t="shared" si="8"/>
        <v>GBPJump6_SYNTHON_Quote</v>
      </c>
      <c r="AH16" s="205">
        <f>_xll.qlDayCounterYearFraction("actual/360",AF16,_xll.qlCalendarAdvance(Calendar,AF16,"1D",,,Trigger))</f>
        <v>2.7777777777777779E-3</v>
      </c>
      <c r="AI16" s="165" t="e">
        <f>IF(_xll.qlQuoteIsValid(AG16,Trigger),_xll.qlQuoteValue(AG16,Trigger),1)</f>
        <v>#NUM!</v>
      </c>
      <c r="AJ16" s="208" t="e">
        <f t="shared" si="12"/>
        <v>#NUM!</v>
      </c>
      <c r="AK16" s="211"/>
      <c r="AL16" s="165" t="str">
        <f t="shared" si="13"/>
        <v>GBPJump6_SYNTHON_Quote</v>
      </c>
    </row>
    <row r="17" spans="1:38" ht="11.25" customHeight="1" x14ac:dyDescent="0.2">
      <c r="A17" s="62" t="s">
        <v>97</v>
      </c>
      <c r="B17" s="117">
        <v>6</v>
      </c>
      <c r="C17" s="65" t="str">
        <f t="shared" si="9"/>
        <v>x9F</v>
      </c>
      <c r="D17" s="126"/>
      <c r="E17" s="126"/>
      <c r="F17" s="126"/>
      <c r="G17" s="64" t="str">
        <f t="shared" si="10"/>
        <v>GbpLibor3M</v>
      </c>
      <c r="H17" s="120" t="str">
        <f t="shared" si="11"/>
        <v>GBP6x9F_Quote</v>
      </c>
      <c r="I17" s="126"/>
      <c r="J17" s="67"/>
      <c r="K17" s="51"/>
      <c r="L17" s="10" t="str">
        <f t="shared" si="6"/>
        <v>FRA</v>
      </c>
      <c r="M17" s="95" t="str">
        <f t="shared" si="7"/>
        <v>--</v>
      </c>
      <c r="N17" s="149" t="str">
        <f>IFERROR(_xll.qlRateHelperQuoteName(M17,Trigger),"--")</f>
        <v>--</v>
      </c>
      <c r="O17" s="99" t="str">
        <f>IFERROR(_xll.qlRateHelperQuoteValue($M17,Trigger),"--")</f>
        <v>--</v>
      </c>
      <c r="P17" s="98" t="b">
        <v>0</v>
      </c>
      <c r="Q17" s="95">
        <v>20</v>
      </c>
      <c r="R17" s="95">
        <v>1</v>
      </c>
      <c r="S17" s="100" t="str">
        <f>IFERROR(_xll.qlRateHelperEarliestDate(M17,Trigger),"--")</f>
        <v>--</v>
      </c>
      <c r="T17" s="100" t="str">
        <f>IFERROR(_xll.qlRateHelperPillarDate(M17,Trigger),"--")</f>
        <v>--</v>
      </c>
      <c r="V17" s="4" t="str">
        <f t="shared" si="4"/>
        <v>Sw</v>
      </c>
      <c r="W17" s="4" t="str">
        <v>obj_002e9</v>
      </c>
      <c r="X17" s="4" t="str">
        <f>IFERROR(_xll.qlRateHelperQuoteName(W17,Trigger),"")</f>
        <v>GBPSM3L6Y_Quote</v>
      </c>
      <c r="Y17" s="73">
        <f>IFERROR(_xll.qlRateHelperRate(W17,Trigger),"")</f>
        <v>1.4649999999999998E-2</v>
      </c>
      <c r="Z17" s="105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42275</v>
      </c>
      <c r="AB17" s="5">
        <f>IFERROR(_xll.qlRateHelperPillarDate(W17,Trigger),"")</f>
        <v>44467</v>
      </c>
      <c r="AC17" s="241">
        <v>0.9154553952749005</v>
      </c>
      <c r="AD17" s="175"/>
      <c r="AE17" s="163">
        <v>7</v>
      </c>
      <c r="AF17" s="164">
        <f>_xll.qlCalendarEndOfMonth(Calendar,_xll.qlCalendarAdvance(Calendar,AF16,"1m","mf",TRUE),Trigger)</f>
        <v>42460</v>
      </c>
      <c r="AG17" s="163" t="str">
        <f t="shared" si="8"/>
        <v>GBPJump7_SYNTHON_Quote</v>
      </c>
      <c r="AH17" s="205">
        <f>_xll.qlDayCounterYearFraction("actual/360",AF17,_xll.qlCalendarAdvance(Calendar,AF17,"1D",,,Trigger))</f>
        <v>2.7777777777777779E-3</v>
      </c>
      <c r="AI17" s="165" t="e">
        <f>IF(_xll.qlQuoteIsValid(AG17,Trigger),_xll.qlQuoteValue(AG17,Trigger),1)</f>
        <v>#NUM!</v>
      </c>
      <c r="AJ17" s="208" t="e">
        <f t="shared" si="12"/>
        <v>#NUM!</v>
      </c>
      <c r="AK17" s="211"/>
      <c r="AL17" s="165" t="str">
        <f t="shared" si="13"/>
        <v>GBPJump7_SYNTHON_Quote</v>
      </c>
    </row>
    <row r="18" spans="1:38" ht="11.25" customHeight="1" x14ac:dyDescent="0.2">
      <c r="A18" s="62" t="s">
        <v>97</v>
      </c>
      <c r="B18" s="117">
        <v>7</v>
      </c>
      <c r="C18" s="65" t="str">
        <f t="shared" si="9"/>
        <v>x10F</v>
      </c>
      <c r="D18" s="126"/>
      <c r="E18" s="126"/>
      <c r="F18" s="126"/>
      <c r="G18" s="64" t="str">
        <f t="shared" si="10"/>
        <v>GbpLibor3M</v>
      </c>
      <c r="H18" s="120" t="str">
        <f t="shared" si="11"/>
        <v>GBP7x10F_Quote</v>
      </c>
      <c r="I18" s="126"/>
      <c r="J18" s="67"/>
      <c r="K18" s="51"/>
      <c r="L18" s="10" t="str">
        <f t="shared" si="6"/>
        <v>FRA</v>
      </c>
      <c r="M18" s="95" t="str">
        <f t="shared" si="7"/>
        <v>--</v>
      </c>
      <c r="N18" s="149" t="str">
        <f>IFERROR(_xll.qlRateHelperQuoteName(M18,Trigger),"--")</f>
        <v>--</v>
      </c>
      <c r="O18" s="99" t="str">
        <f>IFERROR(_xll.qlRateHelperQuoteValue($M18,Trigger),"--")</f>
        <v>--</v>
      </c>
      <c r="P18" s="98" t="b">
        <v>0</v>
      </c>
      <c r="Q18" s="95">
        <v>20</v>
      </c>
      <c r="R18" s="95">
        <v>1</v>
      </c>
      <c r="S18" s="100" t="str">
        <f>IFERROR(_xll.qlRateHelperEarliestDate(M18,Trigger),"--")</f>
        <v>--</v>
      </c>
      <c r="T18" s="100" t="str">
        <f>IFERROR(_xll.qlRateHelperPillarDate(M18,Trigger),"--")</f>
        <v>--</v>
      </c>
      <c r="V18" s="4" t="str">
        <f t="shared" si="4"/>
        <v>Sw</v>
      </c>
      <c r="W18" s="4" t="str">
        <v>obj_002f6</v>
      </c>
      <c r="X18" s="4" t="str">
        <f>IFERROR(_xll.qlRateHelperQuoteName(W18,Trigger),"")</f>
        <v>GBPSM3L7Y_Quote</v>
      </c>
      <c r="Y18" s="73">
        <f>IFERROR(_xll.qlRateHelperRate(W18,Trigger),"")</f>
        <v>1.5600000000000001E-2</v>
      </c>
      <c r="Z18" s="105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42275</v>
      </c>
      <c r="AB18" s="5">
        <f>IFERROR(_xll.qlRateHelperPillarDate(W18,Trigger),"")</f>
        <v>44832</v>
      </c>
      <c r="AC18" s="241">
        <v>0.89595095281872394</v>
      </c>
      <c r="AD18" s="175"/>
      <c r="AE18" s="163">
        <v>8</v>
      </c>
      <c r="AF18" s="164">
        <f>_xll.qlCalendarEndOfMonth(Calendar,_xll.qlCalendarAdvance(Calendar,AF17,"1m","mf",TRUE),Trigger)</f>
        <v>42489</v>
      </c>
      <c r="AG18" s="163" t="str">
        <f t="shared" si="8"/>
        <v>GBPJump8_SYNTHON_Quote</v>
      </c>
      <c r="AH18" s="205">
        <f>_xll.qlDayCounterYearFraction("actual/360",AF18,_xll.qlCalendarAdvance(Calendar,AF18,"1D",,,Trigger))</f>
        <v>1.1111111111111112E-2</v>
      </c>
      <c r="AI18" s="165" t="e">
        <f>IF(_xll.qlQuoteIsValid(AG18,Trigger),_xll.qlQuoteValue(AG18,Trigger),1)</f>
        <v>#NUM!</v>
      </c>
      <c r="AJ18" s="208" t="e">
        <f t="shared" si="12"/>
        <v>#NUM!</v>
      </c>
      <c r="AK18" s="211"/>
      <c r="AL18" s="165" t="str">
        <f t="shared" si="13"/>
        <v>GBPJump8_SYNTHON_Quote</v>
      </c>
    </row>
    <row r="19" spans="1:38" ht="11.25" customHeight="1" x14ac:dyDescent="0.2">
      <c r="A19" s="62" t="s">
        <v>97</v>
      </c>
      <c r="B19" s="117">
        <v>8</v>
      </c>
      <c r="C19" s="65" t="str">
        <f t="shared" si="9"/>
        <v>x11F</v>
      </c>
      <c r="D19" s="126"/>
      <c r="E19" s="126"/>
      <c r="F19" s="126"/>
      <c r="G19" s="64" t="str">
        <f t="shared" si="10"/>
        <v>GbpLibor3M</v>
      </c>
      <c r="H19" s="120" t="str">
        <f t="shared" si="11"/>
        <v>GBP8x11F_Quote</v>
      </c>
      <c r="I19" s="126"/>
      <c r="J19" s="67"/>
      <c r="K19" s="51"/>
      <c r="L19" s="10" t="str">
        <f t="shared" si="6"/>
        <v>FRA</v>
      </c>
      <c r="M19" s="95" t="str">
        <f t="shared" si="7"/>
        <v>--</v>
      </c>
      <c r="N19" s="149" t="str">
        <f>IFERROR(_xll.qlRateHelperQuoteName(M19,Trigger),"--")</f>
        <v>--</v>
      </c>
      <c r="O19" s="99" t="str">
        <f>IFERROR(_xll.qlRateHelperQuoteValue($M19,Trigger),"--")</f>
        <v>--</v>
      </c>
      <c r="P19" s="98" t="b">
        <v>0</v>
      </c>
      <c r="Q19" s="95">
        <v>20</v>
      </c>
      <c r="R19" s="95">
        <v>1</v>
      </c>
      <c r="S19" s="100" t="str">
        <f>IFERROR(_xll.qlRateHelperEarliestDate(M19,Trigger),"--")</f>
        <v>--</v>
      </c>
      <c r="T19" s="100" t="str">
        <f>IFERROR(_xll.qlRateHelperPillarDate(M19,Trigger),"--")</f>
        <v>--</v>
      </c>
      <c r="V19" s="4" t="str">
        <f t="shared" si="4"/>
        <v>Sw</v>
      </c>
      <c r="W19" s="4" t="str">
        <v>obj_002f1</v>
      </c>
      <c r="X19" s="4" t="str">
        <f>IFERROR(_xll.qlRateHelperQuoteName(W19,Trigger),"")</f>
        <v>GBPSM3L8Y_Quote</v>
      </c>
      <c r="Y19" s="73">
        <f>IFERROR(_xll.qlRateHelperRate(W19,Trigger),"")</f>
        <v>1.6369999999999999E-2</v>
      </c>
      <c r="Z19" s="105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42275</v>
      </c>
      <c r="AB19" s="5">
        <f>IFERROR(_xll.qlRateHelperPillarDate(W19,Trigger),"")</f>
        <v>45197</v>
      </c>
      <c r="AC19" s="241">
        <v>0.87642066048056744</v>
      </c>
      <c r="AD19" s="175"/>
      <c r="AE19" s="163">
        <v>9</v>
      </c>
      <c r="AF19" s="164">
        <f>_xll.qlCalendarEndOfMonth(Calendar,_xll.qlCalendarAdvance(Calendar,AF18,"1m","mf",TRUE),Trigger)</f>
        <v>42521</v>
      </c>
      <c r="AG19" s="163" t="str">
        <f t="shared" si="8"/>
        <v>GBPJump9_SYNTHON_Quote</v>
      </c>
      <c r="AH19" s="205">
        <f>_xll.qlDayCounterYearFraction("actual/360",AF19,_xll.qlCalendarAdvance(Calendar,AF19,"1D",,,Trigger))</f>
        <v>2.7777777777777779E-3</v>
      </c>
      <c r="AI19" s="165" t="e">
        <f>IF(_xll.qlQuoteIsValid(AG19,Trigger),_xll.qlQuoteValue(AG19,Trigger),1)</f>
        <v>#NUM!</v>
      </c>
      <c r="AJ19" s="208" t="e">
        <f t="shared" si="12"/>
        <v>#NUM!</v>
      </c>
      <c r="AK19" s="211"/>
      <c r="AL19" s="165" t="str">
        <f t="shared" si="13"/>
        <v>GBPJump9_SYNTHON_Quote</v>
      </c>
    </row>
    <row r="20" spans="1:38" ht="11.25" customHeight="1" x14ac:dyDescent="0.2">
      <c r="A20" s="62" t="s">
        <v>97</v>
      </c>
      <c r="B20" s="117">
        <v>9</v>
      </c>
      <c r="C20" s="65" t="str">
        <f t="shared" si="9"/>
        <v>x12F</v>
      </c>
      <c r="D20" s="126"/>
      <c r="E20" s="126"/>
      <c r="F20" s="126"/>
      <c r="G20" s="64" t="str">
        <f t="shared" si="10"/>
        <v>GbpLibor3M</v>
      </c>
      <c r="H20" s="120" t="str">
        <f t="shared" si="11"/>
        <v>GBP9x12F_Quote</v>
      </c>
      <c r="I20" s="126"/>
      <c r="J20" s="67"/>
      <c r="K20" s="51"/>
      <c r="L20" s="10" t="str">
        <f t="shared" si="6"/>
        <v>FRA</v>
      </c>
      <c r="M20" s="95" t="str">
        <f t="shared" si="7"/>
        <v>--</v>
      </c>
      <c r="N20" s="149" t="str">
        <f>IFERROR(_xll.qlRateHelperQuoteName(M20,Trigger),"--")</f>
        <v>--</v>
      </c>
      <c r="O20" s="99" t="str">
        <f>IFERROR(_xll.qlRateHelperQuoteValue($M20,Trigger),"--")</f>
        <v>--</v>
      </c>
      <c r="P20" s="98" t="b">
        <v>0</v>
      </c>
      <c r="Q20" s="95">
        <v>20</v>
      </c>
      <c r="R20" s="95">
        <v>1</v>
      </c>
      <c r="S20" s="100" t="str">
        <f>IFERROR(_xll.qlRateHelperEarliestDate(M20,Trigger),"--")</f>
        <v>--</v>
      </c>
      <c r="T20" s="100" t="str">
        <f>IFERROR(_xll.qlRateHelperPillarDate(M20,Trigger),"--")</f>
        <v>--</v>
      </c>
      <c r="V20" s="4" t="str">
        <f t="shared" si="4"/>
        <v>Sw</v>
      </c>
      <c r="W20" s="4" t="str">
        <v>obj_002f4</v>
      </c>
      <c r="X20" s="4" t="str">
        <f>IFERROR(_xll.qlRateHelperQuoteName(W20,Trigger),"")</f>
        <v>GBPSM3L9Y_Quote</v>
      </c>
      <c r="Y20" s="73">
        <f>IFERROR(_xll.qlRateHelperRate(W20,Trigger),"")</f>
        <v>1.7049999999999999E-2</v>
      </c>
      <c r="Z20" s="105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42275</v>
      </c>
      <c r="AB20" s="5">
        <f>IFERROR(_xll.qlRateHelperPillarDate(W20,Trigger),"")</f>
        <v>45565</v>
      </c>
      <c r="AC20" s="241">
        <v>0.85651403418623773</v>
      </c>
      <c r="AD20" s="175"/>
      <c r="AE20" s="163">
        <v>10</v>
      </c>
      <c r="AF20" s="164">
        <f>_xll.qlCalendarEndOfMonth(Calendar,_xll.qlCalendarAdvance(Calendar,AF19,"1m","mf",TRUE),Trigger)</f>
        <v>42551</v>
      </c>
      <c r="AG20" s="163" t="str">
        <f t="shared" si="8"/>
        <v>GBPJump10_SYNTHON_Quote</v>
      </c>
      <c r="AH20" s="205">
        <f>_xll.qlDayCounterYearFraction("actual/360",AF20,_xll.qlCalendarAdvance(Calendar,AF20,"1D",,,Trigger))</f>
        <v>2.7777777777777779E-3</v>
      </c>
      <c r="AI20" s="165" t="e">
        <f>IF(_xll.qlQuoteIsValid(AG20,Trigger),_xll.qlQuoteValue(AG20,Trigger),1)</f>
        <v>#NUM!</v>
      </c>
      <c r="AJ20" s="208" t="e">
        <f t="shared" si="12"/>
        <v>#NUM!</v>
      </c>
      <c r="AK20" s="211"/>
      <c r="AL20" s="165" t="str">
        <f t="shared" si="13"/>
        <v>GBPJump10_SYNTHON_Quote</v>
      </c>
    </row>
    <row r="21" spans="1:38" ht="11.25" customHeight="1" x14ac:dyDescent="0.2">
      <c r="A21" s="62" t="s">
        <v>97</v>
      </c>
      <c r="B21" s="117">
        <v>10</v>
      </c>
      <c r="C21" s="65" t="str">
        <f t="shared" si="9"/>
        <v>x13F</v>
      </c>
      <c r="D21" s="126"/>
      <c r="E21" s="126"/>
      <c r="F21" s="126"/>
      <c r="G21" s="64" t="str">
        <f t="shared" si="10"/>
        <v>GbpLibor3M</v>
      </c>
      <c r="H21" s="120" t="str">
        <f t="shared" si="11"/>
        <v>GBP10x13F_Quote</v>
      </c>
      <c r="I21" s="126"/>
      <c r="J21" s="67"/>
      <c r="K21" s="51"/>
      <c r="L21" s="11" t="str">
        <f t="shared" si="6"/>
        <v>FRA</v>
      </c>
      <c r="M21" s="96" t="str">
        <f t="shared" si="7"/>
        <v>--</v>
      </c>
      <c r="N21" s="150" t="str">
        <f>IFERROR(_xll.qlRateHelperQuoteName(M21,Trigger),"--")</f>
        <v>--</v>
      </c>
      <c r="O21" s="102" t="str">
        <f>IFERROR(_xll.qlRateHelperQuoteValue($M21,Trigger),"--")</f>
        <v>--</v>
      </c>
      <c r="P21" s="101" t="b">
        <v>0</v>
      </c>
      <c r="Q21" s="96">
        <v>20</v>
      </c>
      <c r="R21" s="96">
        <v>1</v>
      </c>
      <c r="S21" s="103" t="str">
        <f>IFERROR(_xll.qlRateHelperEarliestDate(M21,Trigger),"--")</f>
        <v>--</v>
      </c>
      <c r="T21" s="103" t="str">
        <f>IFERROR(_xll.qlRateHelperPillarDate(M21,Trigger),"--")</f>
        <v>--</v>
      </c>
      <c r="V21" s="4" t="str">
        <f t="shared" si="4"/>
        <v>Sw</v>
      </c>
      <c r="W21" s="4" t="str">
        <v>obj_002f5</v>
      </c>
      <c r="X21" s="4" t="str">
        <f>IFERROR(_xll.qlRateHelperQuoteName(W21,Trigger),"")</f>
        <v>GBPSM3L10Y_Quote</v>
      </c>
      <c r="Y21" s="73">
        <f>IFERROR(_xll.qlRateHelperRate(W21,Trigger),"")</f>
        <v>1.7639999999999999E-2</v>
      </c>
      <c r="Z21" s="105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42275</v>
      </c>
      <c r="AB21" s="5">
        <f>IFERROR(_xll.qlRateHelperPillarDate(W21,Trigger),"")</f>
        <v>45929</v>
      </c>
      <c r="AC21" s="241">
        <v>0.83678052154214455</v>
      </c>
      <c r="AD21" s="175"/>
      <c r="AE21" s="163">
        <v>11</v>
      </c>
      <c r="AF21" s="164">
        <f>_xll.qlCalendarEndOfMonth(Calendar,_xll.qlCalendarAdvance(Calendar,AF20,"1m","mf",TRUE),Trigger)</f>
        <v>42580</v>
      </c>
      <c r="AG21" s="163" t="str">
        <f t="shared" si="8"/>
        <v>GBPJump11_SYNTHON_Quote</v>
      </c>
      <c r="AH21" s="205">
        <f>_xll.qlDayCounterYearFraction("actual/360",AF21,_xll.qlCalendarAdvance(Calendar,AF21,"1D",,,Trigger))</f>
        <v>8.3333333333333332E-3</v>
      </c>
      <c r="AI21" s="165" t="e">
        <f>IF(_xll.qlQuoteIsValid(AG21,Trigger),_xll.qlQuoteValue(AG21,Trigger),1)</f>
        <v>#NUM!</v>
      </c>
      <c r="AJ21" s="208" t="e">
        <f t="shared" si="12"/>
        <v>#NUM!</v>
      </c>
      <c r="AK21" s="211"/>
      <c r="AL21" s="165" t="str">
        <f t="shared" si="13"/>
        <v>GBPJump11_SYNTHON_Quote</v>
      </c>
    </row>
    <row r="22" spans="1:38" ht="11.25" customHeight="1" x14ac:dyDescent="0.2">
      <c r="A22" s="62" t="s">
        <v>97</v>
      </c>
      <c r="B22" s="117">
        <v>11</v>
      </c>
      <c r="C22" s="65" t="str">
        <f t="shared" si="9"/>
        <v>x14F</v>
      </c>
      <c r="D22" s="126"/>
      <c r="E22" s="126"/>
      <c r="F22" s="126"/>
      <c r="G22" s="64" t="str">
        <f t="shared" si="10"/>
        <v>GbpLibor3M</v>
      </c>
      <c r="H22" s="120" t="str">
        <f t="shared" si="11"/>
        <v>GBP11x14F_Quote</v>
      </c>
      <c r="I22" s="126"/>
      <c r="J22" s="67"/>
      <c r="K22" s="51"/>
      <c r="L22" s="71" t="str">
        <f>A26</f>
        <v>FUT</v>
      </c>
      <c r="M22" s="134" t="str">
        <f>IF(ISBLANK(J26),"--",J26)</f>
        <v>obj_0033d#0001</v>
      </c>
      <c r="N22" s="148" t="str">
        <f>IFERROR(_xll.qlRateHelperQuoteName(M22,Trigger),"--")</f>
        <v>GBPFUT3MV5_Quote</v>
      </c>
      <c r="O22" s="153" t="str">
        <f>IFERROR(_xll.qlRateHelperQuoteValue($M22,Trigger),"--")</f>
        <v>--</v>
      </c>
      <c r="P22" s="135" t="b">
        <v>1</v>
      </c>
      <c r="Q22" s="134">
        <v>60</v>
      </c>
      <c r="R22" s="134">
        <v>3</v>
      </c>
      <c r="S22" s="137">
        <f>IFERROR(_xll.qlRateHelperEarliestDate(M22,Trigger),"--")</f>
        <v>42298</v>
      </c>
      <c r="T22" s="137">
        <f>IFERROR(_xll.qlRateHelperPillarDate(M22,Trigger),"--")</f>
        <v>42390</v>
      </c>
      <c r="V22" s="4" t="str">
        <f t="shared" si="4"/>
        <v>Sw</v>
      </c>
      <c r="W22" s="4" t="str">
        <v>obj_002ee</v>
      </c>
      <c r="X22" s="4" t="str">
        <f>IFERROR(_xll.qlRateHelperQuoteName(W22,Trigger),"")</f>
        <v>GBPSM3L12Y_Quote</v>
      </c>
      <c r="Y22" s="73">
        <f>IFERROR(_xll.qlRateHelperRate(W22,Trigger),"")</f>
        <v>1.864E-2</v>
      </c>
      <c r="Z22" s="105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42275</v>
      </c>
      <c r="AB22" s="5">
        <f>IFERROR(_xll.qlRateHelperPillarDate(W22,Trigger),"")</f>
        <v>46658</v>
      </c>
      <c r="AC22" s="241">
        <v>0.79737721093599456</v>
      </c>
      <c r="AD22" s="175"/>
      <c r="AE22" s="163">
        <v>12</v>
      </c>
      <c r="AF22" s="164">
        <f>_xll.qlCalendarEndOfMonth(Calendar,_xll.qlCalendarAdvance(Calendar,AF21,"1m","mf",TRUE),Trigger)</f>
        <v>42613</v>
      </c>
      <c r="AG22" s="163" t="str">
        <f t="shared" si="8"/>
        <v>GBPJump12_SYNTHON_Quote</v>
      </c>
      <c r="AH22" s="205">
        <f>_xll.qlDayCounterYearFraction("actual/360",AF22,_xll.qlCalendarAdvance(Calendar,AF22,"1D",,,Trigger))</f>
        <v>2.7777777777777779E-3</v>
      </c>
      <c r="AI22" s="165" t="e">
        <f>IF(_xll.qlQuoteIsValid(AG22,Trigger),_xll.qlQuoteValue(AG22,Trigger),1)</f>
        <v>#NUM!</v>
      </c>
      <c r="AJ22" s="208" t="e">
        <f t="shared" si="12"/>
        <v>#NUM!</v>
      </c>
      <c r="AK22" s="211"/>
      <c r="AL22" s="165" t="str">
        <f t="shared" si="13"/>
        <v>GBPJump12_SYNTHON_Quote</v>
      </c>
    </row>
    <row r="23" spans="1:38" ht="11.25" customHeight="1" x14ac:dyDescent="0.2">
      <c r="A23" s="1" t="s">
        <v>97</v>
      </c>
      <c r="B23" s="118">
        <v>12</v>
      </c>
      <c r="C23" s="9" t="str">
        <f t="shared" si="9"/>
        <v>x15F</v>
      </c>
      <c r="D23" s="127"/>
      <c r="E23" s="127"/>
      <c r="F23" s="127"/>
      <c r="G23" s="7" t="str">
        <f t="shared" si="10"/>
        <v>GbpLibor3M</v>
      </c>
      <c r="H23" s="121" t="str">
        <f t="shared" si="11"/>
        <v>GBP12x15F_Quote</v>
      </c>
      <c r="I23" s="127"/>
      <c r="J23" s="3"/>
      <c r="K23" s="51"/>
      <c r="L23" s="10" t="str">
        <f t="shared" ref="L23:L43" si="14">A27</f>
        <v>FUT</v>
      </c>
      <c r="M23" s="95" t="str">
        <f t="shared" ref="M23:M43" si="15">IF(ISBLANK(J27),"--",J27)</f>
        <v>obj_0033c#0001</v>
      </c>
      <c r="N23" s="149" t="str">
        <f>IFERROR(_xll.qlRateHelperQuoteName(M23,Trigger),"--")</f>
        <v>GBPFUT3MX5_Quote</v>
      </c>
      <c r="O23" s="154" t="str">
        <f>IFERROR(_xll.qlRateHelperQuoteValue($M23,Trigger),"--")</f>
        <v>--</v>
      </c>
      <c r="P23" s="98" t="b">
        <v>1</v>
      </c>
      <c r="Q23" s="95">
        <v>60</v>
      </c>
      <c r="R23" s="95">
        <v>3</v>
      </c>
      <c r="S23" s="100">
        <f>IFERROR(_xll.qlRateHelperEarliestDate(M23,Trigger),"--")</f>
        <v>42326</v>
      </c>
      <c r="T23" s="100">
        <f>IFERROR(_xll.qlRateHelperPillarDate(M23,Trigger),"--")</f>
        <v>42418</v>
      </c>
      <c r="V23" s="4" t="str">
        <f t="shared" si="4"/>
        <v>Sw</v>
      </c>
      <c r="W23" s="4" t="str">
        <v>obj_002f7</v>
      </c>
      <c r="X23" s="4" t="str">
        <f>IFERROR(_xll.qlRateHelperQuoteName(W23,Trigger),"")</f>
        <v>GBPSM3L15Y_Quote</v>
      </c>
      <c r="Y23" s="73">
        <f>IFERROR(_xll.qlRateHelperRate(W23,Trigger),"")</f>
        <v>1.9700000000000002E-2</v>
      </c>
      <c r="Z23" s="105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42275</v>
      </c>
      <c r="AB23" s="5">
        <f>IFERROR(_xll.qlRateHelperPillarDate(W23,Trigger),"")</f>
        <v>47756</v>
      </c>
      <c r="AC23" s="241">
        <v>0.74069937341886172</v>
      </c>
      <c r="AD23" s="175"/>
      <c r="AE23" s="166">
        <v>13</v>
      </c>
      <c r="AF23" s="167">
        <f>_xll.qlCalendarAdjust(Calendar,DATE(YEAR(AF11)+1,12,31),"preceding",Trigger)</f>
        <v>42734</v>
      </c>
      <c r="AG23" s="166" t="str">
        <f t="shared" si="8"/>
        <v>GBPJump13_SYNTHON_Quote</v>
      </c>
      <c r="AH23" s="206">
        <f>_xll.qlDayCounterYearFraction("actual/360",AF23,_xll.qlCalendarAdvance(Calendar,AF23,"1D",,,Trigger))</f>
        <v>1.1111111111111112E-2</v>
      </c>
      <c r="AI23" s="168" t="e">
        <f>IF(_xll.qlQuoteIsValid(AG23,Trigger),_xll.qlQuoteValue(AG23,Trigger),1)</f>
        <v>#NUM!</v>
      </c>
      <c r="AJ23" s="209" t="e">
        <f t="shared" si="12"/>
        <v>#NUM!</v>
      </c>
      <c r="AK23" s="212"/>
      <c r="AL23" s="168" t="str">
        <f t="shared" si="13"/>
        <v>GBPJump13_SYNTHON_Quote</v>
      </c>
    </row>
    <row r="24" spans="1:38" ht="11.25" customHeight="1" x14ac:dyDescent="0.2">
      <c r="B24" s="49"/>
      <c r="C24" s="49"/>
      <c r="D24" s="49"/>
      <c r="E24" s="49"/>
      <c r="F24" s="49"/>
      <c r="G24" s="49"/>
      <c r="H24" s="104" t="s">
        <v>99</v>
      </c>
      <c r="K24" s="51"/>
      <c r="L24" s="10" t="str">
        <f t="shared" si="14"/>
        <v>FUT</v>
      </c>
      <c r="M24" s="95" t="str">
        <f t="shared" si="15"/>
        <v>obj_0033e#0001</v>
      </c>
      <c r="N24" s="149" t="str">
        <f>IFERROR(_xll.qlRateHelperQuoteName(M24,Trigger),"--")</f>
        <v>GBPFUT3MZ5_Quote</v>
      </c>
      <c r="O24" s="154">
        <f>IFERROR(_xll.qlRateHelperQuoteValue($M24,Trigger),"--")</f>
        <v>99.39500000000001</v>
      </c>
      <c r="P24" s="98" t="b">
        <v>1</v>
      </c>
      <c r="Q24" s="95">
        <v>60</v>
      </c>
      <c r="R24" s="95">
        <v>3</v>
      </c>
      <c r="S24" s="100">
        <f>IFERROR(_xll.qlRateHelperEarliestDate(M24,Trigger),"--")</f>
        <v>42354</v>
      </c>
      <c r="T24" s="100">
        <f>IFERROR(_xll.qlRateHelperPillarDate(M24,Trigger),"--")</f>
        <v>42445</v>
      </c>
      <c r="V24" s="4" t="str">
        <f t="shared" si="4"/>
        <v>Sw</v>
      </c>
      <c r="W24" s="4" t="str">
        <v>obj_002f0</v>
      </c>
      <c r="X24" s="4" t="str">
        <f>IFERROR(_xll.qlRateHelperQuoteName(W24,Trigger),"")</f>
        <v>GBPSM3L20Y_Quote</v>
      </c>
      <c r="Y24" s="73">
        <f>IFERROR(_xll.qlRateHelperRate(W24,Trigger),"")</f>
        <v>2.0560000000000002E-2</v>
      </c>
      <c r="Z24" s="105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42275</v>
      </c>
      <c r="AB24" s="5">
        <f>IFERROR(_xll.qlRateHelperPillarDate(W24,Trigger),"")</f>
        <v>49580</v>
      </c>
      <c r="AC24" s="241">
        <v>0.65821137539453944</v>
      </c>
      <c r="AD24" s="175"/>
    </row>
    <row r="25" spans="1:38" ht="11.25" customHeight="1" x14ac:dyDescent="0.2">
      <c r="A25" s="68" t="s">
        <v>9</v>
      </c>
      <c r="B25" s="68" t="s">
        <v>101</v>
      </c>
      <c r="C25" s="68" t="s">
        <v>33</v>
      </c>
      <c r="D25" s="68"/>
      <c r="E25" s="68"/>
      <c r="F25" s="68"/>
      <c r="G25" s="68" t="s">
        <v>4</v>
      </c>
      <c r="H25" s="68" t="s">
        <v>1</v>
      </c>
      <c r="I25" s="68" t="s">
        <v>100</v>
      </c>
      <c r="J25" s="68" t="s">
        <v>25</v>
      </c>
      <c r="K25" s="51"/>
      <c r="L25" s="10" t="str">
        <f t="shared" si="14"/>
        <v>FUT</v>
      </c>
      <c r="M25" s="95" t="str">
        <f t="shared" si="15"/>
        <v>obj_0033f#0001</v>
      </c>
      <c r="N25" s="149" t="str">
        <f>IFERROR(_xll.qlRateHelperQuoteName(M25,Trigger),"--")</f>
        <v>GBPFUT3MF6_Quote</v>
      </c>
      <c r="O25" s="154" t="str">
        <f>IFERROR(_xll.qlRateHelperQuoteValue($M25,Trigger),"--")</f>
        <v>--</v>
      </c>
      <c r="P25" s="98" t="b">
        <v>1</v>
      </c>
      <c r="Q25" s="95">
        <v>60</v>
      </c>
      <c r="R25" s="95">
        <v>21</v>
      </c>
      <c r="S25" s="100">
        <f>IFERROR(_xll.qlRateHelperEarliestDate(M25,Trigger),"--")</f>
        <v>42389</v>
      </c>
      <c r="T25" s="100">
        <f>IFERROR(_xll.qlRateHelperPillarDate(M25,Trigger),"--")</f>
        <v>42480</v>
      </c>
      <c r="V25" s="4" t="str">
        <f t="shared" si="4"/>
        <v>Sw</v>
      </c>
      <c r="W25" s="4" t="str">
        <v>obj_002ea</v>
      </c>
      <c r="X25" s="4" t="str">
        <f>IFERROR(_xll.qlRateHelperQuoteName(W25,Trigger),"")</f>
        <v>GBPSM3L25Y_Quote</v>
      </c>
      <c r="Y25" s="73">
        <f>IFERROR(_xll.qlRateHelperRate(W25,Trigger),"")</f>
        <v>2.0750000000000001E-2</v>
      </c>
      <c r="Z25" s="105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42275</v>
      </c>
      <c r="AB25" s="5">
        <f>IFERROR(_xll.qlRateHelperPillarDate(W25,Trigger),"")</f>
        <v>51407</v>
      </c>
      <c r="AC25" s="241">
        <v>0.59068263782301866</v>
      </c>
      <c r="AD25" s="175"/>
    </row>
    <row r="26" spans="1:38" ht="11.25" customHeight="1" x14ac:dyDescent="0.2">
      <c r="A26" s="56" t="s">
        <v>98</v>
      </c>
      <c r="B26" s="116" t="b">
        <v>0</v>
      </c>
      <c r="C26" s="59" t="str">
        <f>_xll.qlIMMNextCode(Evaluationdate-1,B26,Trigger)</f>
        <v>V5</v>
      </c>
      <c r="D26" s="132"/>
      <c r="E26" s="132"/>
      <c r="F26" s="132"/>
      <c r="G26" s="58" t="str">
        <f t="shared" ref="G26:G47" si="16">PROPER(Currency)&amp;FamilyName&amp;Tenor</f>
        <v>GbpLibor3M</v>
      </c>
      <c r="H26" s="119" t="str">
        <f t="shared" ref="H26:H47" si="17">Currency&amp;"FUT"&amp;Tenor&amp;$C26&amp;QuoteSuffix</f>
        <v>GBPFUT3MV5_Quote</v>
      </c>
      <c r="I26" s="119" t="str">
        <f t="shared" ref="I26:I47" si="18">Currency&amp;"FUT"&amp;Tenor&amp;$C26&amp;"ConvAdj"&amp;QuoteSuffix</f>
        <v>GBPFUT3MV5ConvAdj_Quote</v>
      </c>
      <c r="J26" s="61" t="str">
        <f>_xll.qlFuturesRateHelper(,H26,FuturesType,C26,G26,I26,Permanent,Trigger,ObjectOverwrite)</f>
        <v>obj_0033d#0001</v>
      </c>
      <c r="K26" s="51"/>
      <c r="L26" s="10" t="str">
        <f t="shared" si="14"/>
        <v>FUT</v>
      </c>
      <c r="M26" s="95" t="str">
        <f t="shared" si="15"/>
        <v>obj_00340#0001</v>
      </c>
      <c r="N26" s="149" t="str">
        <f>IFERROR(_xll.qlRateHelperQuoteName(M26,Trigger),"--")</f>
        <v>GBPFUT3MG6_Quote</v>
      </c>
      <c r="O26" s="154" t="str">
        <f>IFERROR(_xll.qlRateHelperQuoteValue($M26,Trigger),"--")</f>
        <v>--</v>
      </c>
      <c r="P26" s="98" t="b">
        <v>1</v>
      </c>
      <c r="Q26" s="95">
        <v>60</v>
      </c>
      <c r="R26" s="95">
        <v>21</v>
      </c>
      <c r="S26" s="100">
        <f>IFERROR(_xll.qlRateHelperEarliestDate(M26,Trigger),"--")</f>
        <v>42417</v>
      </c>
      <c r="T26" s="100">
        <f>IFERROR(_xll.qlRateHelperPillarDate(M26,Trigger),"--")</f>
        <v>42507</v>
      </c>
      <c r="V26" s="4" t="str">
        <f t="shared" si="4"/>
        <v>Sw</v>
      </c>
      <c r="W26" s="4" t="str">
        <v>obj_002f8</v>
      </c>
      <c r="X26" s="4" t="str">
        <f>IFERROR(_xll.qlRateHelperQuoteName(W26,Trigger),"")</f>
        <v>GBPSM3L30Y_Quote</v>
      </c>
      <c r="Y26" s="73">
        <f>IFERROR(_xll.qlRateHelperRate(W26,Trigger),"")</f>
        <v>2.078E-2</v>
      </c>
      <c r="Z26" s="105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42275</v>
      </c>
      <c r="AB26" s="5">
        <f>IFERROR(_xll.qlRateHelperPillarDate(W26,Trigger),"")</f>
        <v>53233</v>
      </c>
      <c r="AC26" s="241">
        <v>0.53211427749574636</v>
      </c>
      <c r="AD26" s="175"/>
    </row>
    <row r="27" spans="1:38" ht="11.25" customHeight="1" x14ac:dyDescent="0.2">
      <c r="A27" s="62" t="s">
        <v>98</v>
      </c>
      <c r="B27" s="117" t="b">
        <v>0</v>
      </c>
      <c r="C27" s="65" t="str">
        <f>_xll.qlIMMNextCode(C26,B27,Trigger)</f>
        <v>X5</v>
      </c>
      <c r="D27" s="126"/>
      <c r="E27" s="126"/>
      <c r="F27" s="126"/>
      <c r="G27" s="64" t="str">
        <f t="shared" si="16"/>
        <v>GbpLibor3M</v>
      </c>
      <c r="H27" s="120" t="str">
        <f t="shared" si="17"/>
        <v>GBPFUT3MX5_Quote</v>
      </c>
      <c r="I27" s="120" t="str">
        <f t="shared" si="18"/>
        <v>GBPFUT3MX5ConvAdj_Quote</v>
      </c>
      <c r="J27" s="67" t="str">
        <f>_xll.qlFuturesRateHelper(,H27,FuturesType,C27,G27,I27,Permanent,Trigger,ObjectOverwrite)</f>
        <v>obj_0033c#0001</v>
      </c>
      <c r="K27" s="51"/>
      <c r="L27" s="10" t="str">
        <f t="shared" si="14"/>
        <v>FUT</v>
      </c>
      <c r="M27" s="95" t="str">
        <f t="shared" si="15"/>
        <v>obj_00341#0001</v>
      </c>
      <c r="N27" s="149" t="str">
        <f>IFERROR(_xll.qlRateHelperQuoteName(M27,Trigger),"--")</f>
        <v>GBPFUT3MH6_Quote</v>
      </c>
      <c r="O27" s="154">
        <f>IFERROR(_xll.qlRateHelperQuoteValue($M27,Trigger),"--")</f>
        <v>99.335000000000008</v>
      </c>
      <c r="P27" s="98" t="b">
        <v>1</v>
      </c>
      <c r="Q27" s="95">
        <v>60</v>
      </c>
      <c r="R27" s="95">
        <v>21</v>
      </c>
      <c r="S27" s="100">
        <f>IFERROR(_xll.qlRateHelperEarliestDate(M27,Trigger),"--")</f>
        <v>42445</v>
      </c>
      <c r="T27" s="100">
        <f>IFERROR(_xll.qlRateHelperPillarDate(M27,Trigger),"--")</f>
        <v>42537</v>
      </c>
      <c r="V27" s="4" t="str">
        <f t="shared" si="4"/>
        <v>Sw</v>
      </c>
      <c r="W27" s="4" t="str">
        <v>obj_002f2</v>
      </c>
      <c r="X27" s="4" t="str">
        <f>IFERROR(_xll.qlRateHelperQuoteName(W27,Trigger),"")</f>
        <v>GBPSM3L40Y_Quote</v>
      </c>
      <c r="Y27" s="73">
        <f>IFERROR(_xll.qlRateHelperRate(W27,Trigger),"")</f>
        <v>2.0390000000000002E-2</v>
      </c>
      <c r="Z27" s="105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42275</v>
      </c>
      <c r="AB27" s="5">
        <f>IFERROR(_xll.qlRateHelperPillarDate(W27,Trigger),"")</f>
        <v>56885</v>
      </c>
      <c r="AC27" s="241">
        <v>0.44229258784690317</v>
      </c>
      <c r="AD27" s="175"/>
    </row>
    <row r="28" spans="1:38" ht="11.25" customHeight="1" x14ac:dyDescent="0.2">
      <c r="A28" s="62" t="s">
        <v>98</v>
      </c>
      <c r="B28" s="117" t="b">
        <v>0</v>
      </c>
      <c r="C28" s="65" t="str">
        <f>_xll.qlIMMNextCode(C27,B28,Trigger)</f>
        <v>Z5</v>
      </c>
      <c r="D28" s="126"/>
      <c r="E28" s="126"/>
      <c r="F28" s="126"/>
      <c r="G28" s="64" t="str">
        <f t="shared" si="16"/>
        <v>GbpLibor3M</v>
      </c>
      <c r="H28" s="120" t="str">
        <f t="shared" si="17"/>
        <v>GBPFUT3MZ5_Quote</v>
      </c>
      <c r="I28" s="120" t="str">
        <f t="shared" si="18"/>
        <v>GBPFUT3MZ5ConvAdj_Quote</v>
      </c>
      <c r="J28" s="67" t="str">
        <f>_xll.qlFuturesRateHelper(,H28,FuturesType,C28,G28,I28,Permanent,Trigger,ObjectOverwrite)</f>
        <v>obj_0033e#0001</v>
      </c>
      <c r="K28" s="51"/>
      <c r="L28" s="10" t="str">
        <f t="shared" si="14"/>
        <v>FUT</v>
      </c>
      <c r="M28" s="95" t="str">
        <f t="shared" si="15"/>
        <v>obj_00342#0001</v>
      </c>
      <c r="N28" s="149" t="str">
        <f>IFERROR(_xll.qlRateHelperQuoteName(M28,Trigger),"--")</f>
        <v>GBPFUT3MM6_Quote</v>
      </c>
      <c r="O28" s="154">
        <f>IFERROR(_xll.qlRateHelperQuoteValue($M28,Trigger),"--")</f>
        <v>99.254999999999995</v>
      </c>
      <c r="P28" s="98" t="b">
        <v>1</v>
      </c>
      <c r="Q28" s="95">
        <v>60</v>
      </c>
      <c r="R28" s="95">
        <v>21</v>
      </c>
      <c r="S28" s="100">
        <f>IFERROR(_xll.qlRateHelperEarliestDate(M28,Trigger),"--")</f>
        <v>42536</v>
      </c>
      <c r="T28" s="100">
        <f>IFERROR(_xll.qlRateHelperPillarDate(M28,Trigger),"--")</f>
        <v>42628</v>
      </c>
      <c r="V28" s="4" t="str">
        <f t="shared" si="4"/>
        <v>Sw</v>
      </c>
      <c r="W28" s="4" t="str">
        <v>obj_002eb</v>
      </c>
      <c r="X28" s="4" t="str">
        <f>IFERROR(_xll.qlRateHelperQuoteName(W28,Trigger),"")</f>
        <v>GBPSM3L50Y_Quote</v>
      </c>
      <c r="Y28" s="73">
        <f>IFERROR(_xll.qlRateHelperRate(W28,Trigger),"")</f>
        <v>0.02</v>
      </c>
      <c r="Z28" s="105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42275</v>
      </c>
      <c r="AB28" s="5">
        <f>IFERROR(_xll.qlRateHelperPillarDate(W28,Trigger),"")</f>
        <v>60538</v>
      </c>
      <c r="AC28" s="241">
        <v>0.37172161840788553</v>
      </c>
      <c r="AD28" s="175"/>
    </row>
    <row r="29" spans="1:38" ht="11.25" customHeight="1" x14ac:dyDescent="0.2">
      <c r="A29" s="62" t="s">
        <v>98</v>
      </c>
      <c r="B29" s="117" t="b">
        <v>0</v>
      </c>
      <c r="C29" s="65" t="str">
        <f>_xll.qlIMMNextCode(C28,B29,Trigger)</f>
        <v>F6</v>
      </c>
      <c r="D29" s="126"/>
      <c r="E29" s="126"/>
      <c r="F29" s="126"/>
      <c r="G29" s="64" t="str">
        <f t="shared" si="16"/>
        <v>GbpLibor3M</v>
      </c>
      <c r="H29" s="120" t="str">
        <f t="shared" si="17"/>
        <v>GBPFUT3MF6_Quote</v>
      </c>
      <c r="I29" s="120" t="str">
        <f t="shared" si="18"/>
        <v>GBPFUT3MF6ConvAdj_Quote</v>
      </c>
      <c r="J29" s="67" t="str">
        <f>_xll.qlFuturesRateHelper(,H29,FuturesType,C29,G29,I29,Permanent,Trigger,ObjectOverwrite)</f>
        <v>obj_0033f#0001</v>
      </c>
      <c r="K29" s="51"/>
      <c r="L29" s="10" t="str">
        <f t="shared" si="14"/>
        <v>FUT</v>
      </c>
      <c r="M29" s="95" t="str">
        <f t="shared" si="15"/>
        <v>obj_00344#0001</v>
      </c>
      <c r="N29" s="149" t="str">
        <f>IFERROR(_xll.qlRateHelperQuoteName(M29,Trigger),"--")</f>
        <v>GBPFUT3MU6_Quote</v>
      </c>
      <c r="O29" s="154">
        <f>IFERROR(_xll.qlRateHelperQuoteValue($M29,Trigger),"--")</f>
        <v>99.14500000000001</v>
      </c>
      <c r="P29" s="98" t="b">
        <v>1</v>
      </c>
      <c r="Q29" s="95">
        <v>60</v>
      </c>
      <c r="R29" s="95">
        <v>21</v>
      </c>
      <c r="S29" s="100">
        <f>IFERROR(_xll.qlRateHelperEarliestDate(M29,Trigger),"--")</f>
        <v>42634</v>
      </c>
      <c r="T29" s="100">
        <f>IFERROR(_xll.qlRateHelperPillarDate(M29,Trigger),"--")</f>
        <v>42725</v>
      </c>
      <c r="V29" s="4" t="str">
        <f t="shared" si="4"/>
        <v>Sw</v>
      </c>
      <c r="W29" s="4" t="str">
        <v>obj_002f3</v>
      </c>
      <c r="X29" s="4" t="str">
        <f>IFERROR(_xll.qlRateHelperQuoteName(W29,Trigger),"")</f>
        <v>GBPSM3L60Y_Quote</v>
      </c>
      <c r="Y29" s="73">
        <f>IFERROR(_xll.qlRateHelperRate(W29,Trigger),"")</f>
        <v>1.9969999999999998E-2</v>
      </c>
      <c r="Z29" s="105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42275</v>
      </c>
      <c r="AB29" s="5">
        <f>IFERROR(_xll.qlRateHelperPillarDate(W29,Trigger),"")</f>
        <v>64192</v>
      </c>
      <c r="AC29" s="241">
        <v>0.30539381302494423</v>
      </c>
      <c r="AD29" s="175"/>
    </row>
    <row r="30" spans="1:38" ht="11.25" customHeight="1" x14ac:dyDescent="0.2">
      <c r="A30" s="1" t="s">
        <v>98</v>
      </c>
      <c r="B30" s="118" t="b">
        <v>0</v>
      </c>
      <c r="C30" s="9" t="str">
        <f>_xll.qlIMMNextCode(C29,B30,Trigger)</f>
        <v>G6</v>
      </c>
      <c r="D30" s="127"/>
      <c r="E30" s="127"/>
      <c r="F30" s="127"/>
      <c r="G30" s="7" t="str">
        <f t="shared" si="16"/>
        <v>GbpLibor3M</v>
      </c>
      <c r="H30" s="121" t="str">
        <f t="shared" si="17"/>
        <v>GBPFUT3MG6_Quote</v>
      </c>
      <c r="I30" s="121" t="str">
        <f t="shared" si="18"/>
        <v>GBPFUT3MG6ConvAdj_Quote</v>
      </c>
      <c r="J30" s="3" t="str">
        <f>_xll.qlFuturesRateHelper(,H30,FuturesType,C30,G30,I30,Permanent,Trigger,ObjectOverwrite)</f>
        <v>obj_00340#0001</v>
      </c>
      <c r="K30" s="51"/>
      <c r="L30" s="10" t="str">
        <f t="shared" si="14"/>
        <v>FUT</v>
      </c>
      <c r="M30" s="95" t="str">
        <f t="shared" si="15"/>
        <v>obj_00343#0001</v>
      </c>
      <c r="N30" s="149" t="str">
        <f>IFERROR(_xll.qlRateHelperQuoteName(M30,Trigger),"--")</f>
        <v>GBPFUT3MZ6_Quote</v>
      </c>
      <c r="O30" s="154">
        <f>IFERROR(_xll.qlRateHelperQuoteValue($M30,Trigger),"--")</f>
        <v>99.025000000000006</v>
      </c>
      <c r="P30" s="98" t="b">
        <v>1</v>
      </c>
      <c r="Q30" s="95">
        <v>60</v>
      </c>
      <c r="R30" s="95">
        <v>21</v>
      </c>
      <c r="S30" s="100">
        <f>IFERROR(_xll.qlRateHelperEarliestDate(M30,Trigger),"--")</f>
        <v>42725</v>
      </c>
      <c r="T30" s="100">
        <f>IFERROR(_xll.qlRateHelperPillarDate(M30,Trigger),"--")</f>
        <v>42815</v>
      </c>
      <c r="V30" s="4" t="str">
        <f t="shared" si="4"/>
        <v/>
      </c>
      <c r="W30" s="4" t="e">
        <v>#N/A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5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241" t="e">
        <v>#N/A</v>
      </c>
    </row>
    <row r="31" spans="1:38" ht="11.25" customHeight="1" x14ac:dyDescent="0.2">
      <c r="A31" s="62" t="s">
        <v>98</v>
      </c>
      <c r="B31" s="117" t="b">
        <v>1</v>
      </c>
      <c r="C31" s="65" t="str">
        <f>_xll.qlIMMNextCode(C30,B31,Trigger)</f>
        <v>H6</v>
      </c>
      <c r="D31" s="126"/>
      <c r="E31" s="126"/>
      <c r="F31" s="126"/>
      <c r="G31" s="64" t="str">
        <f t="shared" si="16"/>
        <v>GbpLibor3M</v>
      </c>
      <c r="H31" s="120" t="str">
        <f t="shared" si="17"/>
        <v>GBPFUT3MH6_Quote</v>
      </c>
      <c r="I31" s="120" t="str">
        <f t="shared" si="18"/>
        <v>GBPFUT3MH6ConvAdj_Quote</v>
      </c>
      <c r="J31" s="67" t="str">
        <f>_xll.qlFuturesRateHelper(,H31,FuturesType,C31,G31,I31,Permanent,Trigger,ObjectOverwrite)</f>
        <v>obj_00341#0001</v>
      </c>
      <c r="K31" s="51"/>
      <c r="L31" s="10" t="str">
        <f t="shared" si="14"/>
        <v>FUT</v>
      </c>
      <c r="M31" s="95" t="str">
        <f t="shared" si="15"/>
        <v>obj_00347#0001</v>
      </c>
      <c r="N31" s="149" t="str">
        <f>IFERROR(_xll.qlRateHelperQuoteName(M31,Trigger),"--")</f>
        <v>GBPFUT3MH7_Quote</v>
      </c>
      <c r="O31" s="154">
        <f>IFERROR(_xll.qlRateHelperQuoteValue($M31,Trigger),"--")</f>
        <v>98.914999999999992</v>
      </c>
      <c r="P31" s="98" t="b">
        <v>1</v>
      </c>
      <c r="Q31" s="95">
        <v>60</v>
      </c>
      <c r="R31" s="95">
        <v>21</v>
      </c>
      <c r="S31" s="100">
        <f>IFERROR(_xll.qlRateHelperEarliestDate(M31,Trigger),"--")</f>
        <v>42809</v>
      </c>
      <c r="T31" s="100">
        <f>IFERROR(_xll.qlRateHelperPillarDate(M31,Trigger),"--")</f>
        <v>42901</v>
      </c>
      <c r="V31" s="4" t="str">
        <f t="shared" si="4"/>
        <v/>
      </c>
      <c r="W31" s="4" t="e">
        <v>#N/A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5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241" t="e">
        <v>#N/A</v>
      </c>
    </row>
    <row r="32" spans="1:38" ht="11.25" customHeight="1" x14ac:dyDescent="0.2">
      <c r="A32" s="62" t="s">
        <v>98</v>
      </c>
      <c r="B32" s="117" t="b">
        <v>1</v>
      </c>
      <c r="C32" s="65" t="str">
        <f>_xll.qlIMMNextCode(C31,B32,Trigger)</f>
        <v>M6</v>
      </c>
      <c r="D32" s="126"/>
      <c r="E32" s="126"/>
      <c r="F32" s="126"/>
      <c r="G32" s="64" t="str">
        <f t="shared" si="16"/>
        <v>GbpLibor3M</v>
      </c>
      <c r="H32" s="120" t="str">
        <f t="shared" si="17"/>
        <v>GBPFUT3MM6_Quote</v>
      </c>
      <c r="I32" s="120" t="str">
        <f t="shared" si="18"/>
        <v>GBPFUT3MM6ConvAdj_Quote</v>
      </c>
      <c r="J32" s="67" t="str">
        <f>_xll.qlFuturesRateHelper(,H32,FuturesType,C32,G32,I32,Permanent,Trigger,ObjectOverwrite)</f>
        <v>obj_00342#0001</v>
      </c>
      <c r="K32" s="51"/>
      <c r="L32" s="10" t="str">
        <f t="shared" si="14"/>
        <v>FUT</v>
      </c>
      <c r="M32" s="95" t="str">
        <f t="shared" si="15"/>
        <v>obj_00345#0001</v>
      </c>
      <c r="N32" s="149" t="str">
        <f>IFERROR(_xll.qlRateHelperQuoteName(M32,Trigger),"--")</f>
        <v>GBPFUT3MM7_Quote</v>
      </c>
      <c r="O32" s="154">
        <f>IFERROR(_xll.qlRateHelperQuoteValue($M32,Trigger),"--")</f>
        <v>98.805000000000007</v>
      </c>
      <c r="P32" s="98" t="b">
        <v>1</v>
      </c>
      <c r="Q32" s="95">
        <v>60</v>
      </c>
      <c r="R32" s="95">
        <v>21</v>
      </c>
      <c r="S32" s="100">
        <f>IFERROR(_xll.qlRateHelperEarliestDate(M32,Trigger),"--")</f>
        <v>42907</v>
      </c>
      <c r="T32" s="100">
        <f>IFERROR(_xll.qlRateHelperPillarDate(M32,Trigger),"--")</f>
        <v>42999</v>
      </c>
      <c r="V32" s="4" t="str">
        <f t="shared" si="4"/>
        <v/>
      </c>
      <c r="W32" s="4" t="e">
        <v>#N/A</v>
      </c>
      <c r="X32" s="4" t="str">
        <f>IFERROR(_xll.qlRateHelperQuoteName(W32,Trigger),"")</f>
        <v/>
      </c>
      <c r="Y32" s="73" t="str">
        <f>IFERROR(_xll.qlRateHelperRate(W32,Trigger),"")</f>
        <v/>
      </c>
      <c r="Z32" s="105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241" t="e">
        <v>#N/A</v>
      </c>
    </row>
    <row r="33" spans="1:29" ht="11.25" customHeight="1" x14ac:dyDescent="0.2">
      <c r="A33" s="62" t="s">
        <v>98</v>
      </c>
      <c r="B33" s="117" t="b">
        <v>1</v>
      </c>
      <c r="C33" s="65" t="str">
        <f>_xll.qlIMMNextCode(C32,B33,Trigger)</f>
        <v>U6</v>
      </c>
      <c r="D33" s="126"/>
      <c r="E33" s="126"/>
      <c r="F33" s="126"/>
      <c r="G33" s="64" t="str">
        <f t="shared" si="16"/>
        <v>GbpLibor3M</v>
      </c>
      <c r="H33" s="120" t="str">
        <f t="shared" si="17"/>
        <v>GBPFUT3MU6_Quote</v>
      </c>
      <c r="I33" s="120" t="str">
        <f t="shared" si="18"/>
        <v>GBPFUT3MU6ConvAdj_Quote</v>
      </c>
      <c r="J33" s="67" t="str">
        <f>_xll.qlFuturesRateHelper(,H33,FuturesType,C33,G33,I33,Permanent,Trigger,ObjectOverwrite)</f>
        <v>obj_00344#0001</v>
      </c>
      <c r="K33" s="51"/>
      <c r="L33" s="10" t="str">
        <f t="shared" si="14"/>
        <v>FUT</v>
      </c>
      <c r="M33" s="95" t="str">
        <f t="shared" si="15"/>
        <v>obj_00346#0001</v>
      </c>
      <c r="N33" s="149" t="str">
        <f>IFERROR(_xll.qlRateHelperQuoteName(M33,Trigger),"--")</f>
        <v>GBPFUT3MU7_Quote</v>
      </c>
      <c r="O33" s="154">
        <f>IFERROR(_xll.qlRateHelperQuoteValue($M33,Trigger),"--")</f>
        <v>98.704999999999998</v>
      </c>
      <c r="P33" s="98" t="b">
        <v>1</v>
      </c>
      <c r="Q33" s="95">
        <v>60</v>
      </c>
      <c r="R33" s="95">
        <v>21</v>
      </c>
      <c r="S33" s="100">
        <f>IFERROR(_xll.qlRateHelperEarliestDate(M33,Trigger),"--")</f>
        <v>42998</v>
      </c>
      <c r="T33" s="100">
        <f>IFERROR(_xll.qlRateHelperPillarDate(M33,Trigger),"--")</f>
        <v>43089</v>
      </c>
      <c r="V33" s="4" t="str">
        <f t="shared" si="4"/>
        <v/>
      </c>
      <c r="W33" s="4" t="e">
        <v>#N/A</v>
      </c>
      <c r="X33" s="4" t="str">
        <f>IFERROR(_xll.qlRateHelperQuoteName(W33,Trigger),"")</f>
        <v/>
      </c>
      <c r="Y33" s="73" t="str">
        <f>IFERROR(_xll.qlRateHelperRate(W33,Trigger),"")</f>
        <v/>
      </c>
      <c r="Z33" s="105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241" t="e">
        <v>#N/A</v>
      </c>
    </row>
    <row r="34" spans="1:29" ht="11.25" customHeight="1" x14ac:dyDescent="0.2">
      <c r="A34" s="62" t="s">
        <v>98</v>
      </c>
      <c r="B34" s="117" t="b">
        <v>1</v>
      </c>
      <c r="C34" s="65" t="str">
        <f>_xll.qlIMMNextCode(C33,B34,Trigger)</f>
        <v>Z6</v>
      </c>
      <c r="D34" s="126"/>
      <c r="E34" s="126"/>
      <c r="F34" s="126"/>
      <c r="G34" s="64" t="str">
        <f t="shared" si="16"/>
        <v>GbpLibor3M</v>
      </c>
      <c r="H34" s="120" t="str">
        <f t="shared" si="17"/>
        <v>GBPFUT3MZ6_Quote</v>
      </c>
      <c r="I34" s="120" t="str">
        <f t="shared" si="18"/>
        <v>GBPFUT3MZ6ConvAdj_Quote</v>
      </c>
      <c r="J34" s="67" t="str">
        <f>_xll.qlFuturesRateHelper(,H34,FuturesType,C34,G34,I34,Permanent,Trigger,ObjectOverwrite)</f>
        <v>obj_00343#0001</v>
      </c>
      <c r="K34" s="51"/>
      <c r="L34" s="10" t="str">
        <f t="shared" si="14"/>
        <v>FUT</v>
      </c>
      <c r="M34" s="95" t="str">
        <f t="shared" si="15"/>
        <v>obj_00349#0001</v>
      </c>
      <c r="N34" s="149" t="str">
        <f>IFERROR(_xll.qlRateHelperQuoteName(M34,Trigger),"--")</f>
        <v>GBPFUT3MZ7_Quote</v>
      </c>
      <c r="O34" s="154">
        <f>IFERROR(_xll.qlRateHelperQuoteValue($M34,Trigger),"--")</f>
        <v>98.60499999999999</v>
      </c>
      <c r="P34" s="98" t="b">
        <v>1</v>
      </c>
      <c r="Q34" s="95">
        <v>60</v>
      </c>
      <c r="R34" s="95">
        <v>21</v>
      </c>
      <c r="S34" s="100">
        <f>IFERROR(_xll.qlRateHelperEarliestDate(M34,Trigger),"--")</f>
        <v>43089</v>
      </c>
      <c r="T34" s="100">
        <f>IFERROR(_xll.qlRateHelperPillarDate(M34,Trigger),"--")</f>
        <v>43179</v>
      </c>
      <c r="V34" s="4" t="str">
        <f t="shared" si="4"/>
        <v/>
      </c>
      <c r="W34" s="4" t="e">
        <v>#N/A</v>
      </c>
      <c r="X34" s="4" t="str">
        <f>IFERROR(_xll.qlRateHelperQuoteName(W34,Trigger),"")</f>
        <v/>
      </c>
      <c r="Y34" s="73" t="str">
        <f>IFERROR(_xll.qlRateHelperRate(W34,Trigger),"")</f>
        <v/>
      </c>
      <c r="Z34" s="105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241" t="e">
        <v>#N/A</v>
      </c>
    </row>
    <row r="35" spans="1:29" ht="11.25" customHeight="1" x14ac:dyDescent="0.2">
      <c r="A35" s="62" t="s">
        <v>98</v>
      </c>
      <c r="B35" s="117" t="b">
        <v>1</v>
      </c>
      <c r="C35" s="65" t="str">
        <f>_xll.qlIMMNextCode(C34,B35,Trigger)</f>
        <v>H7</v>
      </c>
      <c r="D35" s="126"/>
      <c r="E35" s="126"/>
      <c r="F35" s="126"/>
      <c r="G35" s="64" t="str">
        <f t="shared" si="16"/>
        <v>GbpLibor3M</v>
      </c>
      <c r="H35" s="120" t="str">
        <f t="shared" si="17"/>
        <v>GBPFUT3MH7_Quote</v>
      </c>
      <c r="I35" s="120" t="str">
        <f t="shared" si="18"/>
        <v>GBPFUT3MH7ConvAdj_Quote</v>
      </c>
      <c r="J35" s="67" t="str">
        <f>_xll.qlFuturesRateHelper(,H35,FuturesType,C35,G35,I35,Permanent,Trigger,ObjectOverwrite)</f>
        <v>obj_00347#0001</v>
      </c>
      <c r="K35" s="51"/>
      <c r="L35" s="10" t="str">
        <f t="shared" si="14"/>
        <v>FUT</v>
      </c>
      <c r="M35" s="95" t="str">
        <f t="shared" si="15"/>
        <v>obj_00348#0001</v>
      </c>
      <c r="N35" s="149" t="str">
        <f>IFERROR(_xll.qlRateHelperQuoteName(M35,Trigger),"--")</f>
        <v>GBPFUT3MH8_Quote</v>
      </c>
      <c r="O35" s="154">
        <f>IFERROR(_xll.qlRateHelperQuoteValue($M35,Trigger),"--")</f>
        <v>98.52000000000001</v>
      </c>
      <c r="P35" s="98" t="b">
        <v>1</v>
      </c>
      <c r="Q35" s="95">
        <v>30</v>
      </c>
      <c r="R35" s="95">
        <v>21</v>
      </c>
      <c r="S35" s="100">
        <f>IFERROR(_xll.qlRateHelperEarliestDate(M35,Trigger),"--")</f>
        <v>43180</v>
      </c>
      <c r="T35" s="100">
        <f>IFERROR(_xll.qlRateHelperPillarDate(M35,Trigger),"--")</f>
        <v>43272</v>
      </c>
      <c r="V35" s="4" t="str">
        <f t="shared" si="4"/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5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241" t="e">
        <v>#N/A</v>
      </c>
    </row>
    <row r="36" spans="1:29" ht="11.25" customHeight="1" x14ac:dyDescent="0.2">
      <c r="A36" s="62" t="s">
        <v>98</v>
      </c>
      <c r="B36" s="117" t="b">
        <v>1</v>
      </c>
      <c r="C36" s="65" t="str">
        <f>_xll.qlIMMNextCode(C35,B36,Trigger)</f>
        <v>M7</v>
      </c>
      <c r="D36" s="126"/>
      <c r="E36" s="126"/>
      <c r="F36" s="126"/>
      <c r="G36" s="64" t="str">
        <f t="shared" si="16"/>
        <v>GbpLibor3M</v>
      </c>
      <c r="H36" s="120" t="str">
        <f t="shared" si="17"/>
        <v>GBPFUT3MM7_Quote</v>
      </c>
      <c r="I36" s="120" t="str">
        <f t="shared" si="18"/>
        <v>GBPFUT3MM7ConvAdj_Quote</v>
      </c>
      <c r="J36" s="67" t="str">
        <f>_xll.qlFuturesRateHelper(,H36,FuturesType,C36,G36,I36,Permanent,Trigger,ObjectOverwrite)</f>
        <v>obj_00345#0001</v>
      </c>
      <c r="K36" s="51"/>
      <c r="L36" s="10" t="str">
        <f t="shared" si="14"/>
        <v>FUT</v>
      </c>
      <c r="M36" s="95" t="str">
        <f t="shared" si="15"/>
        <v>obj_0034a#0001</v>
      </c>
      <c r="N36" s="149" t="str">
        <f>IFERROR(_xll.qlRateHelperQuoteName(M36,Trigger),"--")</f>
        <v>GBPFUT3MM8_Quote</v>
      </c>
      <c r="O36" s="154">
        <f>IFERROR(_xll.qlRateHelperQuoteValue($M36,Trigger),"--")</f>
        <v>98.435000000000002</v>
      </c>
      <c r="P36" s="98" t="b">
        <v>1</v>
      </c>
      <c r="Q36" s="95">
        <v>30</v>
      </c>
      <c r="R36" s="95">
        <v>21</v>
      </c>
      <c r="S36" s="100">
        <f>IFERROR(_xll.qlRateHelperEarliestDate(M36,Trigger),"--")</f>
        <v>43271</v>
      </c>
      <c r="T36" s="100">
        <f>IFERROR(_xll.qlRateHelperPillarDate(M36,Trigger),"--")</f>
        <v>43363</v>
      </c>
      <c r="V36" s="4" t="str">
        <f t="shared" si="4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5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241" t="e">
        <v>#N/A</v>
      </c>
    </row>
    <row r="37" spans="1:29" ht="11.25" customHeight="1" x14ac:dyDescent="0.2">
      <c r="A37" s="62" t="s">
        <v>98</v>
      </c>
      <c r="B37" s="117" t="b">
        <v>1</v>
      </c>
      <c r="C37" s="65" t="str">
        <f>_xll.qlIMMNextCode(C36,B37,Trigger)</f>
        <v>U7</v>
      </c>
      <c r="D37" s="126"/>
      <c r="E37" s="126"/>
      <c r="F37" s="126"/>
      <c r="G37" s="64" t="str">
        <f t="shared" si="16"/>
        <v>GbpLibor3M</v>
      </c>
      <c r="H37" s="120" t="str">
        <f t="shared" si="17"/>
        <v>GBPFUT3MU7_Quote</v>
      </c>
      <c r="I37" s="120" t="str">
        <f t="shared" si="18"/>
        <v>GBPFUT3MU7ConvAdj_Quote</v>
      </c>
      <c r="J37" s="67" t="str">
        <f>_xll.qlFuturesRateHelper(,H37,FuturesType,C37,G37,I37,Permanent,Trigger,ObjectOverwrite)</f>
        <v>obj_00346#0001</v>
      </c>
      <c r="K37" s="51"/>
      <c r="L37" s="10" t="str">
        <f t="shared" si="14"/>
        <v>FUT</v>
      </c>
      <c r="M37" s="95" t="str">
        <f t="shared" si="15"/>
        <v>obj_0034c#0001</v>
      </c>
      <c r="N37" s="149" t="str">
        <f>IFERROR(_xll.qlRateHelperQuoteName(M37,Trigger),"--")</f>
        <v>GBPFUT3MU8_Quote</v>
      </c>
      <c r="O37" s="154">
        <f>IFERROR(_xll.qlRateHelperQuoteValue($M37,Trigger),"--")</f>
        <v>98.335000000000008</v>
      </c>
      <c r="P37" s="98" t="b">
        <v>1</v>
      </c>
      <c r="Q37" s="95">
        <v>30</v>
      </c>
      <c r="R37" s="95">
        <v>21</v>
      </c>
      <c r="S37" s="100">
        <f>IFERROR(_xll.qlRateHelperEarliestDate(M37,Trigger),"--")</f>
        <v>43362</v>
      </c>
      <c r="T37" s="100">
        <f>IFERROR(_xll.qlRateHelperPillarDate(M37,Trigger),"--")</f>
        <v>43453</v>
      </c>
      <c r="V37" s="4" t="str">
        <f t="shared" si="4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5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241" t="e">
        <v>#N/A</v>
      </c>
    </row>
    <row r="38" spans="1:29" ht="11.25" customHeight="1" x14ac:dyDescent="0.2">
      <c r="A38" s="62" t="s">
        <v>98</v>
      </c>
      <c r="B38" s="117" t="b">
        <v>1</v>
      </c>
      <c r="C38" s="65" t="str">
        <f>_xll.qlIMMNextCode(C37,B38,Trigger)</f>
        <v>Z7</v>
      </c>
      <c r="D38" s="126"/>
      <c r="E38" s="126"/>
      <c r="F38" s="126"/>
      <c r="G38" s="64" t="str">
        <f t="shared" si="16"/>
        <v>GbpLibor3M</v>
      </c>
      <c r="H38" s="120" t="str">
        <f t="shared" si="17"/>
        <v>GBPFUT3MZ7_Quote</v>
      </c>
      <c r="I38" s="120" t="str">
        <f t="shared" si="18"/>
        <v>GBPFUT3MZ7ConvAdj_Quote</v>
      </c>
      <c r="J38" s="67" t="str">
        <f>_xll.qlFuturesRateHelper(,H38,FuturesType,C38,G38,I38,Permanent,Trigger,ObjectOverwrite)</f>
        <v>obj_00349#0001</v>
      </c>
      <c r="K38" s="51"/>
      <c r="L38" s="10" t="str">
        <f t="shared" si="14"/>
        <v>FUT</v>
      </c>
      <c r="M38" s="95" t="str">
        <f t="shared" si="15"/>
        <v>obj_0034b#0001</v>
      </c>
      <c r="N38" s="149" t="str">
        <f>IFERROR(_xll.qlRateHelperQuoteName(M38,Trigger),"--")</f>
        <v>GBPFUT3MZ8_Quote</v>
      </c>
      <c r="O38" s="154">
        <f>IFERROR(_xll.qlRateHelperQuoteValue($M38,Trigger),"--")</f>
        <v>98.245000000000005</v>
      </c>
      <c r="P38" s="98" t="b">
        <v>1</v>
      </c>
      <c r="Q38" s="95">
        <v>30</v>
      </c>
      <c r="R38" s="95">
        <v>21</v>
      </c>
      <c r="S38" s="100">
        <f>IFERROR(_xll.qlRateHelperEarliestDate(M38,Trigger),"--")</f>
        <v>43453</v>
      </c>
      <c r="T38" s="100">
        <f>IFERROR(_xll.qlRateHelperPillarDate(M38,Trigger),"--")</f>
        <v>43543</v>
      </c>
      <c r="V38" s="4" t="str">
        <f t="shared" si="4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5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241" t="e">
        <v>#N/A</v>
      </c>
    </row>
    <row r="39" spans="1:29" ht="11.25" customHeight="1" x14ac:dyDescent="0.2">
      <c r="A39" s="62" t="s">
        <v>98</v>
      </c>
      <c r="B39" s="117" t="b">
        <v>1</v>
      </c>
      <c r="C39" s="65" t="str">
        <f>_xll.qlIMMNextCode(C38,B39,Trigger)</f>
        <v>H8</v>
      </c>
      <c r="D39" s="126"/>
      <c r="E39" s="126"/>
      <c r="F39" s="126"/>
      <c r="G39" s="64" t="str">
        <f t="shared" si="16"/>
        <v>GbpLibor3M</v>
      </c>
      <c r="H39" s="120" t="str">
        <f t="shared" si="17"/>
        <v>GBPFUT3MH8_Quote</v>
      </c>
      <c r="I39" s="120" t="str">
        <f t="shared" si="18"/>
        <v>GBPFUT3MH8ConvAdj_Quote</v>
      </c>
      <c r="J39" s="67" t="str">
        <f>_xll.qlFuturesRateHelper(,H39,FuturesType,C39,G39,I39,Permanent,Trigger,ObjectOverwrite)</f>
        <v>obj_00348#0001</v>
      </c>
      <c r="K39" s="51"/>
      <c r="L39" s="10" t="str">
        <f t="shared" si="14"/>
        <v>FUT</v>
      </c>
      <c r="M39" s="95" t="str">
        <f t="shared" si="15"/>
        <v>obj_0034d#0001</v>
      </c>
      <c r="N39" s="149" t="str">
        <f>IFERROR(_xll.qlRateHelperQuoteName(M39,Trigger),"--")</f>
        <v>GBPFUT3MH9_Quote</v>
      </c>
      <c r="O39" s="154">
        <f>IFERROR(_xll.qlRateHelperQuoteValue($M39,Trigger),"--")</f>
        <v>98.17</v>
      </c>
      <c r="P39" s="98" t="b">
        <v>1</v>
      </c>
      <c r="Q39" s="95">
        <v>30</v>
      </c>
      <c r="R39" s="95">
        <v>21</v>
      </c>
      <c r="S39" s="100">
        <f>IFERROR(_xll.qlRateHelperEarliestDate(M39,Trigger),"--")</f>
        <v>43544</v>
      </c>
      <c r="T39" s="100">
        <f>IFERROR(_xll.qlRateHelperPillarDate(M39,Trigger),"--")</f>
        <v>43636</v>
      </c>
      <c r="V39" s="4" t="str">
        <f t="shared" si="4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5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241" t="e">
        <v>#N/A</v>
      </c>
    </row>
    <row r="40" spans="1:29" ht="11.25" customHeight="1" x14ac:dyDescent="0.2">
      <c r="A40" s="62" t="s">
        <v>98</v>
      </c>
      <c r="B40" s="117" t="b">
        <v>1</v>
      </c>
      <c r="C40" s="65" t="str">
        <f>_xll.qlIMMNextCode(C39,B40,Trigger)</f>
        <v>M8</v>
      </c>
      <c r="D40" s="126"/>
      <c r="E40" s="126"/>
      <c r="F40" s="126"/>
      <c r="G40" s="64" t="str">
        <f t="shared" si="16"/>
        <v>GbpLibor3M</v>
      </c>
      <c r="H40" s="120" t="str">
        <f t="shared" si="17"/>
        <v>GBPFUT3MM8_Quote</v>
      </c>
      <c r="I40" s="120" t="str">
        <f t="shared" si="18"/>
        <v>GBPFUT3MM8ConvAdj_Quote</v>
      </c>
      <c r="J40" s="67" t="str">
        <f>_xll.qlFuturesRateHelper(,H40,FuturesType,C40,G40,I40,Permanent,Trigger,ObjectOverwrite)</f>
        <v>obj_0034a#0001</v>
      </c>
      <c r="K40" s="51"/>
      <c r="L40" s="10" t="str">
        <f t="shared" si="14"/>
        <v>FUT</v>
      </c>
      <c r="M40" s="95" t="str">
        <f t="shared" si="15"/>
        <v>obj_0034e#0001</v>
      </c>
      <c r="N40" s="149" t="str">
        <f>IFERROR(_xll.qlRateHelperQuoteName(M40,Trigger),"--")</f>
        <v>GBPFUT3MM9_Quote</v>
      </c>
      <c r="O40" s="154">
        <f>IFERROR(_xll.qlRateHelperQuoteValue($M40,Trigger),"--")</f>
        <v>98.094999999999999</v>
      </c>
      <c r="P40" s="98" t="b">
        <v>1</v>
      </c>
      <c r="Q40" s="95">
        <v>30</v>
      </c>
      <c r="R40" s="95">
        <v>21</v>
      </c>
      <c r="S40" s="100">
        <f>IFERROR(_xll.qlRateHelperEarliestDate(M40,Trigger),"--")</f>
        <v>43635</v>
      </c>
      <c r="T40" s="100">
        <f>IFERROR(_xll.qlRateHelperPillarDate(M40,Trigger),"--")</f>
        <v>43727</v>
      </c>
      <c r="V40" s="4" t="str">
        <f t="shared" si="4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5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241" t="e">
        <v>#N/A</v>
      </c>
    </row>
    <row r="41" spans="1:29" ht="11.25" customHeight="1" x14ac:dyDescent="0.2">
      <c r="A41" s="62" t="s">
        <v>98</v>
      </c>
      <c r="B41" s="117" t="b">
        <v>1</v>
      </c>
      <c r="C41" s="65" t="str">
        <f>_xll.qlIMMNextCode(C40,B41,Trigger)</f>
        <v>U8</v>
      </c>
      <c r="D41" s="126"/>
      <c r="E41" s="126"/>
      <c r="F41" s="126"/>
      <c r="G41" s="64" t="str">
        <f t="shared" si="16"/>
        <v>GbpLibor3M</v>
      </c>
      <c r="H41" s="120" t="str">
        <f t="shared" si="17"/>
        <v>GBPFUT3MU8_Quote</v>
      </c>
      <c r="I41" s="120" t="str">
        <f t="shared" si="18"/>
        <v>GBPFUT3MU8ConvAdj_Quote</v>
      </c>
      <c r="J41" s="67" t="str">
        <f>_xll.qlFuturesRateHelper(,H41,FuturesType,C41,G41,I41,Permanent,Trigger,ObjectOverwrite)</f>
        <v>obj_0034c#0001</v>
      </c>
      <c r="L41" s="10" t="str">
        <f t="shared" si="14"/>
        <v>FUT</v>
      </c>
      <c r="M41" s="95" t="str">
        <f t="shared" si="15"/>
        <v>obj_0034f#0001</v>
      </c>
      <c r="N41" s="149" t="str">
        <f>IFERROR(_xll.qlRateHelperQuoteName(M41,Trigger),"--")</f>
        <v>GBPFUT3MU9_Quote</v>
      </c>
      <c r="O41" s="154">
        <f>IFERROR(_xll.qlRateHelperQuoteValue($M41,Trigger),"--")</f>
        <v>98.025000000000006</v>
      </c>
      <c r="P41" s="98" t="b">
        <v>1</v>
      </c>
      <c r="Q41" s="95">
        <v>30</v>
      </c>
      <c r="R41" s="95">
        <v>21</v>
      </c>
      <c r="S41" s="100">
        <f>IFERROR(_xll.qlRateHelperEarliestDate(M41,Trigger),"--")</f>
        <v>43726</v>
      </c>
      <c r="T41" s="100">
        <f>IFERROR(_xll.qlRateHelperPillarDate(M41,Trigger),"--")</f>
        <v>43817</v>
      </c>
      <c r="V41" s="4" t="str">
        <f t="shared" si="4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5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241" t="e">
        <v>#N/A</v>
      </c>
    </row>
    <row r="42" spans="1:29" ht="11.25" customHeight="1" x14ac:dyDescent="0.2">
      <c r="A42" s="62" t="s">
        <v>98</v>
      </c>
      <c r="B42" s="117" t="b">
        <v>1</v>
      </c>
      <c r="C42" s="65" t="str">
        <f>_xll.qlIMMNextCode(C41,B42,Trigger)</f>
        <v>Z8</v>
      </c>
      <c r="D42" s="126"/>
      <c r="E42" s="126"/>
      <c r="F42" s="126"/>
      <c r="G42" s="64" t="str">
        <f t="shared" si="16"/>
        <v>GbpLibor3M</v>
      </c>
      <c r="H42" s="120" t="str">
        <f t="shared" si="17"/>
        <v>GBPFUT3MZ8_Quote</v>
      </c>
      <c r="I42" s="120" t="str">
        <f t="shared" si="18"/>
        <v>GBPFUT3MZ8ConvAdj_Quote</v>
      </c>
      <c r="J42" s="67" t="str">
        <f>_xll.qlFuturesRateHelper(,H42,FuturesType,C42,G42,I42,Permanent,Trigger,ObjectOverwrite)</f>
        <v>obj_0034b#0001</v>
      </c>
      <c r="L42" s="10" t="str">
        <f t="shared" si="14"/>
        <v>FUT</v>
      </c>
      <c r="M42" s="95" t="str">
        <f t="shared" si="15"/>
        <v>obj_00350#0001</v>
      </c>
      <c r="N42" s="149" t="str">
        <f>IFERROR(_xll.qlRateHelperQuoteName(M42,Trigger),"--")</f>
        <v>GBPFUT3MZ9_Quote</v>
      </c>
      <c r="O42" s="154">
        <f>IFERROR(_xll.qlRateHelperQuoteValue($M42,Trigger),"--")</f>
        <v>97.949999999999989</v>
      </c>
      <c r="P42" s="98" t="b">
        <v>1</v>
      </c>
      <c r="Q42" s="95">
        <v>30</v>
      </c>
      <c r="R42" s="95">
        <v>21</v>
      </c>
      <c r="S42" s="100">
        <f>IFERROR(_xll.qlRateHelperEarliestDate(M42,Trigger),"--")</f>
        <v>43817</v>
      </c>
      <c r="T42" s="100">
        <f>IFERROR(_xll.qlRateHelperPillarDate(M42,Trigger),"--")</f>
        <v>43908</v>
      </c>
      <c r="V42" s="4" t="str">
        <f t="shared" si="4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5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241" t="e">
        <v>#N/A</v>
      </c>
    </row>
    <row r="43" spans="1:29" ht="11.25" customHeight="1" x14ac:dyDescent="0.2">
      <c r="A43" s="62" t="s">
        <v>98</v>
      </c>
      <c r="B43" s="117" t="b">
        <v>1</v>
      </c>
      <c r="C43" s="65" t="str">
        <f>_xll.qlIMMNextCode(C42,B43,Trigger)</f>
        <v>H9</v>
      </c>
      <c r="D43" s="126"/>
      <c r="E43" s="126"/>
      <c r="F43" s="126"/>
      <c r="G43" s="64" t="str">
        <f t="shared" si="16"/>
        <v>GbpLibor3M</v>
      </c>
      <c r="H43" s="120" t="str">
        <f t="shared" si="17"/>
        <v>GBPFUT3MH9_Quote</v>
      </c>
      <c r="I43" s="120" t="str">
        <f t="shared" si="18"/>
        <v>GBPFUT3MH9ConvAdj_Quote</v>
      </c>
      <c r="J43" s="67" t="str">
        <f>_xll.qlFuturesRateHelper(,H43,FuturesType,C43,G43,I43,Permanent,Trigger,ObjectOverwrite)</f>
        <v>obj_0034d#0001</v>
      </c>
      <c r="L43" s="11" t="str">
        <f t="shared" si="14"/>
        <v>FUT</v>
      </c>
      <c r="M43" s="96" t="str">
        <f t="shared" si="15"/>
        <v>obj_00351#0001</v>
      </c>
      <c r="N43" s="150" t="str">
        <f>IFERROR(_xll.qlRateHelperQuoteName(M43,Trigger),"--")</f>
        <v>GBPFUT3MH0_Quote</v>
      </c>
      <c r="O43" s="155">
        <f>IFERROR(_xll.qlRateHelperQuoteValue($M43,Trigger),"--")</f>
        <v>97.885000000000005</v>
      </c>
      <c r="P43" s="101" t="b">
        <v>1</v>
      </c>
      <c r="Q43" s="96">
        <v>30</v>
      </c>
      <c r="R43" s="96">
        <v>21</v>
      </c>
      <c r="S43" s="103">
        <f>IFERROR(_xll.qlRateHelperEarliestDate(M43,Trigger),"--")</f>
        <v>43908</v>
      </c>
      <c r="T43" s="103">
        <f>IFERROR(_xll.qlRateHelperPillarDate(M43,Trigger),"--")</f>
        <v>44000</v>
      </c>
      <c r="V43" s="4" t="str">
        <f t="shared" si="4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5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241" t="e">
        <v>#N/A</v>
      </c>
    </row>
    <row r="44" spans="1:29" ht="11.25" customHeight="1" x14ac:dyDescent="0.2">
      <c r="A44" s="62" t="s">
        <v>98</v>
      </c>
      <c r="B44" s="117" t="b">
        <v>1</v>
      </c>
      <c r="C44" s="65" t="str">
        <f>_xll.qlIMMNextCode(C43,B44,Trigger)</f>
        <v>M9</v>
      </c>
      <c r="D44" s="126"/>
      <c r="E44" s="126"/>
      <c r="F44" s="126"/>
      <c r="G44" s="64" t="str">
        <f t="shared" si="16"/>
        <v>GbpLibor3M</v>
      </c>
      <c r="H44" s="120" t="str">
        <f t="shared" si="17"/>
        <v>GBPFUT3MM9_Quote</v>
      </c>
      <c r="I44" s="120" t="str">
        <f t="shared" si="18"/>
        <v>GBPFUT3MM9ConvAdj_Quote</v>
      </c>
      <c r="J44" s="67" t="str">
        <f>_xll.qlFuturesRateHelper(,H44,FuturesType,C44,G44,I44,Permanent,Trigger,ObjectOverwrite)</f>
        <v>obj_0034e#0001</v>
      </c>
      <c r="L44" s="71" t="s">
        <v>26</v>
      </c>
      <c r="M44" s="134" t="str">
        <f>IF(ISBLANK(J50),"--",J50)</f>
        <v>--</v>
      </c>
      <c r="N44" s="148" t="str">
        <f>IFERROR(_xll.qlRateHelperQuoteName(M44,Trigger),"--")</f>
        <v>--</v>
      </c>
      <c r="O44" s="153" t="str">
        <f>IFERROR(_xll.qlRateHelperQuoteValue($M44,Trigger),"--")</f>
        <v>--</v>
      </c>
      <c r="P44" s="135" t="b">
        <v>0</v>
      </c>
      <c r="Q44" s="134">
        <v>50</v>
      </c>
      <c r="R44" s="134">
        <v>1</v>
      </c>
      <c r="S44" s="137" t="str">
        <f>IFERROR(_xll.qlRateHelperEarliestDate(M44,Trigger),"--")</f>
        <v>--</v>
      </c>
      <c r="T44" s="137" t="str">
        <f>IFERROR(_xll.qlRateHelperPillarDate(M44,Trigger),"--")</f>
        <v>--</v>
      </c>
      <c r="V44" s="4" t="str">
        <f t="shared" si="4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5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241" t="e">
        <v>#N/A</v>
      </c>
    </row>
    <row r="45" spans="1:29" ht="11.25" customHeight="1" x14ac:dyDescent="0.2">
      <c r="A45" s="62" t="s">
        <v>98</v>
      </c>
      <c r="B45" s="117" t="b">
        <v>1</v>
      </c>
      <c r="C45" s="65" t="str">
        <f>_xll.qlIMMNextCode(C44,B45,Trigger)</f>
        <v>U9</v>
      </c>
      <c r="D45" s="126"/>
      <c r="E45" s="126"/>
      <c r="F45" s="126"/>
      <c r="G45" s="64" t="str">
        <f t="shared" si="16"/>
        <v>GbpLibor3M</v>
      </c>
      <c r="H45" s="120" t="str">
        <f t="shared" si="17"/>
        <v>GBPFUT3MU9_Quote</v>
      </c>
      <c r="I45" s="120" t="str">
        <f t="shared" si="18"/>
        <v>GBPFUT3MU9ConvAdj_Quote</v>
      </c>
      <c r="J45" s="67" t="str">
        <f>_xll.qlFuturesRateHelper(,H45,FuturesType,C45,G45,I45,Permanent,Trigger,ObjectOverwrite)</f>
        <v>obj_0034f#0001</v>
      </c>
      <c r="L45" s="10" t="s">
        <v>26</v>
      </c>
      <c r="M45" s="95" t="str">
        <f t="shared" ref="M45:M49" si="19">IF(ISBLANK(J51),"--",J51)</f>
        <v>--</v>
      </c>
      <c r="N45" s="149" t="str">
        <f>IFERROR(_xll.qlRateHelperQuoteName(M45,Trigger),"--")</f>
        <v>--</v>
      </c>
      <c r="O45" s="154" t="str">
        <f>IFERROR(_xll.qlRateHelperQuoteValue($M45,Trigger),"--")</f>
        <v>--</v>
      </c>
      <c r="P45" s="98" t="b">
        <v>0</v>
      </c>
      <c r="Q45" s="95">
        <v>50</v>
      </c>
      <c r="R45" s="95">
        <v>1</v>
      </c>
      <c r="S45" s="100" t="str">
        <f>IFERROR(_xll.qlRateHelperEarliestDate(M45,Trigger),"--")</f>
        <v>--</v>
      </c>
      <c r="T45" s="100" t="str">
        <f>IFERROR(_xll.qlRateHelperPillarDate(M45,Trigger),"--")</f>
        <v>--</v>
      </c>
      <c r="V45" s="4" t="str">
        <f t="shared" si="4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5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241" t="e">
        <v>#N/A</v>
      </c>
    </row>
    <row r="46" spans="1:29" ht="11.25" customHeight="1" x14ac:dyDescent="0.2">
      <c r="A46" s="62" t="s">
        <v>98</v>
      </c>
      <c r="B46" s="117" t="b">
        <v>1</v>
      </c>
      <c r="C46" s="65" t="str">
        <f>_xll.qlIMMNextCode(C45,B46,Trigger)</f>
        <v>Z9</v>
      </c>
      <c r="D46" s="126"/>
      <c r="E46" s="126"/>
      <c r="F46" s="126"/>
      <c r="G46" s="64" t="str">
        <f t="shared" si="16"/>
        <v>GbpLibor3M</v>
      </c>
      <c r="H46" s="120" t="str">
        <f t="shared" si="17"/>
        <v>GBPFUT3MZ9_Quote</v>
      </c>
      <c r="I46" s="120" t="str">
        <f t="shared" si="18"/>
        <v>GBPFUT3MZ9ConvAdj_Quote</v>
      </c>
      <c r="J46" s="67" t="str">
        <f>_xll.qlFuturesRateHelper(,H46,FuturesType,C46,G46,I46,Permanent,Trigger,ObjectOverwrite)</f>
        <v>obj_00350#0001</v>
      </c>
      <c r="L46" s="10" t="s">
        <v>26</v>
      </c>
      <c r="M46" s="95" t="str">
        <f t="shared" si="19"/>
        <v>--</v>
      </c>
      <c r="N46" s="149" t="str">
        <f>IFERROR(_xll.qlRateHelperQuoteName(M46,Trigger),"--")</f>
        <v>--</v>
      </c>
      <c r="O46" s="154" t="str">
        <f>IFERROR(_xll.qlRateHelperQuoteValue($M46,Trigger),"--")</f>
        <v>--</v>
      </c>
      <c r="P46" s="98" t="b">
        <v>0</v>
      </c>
      <c r="Q46" s="95">
        <v>50</v>
      </c>
      <c r="R46" s="95">
        <v>1</v>
      </c>
      <c r="S46" s="100" t="str">
        <f>IFERROR(_xll.qlRateHelperEarliestDate(M46,Trigger),"--")</f>
        <v>--</v>
      </c>
      <c r="T46" s="100" t="str">
        <f>IFERROR(_xll.qlRateHelperPillarDate(M46,Trigger),"--")</f>
        <v>--</v>
      </c>
      <c r="V46" s="4" t="str">
        <f t="shared" si="4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241" t="e">
        <v>#N/A</v>
      </c>
    </row>
    <row r="47" spans="1:29" ht="11.25" customHeight="1" x14ac:dyDescent="0.2">
      <c r="A47" s="1" t="s">
        <v>98</v>
      </c>
      <c r="B47" s="118" t="b">
        <v>1</v>
      </c>
      <c r="C47" s="9" t="str">
        <f>_xll.qlIMMNextCode(C46,B47,Trigger)</f>
        <v>H0</v>
      </c>
      <c r="D47" s="127"/>
      <c r="E47" s="127"/>
      <c r="F47" s="127"/>
      <c r="G47" s="7" t="str">
        <f t="shared" si="16"/>
        <v>GbpLibor3M</v>
      </c>
      <c r="H47" s="121" t="str">
        <f t="shared" si="17"/>
        <v>GBPFUT3MH0_Quote</v>
      </c>
      <c r="I47" s="121" t="str">
        <f t="shared" si="18"/>
        <v>GBPFUT3MH0ConvAdj_Quote</v>
      </c>
      <c r="J47" s="3" t="str">
        <f>_xll.qlFuturesRateHelper(,H47,FuturesType,C47,G47,I47,Permanent,Trigger,ObjectOverwrite)</f>
        <v>obj_00351#0001</v>
      </c>
      <c r="L47" s="10" t="s">
        <v>26</v>
      </c>
      <c r="M47" s="95" t="str">
        <f t="shared" si="19"/>
        <v>--</v>
      </c>
      <c r="N47" s="149" t="str">
        <f>IFERROR(_xll.qlRateHelperQuoteName(M47,Trigger),"--")</f>
        <v>--</v>
      </c>
      <c r="O47" s="154" t="str">
        <f>IFERROR(_xll.qlRateHelperQuoteValue($M47,Trigger),"--")</f>
        <v>--</v>
      </c>
      <c r="P47" s="98" t="b">
        <v>0</v>
      </c>
      <c r="Q47" s="95">
        <v>50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4" t="str">
        <f t="shared" si="4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241" t="e">
        <v>#N/A</v>
      </c>
    </row>
    <row r="48" spans="1:29" ht="11.25" customHeight="1" x14ac:dyDescent="0.2">
      <c r="G48" s="53" t="s">
        <v>146</v>
      </c>
      <c r="H48" s="53" t="s">
        <v>145</v>
      </c>
      <c r="J48" s="49" t="s">
        <v>149</v>
      </c>
      <c r="L48" s="10" t="s">
        <v>26</v>
      </c>
      <c r="M48" s="95" t="str">
        <f t="shared" si="19"/>
        <v>--</v>
      </c>
      <c r="N48" s="149" t="str">
        <f>IFERROR(_xll.qlRateHelperQuoteName(M48,Trigger),"--")</f>
        <v>--</v>
      </c>
      <c r="O48" s="154" t="str">
        <f>IFERROR(_xll.qlRateHelperQuoteValue($M48,Trigger),"--")</f>
        <v>--</v>
      </c>
      <c r="P48" s="98" t="b">
        <v>0</v>
      </c>
      <c r="Q48" s="95">
        <v>50</v>
      </c>
      <c r="R48" s="95">
        <v>1</v>
      </c>
      <c r="S48" s="100" t="str">
        <f>IFERROR(_xll.qlRateHelperEarliestDate(M48,Trigger),"--")</f>
        <v>--</v>
      </c>
      <c r="T48" s="100" t="str">
        <f>IFERROR(_xll.qlRateHelperPillarDate(M48,Trigger),"--")</f>
        <v>--</v>
      </c>
      <c r="V48" s="4" t="str">
        <f t="shared" si="4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241" t="e">
        <v>#N/A</v>
      </c>
    </row>
    <row r="49" spans="1:29" ht="11.25" customHeight="1" x14ac:dyDescent="0.2">
      <c r="A49" s="68" t="s">
        <v>9</v>
      </c>
      <c r="B49" s="68" t="s">
        <v>30</v>
      </c>
      <c r="C49" s="68" t="s">
        <v>133</v>
      </c>
      <c r="D49" s="68" t="s">
        <v>5</v>
      </c>
      <c r="E49" s="68" t="s">
        <v>34</v>
      </c>
      <c r="F49" s="68" t="s">
        <v>118</v>
      </c>
      <c r="G49" s="68" t="s">
        <v>4</v>
      </c>
      <c r="H49" s="68" t="s">
        <v>1</v>
      </c>
      <c r="I49" s="68" t="s">
        <v>117</v>
      </c>
      <c r="J49" s="68" t="s">
        <v>25</v>
      </c>
      <c r="L49" s="11" t="s">
        <v>26</v>
      </c>
      <c r="M49" s="96" t="str">
        <f t="shared" si="19"/>
        <v>--</v>
      </c>
      <c r="N49" s="150" t="str">
        <f>IFERROR(_xll.qlRateHelperQuoteName(M49,Trigger),"--")</f>
        <v>--</v>
      </c>
      <c r="O49" s="155" t="str">
        <f>IFERROR(_xll.qlRateHelperQuoteValue($M49,Trigger),"--")</f>
        <v>--</v>
      </c>
      <c r="P49" s="101" t="b">
        <v>0</v>
      </c>
      <c r="Q49" s="96">
        <v>50</v>
      </c>
      <c r="R49" s="96">
        <v>1</v>
      </c>
      <c r="S49" s="103" t="str">
        <f>IFERROR(_xll.qlRateHelperEarliestDate(M49,Trigger),"--")</f>
        <v>--</v>
      </c>
      <c r="T49" s="103" t="str">
        <f>IFERROR(_xll.qlRateHelperPillarDate(M49,Trigger),"--")</f>
        <v>--</v>
      </c>
      <c r="V49" s="4" t="str">
        <f t="shared" si="4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241" t="e">
        <v>#N/A</v>
      </c>
    </row>
    <row r="50" spans="1:29" ht="11.25" customHeight="1" x14ac:dyDescent="0.2">
      <c r="A50" s="56" t="s">
        <v>26</v>
      </c>
      <c r="B50" s="57" t="s">
        <v>3</v>
      </c>
      <c r="C50" s="58" t="s">
        <v>6</v>
      </c>
      <c r="D50" s="58" t="s">
        <v>8</v>
      </c>
      <c r="E50" s="58" t="s">
        <v>7</v>
      </c>
      <c r="F50" s="58" t="s">
        <v>28</v>
      </c>
      <c r="G50" s="58" t="str">
        <f t="shared" ref="G50:G55" si="20">PROPER(Currency)&amp;FamilyName&amp;Tenor</f>
        <v>GbpLibor3M</v>
      </c>
      <c r="H50" s="56" t="str">
        <f t="shared" ref="H50:H55" si="21">Currency&amp;$G$48&amp;$H$48&amp;B50&amp;QuoteSuffix</f>
        <v>GBPAM3L6M_Quote</v>
      </c>
      <c r="I50" s="129">
        <v>0</v>
      </c>
      <c r="J50" s="61"/>
      <c r="K50" s="49" t="s">
        <v>36</v>
      </c>
      <c r="L50" s="74" t="str">
        <f t="shared" ref="L50:L86" si="22">A58</f>
        <v>Sw</v>
      </c>
      <c r="M50" s="143" t="str">
        <f t="shared" ref="M50:M86" si="23">IF(ISBLANK(J58),"--",J58)</f>
        <v>--</v>
      </c>
      <c r="N50" s="152" t="str">
        <f>IFERROR(_xll.qlRateHelperQuoteName(M50,Trigger),"--")</f>
        <v>--</v>
      </c>
      <c r="O50" s="145" t="str">
        <f>IFERROR(_xll.qlRateHelperQuoteValue($M50,Trigger),"--")</f>
        <v>--</v>
      </c>
      <c r="P50" s="144" t="b">
        <v>0</v>
      </c>
      <c r="Q50" s="143">
        <v>50</v>
      </c>
      <c r="R50" s="143">
        <v>1</v>
      </c>
      <c r="S50" s="146" t="str">
        <f>IFERROR(_xll.qlRateHelperEarliestDate(M50,Trigger),"--")</f>
        <v>--</v>
      </c>
      <c r="T50" s="146" t="str">
        <f>IFERROR(_xll.qlRateHelperPillarDate(M50,Trigger),"--")</f>
        <v>--</v>
      </c>
      <c r="V50" s="4" t="str">
        <f t="shared" si="4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241" t="e">
        <v>#N/A</v>
      </c>
    </row>
    <row r="51" spans="1:29" ht="11.25" customHeight="1" x14ac:dyDescent="0.2">
      <c r="A51" s="62" t="s">
        <v>26</v>
      </c>
      <c r="B51" s="63" t="s">
        <v>46</v>
      </c>
      <c r="C51" s="64" t="s">
        <v>6</v>
      </c>
      <c r="D51" s="64" t="s">
        <v>8</v>
      </c>
      <c r="E51" s="64" t="s">
        <v>7</v>
      </c>
      <c r="F51" s="64" t="s">
        <v>28</v>
      </c>
      <c r="G51" s="64" t="str">
        <f t="shared" si="20"/>
        <v>GbpLibor3M</v>
      </c>
      <c r="H51" s="62" t="str">
        <f t="shared" si="21"/>
        <v>GBPAM3L9M_Quote</v>
      </c>
      <c r="I51" s="130">
        <v>0</v>
      </c>
      <c r="J51" s="67"/>
      <c r="L51" s="74" t="str">
        <f t="shared" si="22"/>
        <v>Sw</v>
      </c>
      <c r="M51" s="143" t="str">
        <f t="shared" si="23"/>
        <v>--</v>
      </c>
      <c r="N51" s="152" t="str">
        <f>IFERROR(_xll.qlRateHelperQuoteName(M51,Trigger),"--")</f>
        <v>--</v>
      </c>
      <c r="O51" s="145" t="str">
        <f>IFERROR(_xll.qlRateHelperQuoteValue($M51,Trigger),"--")</f>
        <v>--</v>
      </c>
      <c r="P51" s="144" t="b">
        <v>0</v>
      </c>
      <c r="Q51" s="143">
        <v>50</v>
      </c>
      <c r="R51" s="143">
        <v>1</v>
      </c>
      <c r="S51" s="146" t="str">
        <f>IFERROR(_xll.qlRateHelperEarliestDate(M51,Trigger),"--")</f>
        <v>--</v>
      </c>
      <c r="T51" s="146" t="str">
        <f>IFERROR(_xll.qlRateHelperPillarDate(M51,Trigger),"--")</f>
        <v>--</v>
      </c>
      <c r="V51" s="4" t="str">
        <f t="shared" si="4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241" t="e">
        <v>#N/A</v>
      </c>
    </row>
    <row r="52" spans="1:29" ht="11.25" customHeight="1" x14ac:dyDescent="0.2">
      <c r="A52" s="62" t="s">
        <v>26</v>
      </c>
      <c r="B52" s="63" t="s">
        <v>29</v>
      </c>
      <c r="C52" s="64" t="s">
        <v>6</v>
      </c>
      <c r="D52" s="64" t="s">
        <v>8</v>
      </c>
      <c r="E52" s="64" t="s">
        <v>7</v>
      </c>
      <c r="F52" s="64" t="s">
        <v>28</v>
      </c>
      <c r="G52" s="64" t="str">
        <f t="shared" si="20"/>
        <v>GbpLibor3M</v>
      </c>
      <c r="H52" s="62" t="str">
        <f t="shared" si="21"/>
        <v>GBPAM3L1Y_Quote</v>
      </c>
      <c r="I52" s="130">
        <v>0</v>
      </c>
      <c r="J52" s="67"/>
      <c r="L52" s="74" t="str">
        <f t="shared" si="22"/>
        <v>Sw</v>
      </c>
      <c r="M52" s="143" t="str">
        <f t="shared" si="23"/>
        <v>--</v>
      </c>
      <c r="N52" s="152" t="str">
        <f>IFERROR(_xll.qlRateHelperQuoteName(M52,Trigger),"--")</f>
        <v>--</v>
      </c>
      <c r="O52" s="145" t="str">
        <f>IFERROR(_xll.qlRateHelperQuoteValue($M52,Trigger),"--")</f>
        <v>--</v>
      </c>
      <c r="P52" s="144" t="b">
        <v>0</v>
      </c>
      <c r="Q52" s="143">
        <v>50</v>
      </c>
      <c r="R52" s="143">
        <v>1</v>
      </c>
      <c r="S52" s="146" t="str">
        <f>IFERROR(_xll.qlRateHelperEarliestDate(M52,Trigger),"--")</f>
        <v>--</v>
      </c>
      <c r="T52" s="146" t="str">
        <f>IFERROR(_xll.qlRateHelperPillarDate(M52,Trigger),"--")</f>
        <v>--</v>
      </c>
      <c r="V52" s="4" t="str">
        <f t="shared" si="4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241" t="e">
        <v>#N/A</v>
      </c>
    </row>
    <row r="53" spans="1:29" ht="11.25" customHeight="1" x14ac:dyDescent="0.2">
      <c r="A53" s="62" t="s">
        <v>26</v>
      </c>
      <c r="B53" s="63" t="s">
        <v>49</v>
      </c>
      <c r="C53" s="64" t="s">
        <v>6</v>
      </c>
      <c r="D53" s="64" t="s">
        <v>8</v>
      </c>
      <c r="E53" s="64" t="s">
        <v>7</v>
      </c>
      <c r="F53" s="64" t="s">
        <v>28</v>
      </c>
      <c r="G53" s="64" t="str">
        <f t="shared" si="20"/>
        <v>GbpLibor3M</v>
      </c>
      <c r="H53" s="62" t="str">
        <f t="shared" si="21"/>
        <v>GBPAM3L15M_Quote</v>
      </c>
      <c r="I53" s="130">
        <v>0</v>
      </c>
      <c r="J53" s="67"/>
      <c r="L53" s="74" t="str">
        <f t="shared" si="22"/>
        <v>Sw</v>
      </c>
      <c r="M53" s="143" t="str">
        <f t="shared" si="23"/>
        <v>--</v>
      </c>
      <c r="N53" s="152" t="str">
        <f>IFERROR(_xll.qlRateHelperQuoteName(M53,Trigger),"--")</f>
        <v>--</v>
      </c>
      <c r="O53" s="145" t="str">
        <f>IFERROR(_xll.qlRateHelperQuoteValue($M53,Trigger),"--")</f>
        <v>--</v>
      </c>
      <c r="P53" s="144" t="b">
        <v>0</v>
      </c>
      <c r="Q53" s="143">
        <v>50</v>
      </c>
      <c r="R53" s="143">
        <v>1</v>
      </c>
      <c r="S53" s="146" t="str">
        <f>IFERROR(_xll.qlRateHelperEarliestDate(M53,Trigger),"--")</f>
        <v>--</v>
      </c>
      <c r="T53" s="146" t="str">
        <f>IFERROR(_xll.qlRateHelperPillarDate(M53,Trigger),"--")</f>
        <v>--</v>
      </c>
      <c r="V53" s="4" t="str">
        <f t="shared" si="4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241" t="e">
        <v>#N/A</v>
      </c>
    </row>
    <row r="54" spans="1:29" ht="11.25" customHeight="1" x14ac:dyDescent="0.2">
      <c r="A54" s="62" t="s">
        <v>26</v>
      </c>
      <c r="B54" s="63" t="s">
        <v>50</v>
      </c>
      <c r="C54" s="64" t="s">
        <v>6</v>
      </c>
      <c r="D54" s="64" t="s">
        <v>8</v>
      </c>
      <c r="E54" s="64" t="s">
        <v>7</v>
      </c>
      <c r="F54" s="64" t="s">
        <v>28</v>
      </c>
      <c r="G54" s="64" t="str">
        <f t="shared" si="20"/>
        <v>GbpLibor3M</v>
      </c>
      <c r="H54" s="62" t="str">
        <f t="shared" si="21"/>
        <v>GBPAM3L18M_Quote</v>
      </c>
      <c r="I54" s="130">
        <v>0</v>
      </c>
      <c r="J54" s="67"/>
      <c r="L54" s="74" t="str">
        <f t="shared" si="22"/>
        <v>Sw</v>
      </c>
      <c r="M54" s="143" t="str">
        <f t="shared" si="23"/>
        <v>--</v>
      </c>
      <c r="N54" s="152" t="str">
        <f>IFERROR(_xll.qlRateHelperQuoteName(M54,Trigger),"--")</f>
        <v>--</v>
      </c>
      <c r="O54" s="145" t="str">
        <f>IFERROR(_xll.qlRateHelperQuoteValue($M54,Trigger),"--")</f>
        <v>--</v>
      </c>
      <c r="P54" s="144" t="b">
        <v>0</v>
      </c>
      <c r="Q54" s="143">
        <v>50</v>
      </c>
      <c r="R54" s="143">
        <v>1</v>
      </c>
      <c r="S54" s="146" t="str">
        <f>IFERROR(_xll.qlRateHelperEarliestDate(M54,Trigger),"--")</f>
        <v>--</v>
      </c>
      <c r="T54" s="146" t="str">
        <f>IFERROR(_xll.qlRateHelperPillarDate(M54,Trigger),"--")</f>
        <v>--</v>
      </c>
      <c r="V54" s="4" t="str">
        <f t="shared" si="4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241" t="e">
        <v>#N/A</v>
      </c>
    </row>
    <row r="55" spans="1:29" ht="11.25" customHeight="1" x14ac:dyDescent="0.2">
      <c r="A55" s="1" t="s">
        <v>26</v>
      </c>
      <c r="B55" s="8" t="s">
        <v>51</v>
      </c>
      <c r="C55" s="7" t="s">
        <v>6</v>
      </c>
      <c r="D55" s="7" t="s">
        <v>8</v>
      </c>
      <c r="E55" s="7" t="s">
        <v>7</v>
      </c>
      <c r="F55" s="7" t="s">
        <v>28</v>
      </c>
      <c r="G55" s="7" t="str">
        <f t="shared" si="20"/>
        <v>GbpLibor3M</v>
      </c>
      <c r="H55" s="1" t="str">
        <f t="shared" si="21"/>
        <v>GBPAM3L21M_Quote</v>
      </c>
      <c r="I55" s="133">
        <v>0</v>
      </c>
      <c r="J55" s="3"/>
      <c r="L55" s="74" t="str">
        <f t="shared" si="22"/>
        <v>Sw</v>
      </c>
      <c r="M55" s="143" t="str">
        <f t="shared" si="23"/>
        <v>obj_002ef#0001</v>
      </c>
      <c r="N55" s="152" t="str">
        <f>IFERROR(_xll.qlRateHelperQuoteName(M55,Trigger),"--")</f>
        <v>GBPSM3L3Y_Quote</v>
      </c>
      <c r="O55" s="145">
        <f>IFERROR(_xll.qlRateHelperQuoteValue($M55,Trigger),"--")</f>
        <v>1.0289999999999999E-2</v>
      </c>
      <c r="P55" s="144" t="b">
        <v>1</v>
      </c>
      <c r="Q55" s="143">
        <v>50</v>
      </c>
      <c r="R55" s="143">
        <v>1</v>
      </c>
      <c r="S55" s="146">
        <f>IFERROR(_xll.qlRateHelperEarliestDate(M55,Trigger),"--")</f>
        <v>42275</v>
      </c>
      <c r="T55" s="146">
        <f>IFERROR(_xll.qlRateHelperPillarDate(M55,Trigger),"--")</f>
        <v>43371</v>
      </c>
      <c r="V55" s="4" t="str">
        <f t="shared" si="4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5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241" t="e">
        <v>#N/A</v>
      </c>
    </row>
    <row r="56" spans="1:29" ht="11.25" customHeight="1" x14ac:dyDescent="0.2">
      <c r="G56" s="53" t="s">
        <v>144</v>
      </c>
      <c r="H56" s="53" t="s">
        <v>145</v>
      </c>
      <c r="L56" s="74" t="str">
        <f t="shared" si="22"/>
        <v>Sw</v>
      </c>
      <c r="M56" s="143" t="str">
        <f t="shared" si="23"/>
        <v>obj_002ed#0001</v>
      </c>
      <c r="N56" s="152" t="str">
        <f>IFERROR(_xll.qlRateHelperQuoteName(M56,Trigger),"--")</f>
        <v>GBPSM3L4Y_Quote</v>
      </c>
      <c r="O56" s="145">
        <f>IFERROR(_xll.qlRateHelperQuoteValue($M56,Trigger),"--")</f>
        <v>1.2000000000000002E-2</v>
      </c>
      <c r="P56" s="144" t="b">
        <v>1</v>
      </c>
      <c r="Q56" s="143">
        <v>50</v>
      </c>
      <c r="R56" s="143">
        <v>1</v>
      </c>
      <c r="S56" s="146">
        <f>IFERROR(_xll.qlRateHelperEarliestDate(M56,Trigger),"--")</f>
        <v>42275</v>
      </c>
      <c r="T56" s="146">
        <f>IFERROR(_xll.qlRateHelperPillarDate(M56,Trigger),"--")</f>
        <v>43738</v>
      </c>
      <c r="V56" s="4" t="str">
        <f t="shared" si="4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5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241" t="e">
        <v>#N/A</v>
      </c>
    </row>
    <row r="57" spans="1:29" ht="11.25" customHeight="1" x14ac:dyDescent="0.2">
      <c r="A57" s="68" t="s">
        <v>9</v>
      </c>
      <c r="B57" s="68" t="s">
        <v>30</v>
      </c>
      <c r="C57" s="68" t="s">
        <v>133</v>
      </c>
      <c r="D57" s="68" t="s">
        <v>5</v>
      </c>
      <c r="E57" s="68" t="s">
        <v>34</v>
      </c>
      <c r="F57" s="68" t="s">
        <v>118</v>
      </c>
      <c r="G57" s="68" t="s">
        <v>4</v>
      </c>
      <c r="H57" s="68" t="s">
        <v>1</v>
      </c>
      <c r="I57" s="68" t="s">
        <v>117</v>
      </c>
      <c r="J57" s="68" t="s">
        <v>25</v>
      </c>
      <c r="L57" s="74" t="str">
        <f t="shared" si="22"/>
        <v>Sw</v>
      </c>
      <c r="M57" s="143" t="str">
        <f t="shared" si="23"/>
        <v>obj_002ec#0001</v>
      </c>
      <c r="N57" s="152" t="str">
        <f>IFERROR(_xll.qlRateHelperQuoteName(M57,Trigger),"--")</f>
        <v>GBPSM3L5Y_Quote</v>
      </c>
      <c r="O57" s="145">
        <f>IFERROR(_xll.qlRateHelperQuoteValue($M57,Trigger),"--")</f>
        <v>1.3460000000000001E-2</v>
      </c>
      <c r="P57" s="144" t="b">
        <v>1</v>
      </c>
      <c r="Q57" s="143">
        <v>50</v>
      </c>
      <c r="R57" s="143">
        <v>1</v>
      </c>
      <c r="S57" s="146">
        <f>IFERROR(_xll.qlRateHelperEarliestDate(M57,Trigger),"--")</f>
        <v>42275</v>
      </c>
      <c r="T57" s="146">
        <f>IFERROR(_xll.qlRateHelperPillarDate(M57,Trigger),"--")</f>
        <v>44102</v>
      </c>
      <c r="V57" s="4" t="str">
        <f t="shared" si="4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5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241" t="e">
        <v>#N/A</v>
      </c>
    </row>
    <row r="58" spans="1:29" ht="11.25" customHeight="1" x14ac:dyDescent="0.2">
      <c r="A58" s="62" t="s">
        <v>26</v>
      </c>
      <c r="B58" s="63" t="s">
        <v>29</v>
      </c>
      <c r="C58" s="64" t="s">
        <v>6</v>
      </c>
      <c r="D58" s="64" t="s">
        <v>147</v>
      </c>
      <c r="E58" s="64" t="s">
        <v>7</v>
      </c>
      <c r="F58" s="64" t="s">
        <v>148</v>
      </c>
      <c r="G58" s="64" t="str">
        <f t="shared" ref="G58:G94" si="24">PROPER(Currency)&amp;FamilyName&amp;Tenor</f>
        <v>GbpLibor3M</v>
      </c>
      <c r="H58" s="62" t="str">
        <f t="shared" ref="H58:H94" si="25">Currency&amp;$G$56&amp;$H$56&amp;$B58&amp;QuoteSuffix</f>
        <v>GBPSM3L1Y_Quote</v>
      </c>
      <c r="I58" s="130">
        <v>0</v>
      </c>
      <c r="J58" s="67"/>
      <c r="L58" s="74" t="str">
        <f t="shared" si="22"/>
        <v>Sw</v>
      </c>
      <c r="M58" s="143" t="str">
        <f t="shared" si="23"/>
        <v>obj_002e9#0001</v>
      </c>
      <c r="N58" s="152" t="str">
        <f>IFERROR(_xll.qlRateHelperQuoteName(M58,Trigger),"--")</f>
        <v>GBPSM3L6Y_Quote</v>
      </c>
      <c r="O58" s="145">
        <f>IFERROR(_xll.qlRateHelperQuoteValue($M58,Trigger),"--")</f>
        <v>1.4649999999999998E-2</v>
      </c>
      <c r="P58" s="144" t="b">
        <v>1</v>
      </c>
      <c r="Q58" s="143">
        <v>50</v>
      </c>
      <c r="R58" s="143">
        <v>1</v>
      </c>
      <c r="S58" s="146">
        <f>IFERROR(_xll.qlRateHelperEarliestDate(M58,Trigger),"--")</f>
        <v>42275</v>
      </c>
      <c r="T58" s="146">
        <f>IFERROR(_xll.qlRateHelperPillarDate(M58,Trigger),"--")</f>
        <v>44467</v>
      </c>
      <c r="V58" s="4" t="str">
        <f t="shared" si="4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5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241" t="e">
        <v>#N/A</v>
      </c>
    </row>
    <row r="59" spans="1:29" ht="11.25" customHeight="1" x14ac:dyDescent="0.2">
      <c r="A59" s="62" t="s">
        <v>26</v>
      </c>
      <c r="B59" s="63" t="s">
        <v>49</v>
      </c>
      <c r="C59" s="64" t="s">
        <v>6</v>
      </c>
      <c r="D59" s="64" t="s">
        <v>147</v>
      </c>
      <c r="E59" s="64" t="s">
        <v>7</v>
      </c>
      <c r="F59" s="64" t="s">
        <v>148</v>
      </c>
      <c r="G59" s="64" t="str">
        <f t="shared" si="24"/>
        <v>GbpLibor3M</v>
      </c>
      <c r="H59" s="62" t="str">
        <f t="shared" si="25"/>
        <v>GBPSM3L15M_Quote</v>
      </c>
      <c r="I59" s="130">
        <v>0</v>
      </c>
      <c r="J59" s="67"/>
      <c r="L59" s="74" t="str">
        <f t="shared" si="22"/>
        <v>Sw</v>
      </c>
      <c r="M59" s="143" t="str">
        <f t="shared" si="23"/>
        <v>obj_002f6#0001</v>
      </c>
      <c r="N59" s="152" t="str">
        <f>IFERROR(_xll.qlRateHelperQuoteName(M59,Trigger),"--")</f>
        <v>GBPSM3L7Y_Quote</v>
      </c>
      <c r="O59" s="145">
        <f>IFERROR(_xll.qlRateHelperQuoteValue($M59,Trigger),"--")</f>
        <v>1.5600000000000001E-2</v>
      </c>
      <c r="P59" s="144" t="b">
        <v>1</v>
      </c>
      <c r="Q59" s="143">
        <v>50</v>
      </c>
      <c r="R59" s="143">
        <v>1</v>
      </c>
      <c r="S59" s="146">
        <f>IFERROR(_xll.qlRateHelperEarliestDate(M59,Trigger),"--")</f>
        <v>42275</v>
      </c>
      <c r="T59" s="146">
        <f>IFERROR(_xll.qlRateHelperPillarDate(M59,Trigger),"--")</f>
        <v>44832</v>
      </c>
      <c r="V59" s="4" t="str">
        <f t="shared" si="4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5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241" t="e">
        <v>#N/A</v>
      </c>
    </row>
    <row r="60" spans="1:29" ht="11.25" customHeight="1" x14ac:dyDescent="0.2">
      <c r="A60" s="62" t="s">
        <v>26</v>
      </c>
      <c r="B60" s="63" t="s">
        <v>50</v>
      </c>
      <c r="C60" s="64" t="s">
        <v>6</v>
      </c>
      <c r="D60" s="64" t="s">
        <v>147</v>
      </c>
      <c r="E60" s="64" t="s">
        <v>7</v>
      </c>
      <c r="F60" s="64" t="s">
        <v>148</v>
      </c>
      <c r="G60" s="64" t="str">
        <f t="shared" si="24"/>
        <v>GbpLibor3M</v>
      </c>
      <c r="H60" s="62" t="str">
        <f t="shared" si="25"/>
        <v>GBPSM3L18M_Quote</v>
      </c>
      <c r="I60" s="130">
        <v>0</v>
      </c>
      <c r="J60" s="67"/>
      <c r="L60" s="74" t="str">
        <f t="shared" si="22"/>
        <v>Sw</v>
      </c>
      <c r="M60" s="143" t="str">
        <f t="shared" si="23"/>
        <v>obj_002f1#0001</v>
      </c>
      <c r="N60" s="152" t="str">
        <f>IFERROR(_xll.qlRateHelperQuoteName(M60,Trigger),"--")</f>
        <v>GBPSM3L8Y_Quote</v>
      </c>
      <c r="O60" s="145">
        <f>IFERROR(_xll.qlRateHelperQuoteValue($M60,Trigger),"--")</f>
        <v>1.6369999999999999E-2</v>
      </c>
      <c r="P60" s="144" t="b">
        <v>1</v>
      </c>
      <c r="Q60" s="143">
        <v>50</v>
      </c>
      <c r="R60" s="143">
        <v>1</v>
      </c>
      <c r="S60" s="146">
        <f>IFERROR(_xll.qlRateHelperEarliestDate(M60,Trigger),"--")</f>
        <v>42275</v>
      </c>
      <c r="T60" s="146">
        <f>IFERROR(_xll.qlRateHelperPillarDate(M60,Trigger),"--")</f>
        <v>45197</v>
      </c>
      <c r="V60" s="4" t="str">
        <f t="shared" si="4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5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241" t="e">
        <v>#N/A</v>
      </c>
    </row>
    <row r="61" spans="1:29" ht="11.25" customHeight="1" x14ac:dyDescent="0.2">
      <c r="A61" s="62" t="s">
        <v>26</v>
      </c>
      <c r="B61" s="63" t="s">
        <v>51</v>
      </c>
      <c r="C61" s="64" t="s">
        <v>6</v>
      </c>
      <c r="D61" s="64" t="s">
        <v>147</v>
      </c>
      <c r="E61" s="64" t="s">
        <v>7</v>
      </c>
      <c r="F61" s="64" t="s">
        <v>148</v>
      </c>
      <c r="G61" s="64" t="str">
        <f t="shared" si="24"/>
        <v>GbpLibor3M</v>
      </c>
      <c r="H61" s="62" t="str">
        <f t="shared" si="25"/>
        <v>GBPSM3L21M_Quote</v>
      </c>
      <c r="I61" s="130">
        <v>0</v>
      </c>
      <c r="J61" s="67"/>
      <c r="L61" s="74" t="str">
        <f t="shared" si="22"/>
        <v>Sw</v>
      </c>
      <c r="M61" s="143" t="str">
        <f t="shared" si="23"/>
        <v>obj_002f4#0001</v>
      </c>
      <c r="N61" s="152" t="str">
        <f>IFERROR(_xll.qlRateHelperQuoteName(M61,Trigger),"--")</f>
        <v>GBPSM3L9Y_Quote</v>
      </c>
      <c r="O61" s="145">
        <f>IFERROR(_xll.qlRateHelperQuoteValue($M61,Trigger),"--")</f>
        <v>1.7049999999999999E-2</v>
      </c>
      <c r="P61" s="144" t="b">
        <v>1</v>
      </c>
      <c r="Q61" s="143">
        <v>50</v>
      </c>
      <c r="R61" s="143">
        <v>1</v>
      </c>
      <c r="S61" s="146">
        <f>IFERROR(_xll.qlRateHelperEarliestDate(M61,Trigger),"--")</f>
        <v>42275</v>
      </c>
      <c r="T61" s="146">
        <f>IFERROR(_xll.qlRateHelperPillarDate(M61,Trigger),"--")</f>
        <v>45565</v>
      </c>
      <c r="V61" s="4" t="str">
        <f t="shared" si="4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5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241" t="e">
        <v>#N/A</v>
      </c>
    </row>
    <row r="62" spans="1:29" ht="11.25" customHeight="1" x14ac:dyDescent="0.2">
      <c r="A62" s="62" t="s">
        <v>26</v>
      </c>
      <c r="B62" s="63" t="s">
        <v>52</v>
      </c>
      <c r="C62" s="64" t="s">
        <v>6</v>
      </c>
      <c r="D62" s="64" t="s">
        <v>147</v>
      </c>
      <c r="E62" s="64" t="s">
        <v>7</v>
      </c>
      <c r="F62" s="64" t="s">
        <v>148</v>
      </c>
      <c r="G62" s="64" t="str">
        <f t="shared" si="24"/>
        <v>GbpLibor3M</v>
      </c>
      <c r="H62" s="62" t="str">
        <f t="shared" si="25"/>
        <v>GBPSM3L2Y_Quote</v>
      </c>
      <c r="I62" s="130">
        <v>0</v>
      </c>
      <c r="J62" s="67"/>
      <c r="L62" s="74" t="str">
        <f t="shared" si="22"/>
        <v>Sw</v>
      </c>
      <c r="M62" s="144" t="str">
        <f t="shared" si="23"/>
        <v>obj_002f5#0001</v>
      </c>
      <c r="N62" s="152" t="str">
        <f>IFERROR(_xll.qlRateHelperQuoteName(M62,Trigger),"--")</f>
        <v>GBPSM3L10Y_Quote</v>
      </c>
      <c r="O62" s="145">
        <f>IFERROR(_xll.qlRateHelperQuoteValue($M62,Trigger),"--")</f>
        <v>1.7639999999999999E-2</v>
      </c>
      <c r="P62" s="144" t="b">
        <v>1</v>
      </c>
      <c r="Q62" s="144">
        <v>50</v>
      </c>
      <c r="R62" s="144">
        <v>1</v>
      </c>
      <c r="S62" s="146">
        <f>IFERROR(_xll.qlRateHelperEarliestDate(M62,Trigger),"--")</f>
        <v>42275</v>
      </c>
      <c r="T62" s="146">
        <f>IFERROR(_xll.qlRateHelperPillarDate(M62,Trigger),"--")</f>
        <v>45929</v>
      </c>
      <c r="V62" s="4" t="str">
        <f t="shared" si="4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5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241" t="e">
        <v>#N/A</v>
      </c>
    </row>
    <row r="63" spans="1:29" ht="11.25" customHeight="1" x14ac:dyDescent="0.2">
      <c r="A63" s="62" t="s">
        <v>26</v>
      </c>
      <c r="B63" s="63" t="s">
        <v>53</v>
      </c>
      <c r="C63" s="64" t="s">
        <v>6</v>
      </c>
      <c r="D63" s="64" t="s">
        <v>147</v>
      </c>
      <c r="E63" s="64" t="s">
        <v>7</v>
      </c>
      <c r="F63" s="64" t="s">
        <v>148</v>
      </c>
      <c r="G63" s="64" t="str">
        <f t="shared" si="24"/>
        <v>GbpLibor3M</v>
      </c>
      <c r="H63" s="62" t="str">
        <f t="shared" si="25"/>
        <v>GBPSM3L3Y_Quote</v>
      </c>
      <c r="I63" s="130">
        <v>0</v>
      </c>
      <c r="J63" s="67" t="str">
        <f>_xll.qlSwapRateHelper2(,H63,0,B63,Calendar,D63,E63,F63,G63,I63,C63,Discounting,PillarDate,,Permanent,Trigger,ObjectOverwrite)</f>
        <v>obj_002ef#0001</v>
      </c>
      <c r="L63" s="74" t="str">
        <f t="shared" si="22"/>
        <v>Sw</v>
      </c>
      <c r="M63" s="144" t="str">
        <f t="shared" si="23"/>
        <v>--</v>
      </c>
      <c r="N63" s="152" t="str">
        <f>IFERROR(_xll.qlRateHelperQuoteName(M63,Trigger),"--")</f>
        <v>--</v>
      </c>
      <c r="O63" s="145" t="str">
        <f>IFERROR(_xll.qlRateHelperQuoteValue($M63,Trigger),"--")</f>
        <v>--</v>
      </c>
      <c r="P63" s="144" t="b">
        <v>0</v>
      </c>
      <c r="Q63" s="144">
        <v>50</v>
      </c>
      <c r="R63" s="144">
        <v>1</v>
      </c>
      <c r="S63" s="146" t="str">
        <f>IFERROR(_xll.qlRateHelperEarliestDate(M63,Trigger),"--")</f>
        <v>--</v>
      </c>
      <c r="T63" s="146" t="str">
        <f>IFERROR(_xll.qlRateHelperPillarDate(M63,Trigger),"--")</f>
        <v>--</v>
      </c>
      <c r="V63" s="4" t="str">
        <f t="shared" si="4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5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241" t="e">
        <v>#N/A</v>
      </c>
    </row>
    <row r="64" spans="1:29" ht="11.25" customHeight="1" x14ac:dyDescent="0.2">
      <c r="A64" s="62" t="s">
        <v>26</v>
      </c>
      <c r="B64" s="63" t="s">
        <v>54</v>
      </c>
      <c r="C64" s="64" t="s">
        <v>6</v>
      </c>
      <c r="D64" s="64" t="s">
        <v>147</v>
      </c>
      <c r="E64" s="64" t="s">
        <v>7</v>
      </c>
      <c r="F64" s="64" t="s">
        <v>148</v>
      </c>
      <c r="G64" s="64" t="str">
        <f t="shared" si="24"/>
        <v>GbpLibor3M</v>
      </c>
      <c r="H64" s="62" t="str">
        <f t="shared" si="25"/>
        <v>GBPSM3L4Y_Quote</v>
      </c>
      <c r="I64" s="130">
        <v>0</v>
      </c>
      <c r="J64" s="67" t="str">
        <f>_xll.qlSwapRateHelper2(,H64,0,B64,Calendar,D64,E64,F64,G64,I64,C64,Discounting,PillarDate,,Permanent,Trigger,ObjectOverwrite)</f>
        <v>obj_002ed#0001</v>
      </c>
      <c r="L64" s="74" t="str">
        <f t="shared" si="22"/>
        <v>Sw</v>
      </c>
      <c r="M64" s="144" t="str">
        <f t="shared" si="23"/>
        <v>obj_002ee#0001</v>
      </c>
      <c r="N64" s="152" t="str">
        <f>IFERROR(_xll.qlRateHelperQuoteName(M64,Trigger),"--")</f>
        <v>GBPSM3L12Y_Quote</v>
      </c>
      <c r="O64" s="145">
        <f>IFERROR(_xll.qlRateHelperQuoteValue($M64,Trigger),"--")</f>
        <v>1.864E-2</v>
      </c>
      <c r="P64" s="144" t="b">
        <v>1</v>
      </c>
      <c r="Q64" s="144">
        <v>50</v>
      </c>
      <c r="R64" s="144">
        <v>1</v>
      </c>
      <c r="S64" s="146">
        <f>IFERROR(_xll.qlRateHelperEarliestDate(M64,Trigger),"--")</f>
        <v>42275</v>
      </c>
      <c r="T64" s="146">
        <f>IFERROR(_xll.qlRateHelperPillarDate(M64,Trigger),"--")</f>
        <v>46658</v>
      </c>
      <c r="V64" s="4" t="str">
        <f t="shared" si="4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5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241" t="e">
        <v>#N/A</v>
      </c>
    </row>
    <row r="65" spans="1:29" ht="11.25" customHeight="1" x14ac:dyDescent="0.2">
      <c r="A65" s="62" t="s">
        <v>26</v>
      </c>
      <c r="B65" s="63" t="s">
        <v>55</v>
      </c>
      <c r="C65" s="64" t="s">
        <v>6</v>
      </c>
      <c r="D65" s="64" t="s">
        <v>147</v>
      </c>
      <c r="E65" s="64" t="s">
        <v>7</v>
      </c>
      <c r="F65" s="64" t="s">
        <v>148</v>
      </c>
      <c r="G65" s="64" t="str">
        <f t="shared" si="24"/>
        <v>GbpLibor3M</v>
      </c>
      <c r="H65" s="62" t="str">
        <f t="shared" si="25"/>
        <v>GBPSM3L5Y_Quote</v>
      </c>
      <c r="I65" s="130">
        <v>0</v>
      </c>
      <c r="J65" s="67" t="str">
        <f>_xll.qlSwapRateHelper2(,H65,0,B65,Calendar,D65,E65,F65,G65,I65,C65,Discounting,PillarDate,,Permanent,Trigger,ObjectOverwrite)</f>
        <v>obj_002ec#0001</v>
      </c>
      <c r="L65" s="74" t="str">
        <f t="shared" si="22"/>
        <v>Sw</v>
      </c>
      <c r="M65" s="144" t="str">
        <f t="shared" si="23"/>
        <v>--</v>
      </c>
      <c r="N65" s="152" t="str">
        <f>IFERROR(_xll.qlRateHelperQuoteName(M65,Trigger),"--")</f>
        <v>--</v>
      </c>
      <c r="O65" s="145" t="str">
        <f>IFERROR(_xll.qlRateHelperQuoteValue($M65,Trigger),"--")</f>
        <v>--</v>
      </c>
      <c r="P65" s="144" t="b">
        <v>0</v>
      </c>
      <c r="Q65" s="144">
        <v>50</v>
      </c>
      <c r="R65" s="144">
        <v>1</v>
      </c>
      <c r="S65" s="146" t="str">
        <f>IFERROR(_xll.qlRateHelperEarliestDate(M65,Trigger),"--")</f>
        <v>--</v>
      </c>
      <c r="T65" s="146" t="str">
        <f>IFERROR(_xll.qlRateHelperPillarDate(M65,Trigger),"--")</f>
        <v>--</v>
      </c>
      <c r="V65" s="4" t="str">
        <f t="shared" si="4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5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241" t="e">
        <v>#N/A</v>
      </c>
    </row>
    <row r="66" spans="1:29" ht="11.25" customHeight="1" x14ac:dyDescent="0.2">
      <c r="A66" s="62" t="s">
        <v>26</v>
      </c>
      <c r="B66" s="63" t="s">
        <v>56</v>
      </c>
      <c r="C66" s="64" t="s">
        <v>6</v>
      </c>
      <c r="D66" s="64" t="s">
        <v>147</v>
      </c>
      <c r="E66" s="64" t="s">
        <v>7</v>
      </c>
      <c r="F66" s="64" t="s">
        <v>148</v>
      </c>
      <c r="G66" s="64" t="str">
        <f t="shared" si="24"/>
        <v>GbpLibor3M</v>
      </c>
      <c r="H66" s="62" t="str">
        <f t="shared" si="25"/>
        <v>GBPSM3L6Y_Quote</v>
      </c>
      <c r="I66" s="130">
        <v>0</v>
      </c>
      <c r="J66" s="67" t="str">
        <f>_xll.qlSwapRateHelper2(,H66,0,B66,Calendar,D66,E66,F66,G66,I66,C66,Discounting,PillarDate,,Permanent,Trigger,ObjectOverwrite)</f>
        <v>obj_002e9#0001</v>
      </c>
      <c r="L66" s="74" t="str">
        <f t="shared" si="22"/>
        <v>Sw</v>
      </c>
      <c r="M66" s="144" t="str">
        <f t="shared" si="23"/>
        <v>--</v>
      </c>
      <c r="N66" s="152" t="str">
        <f>IFERROR(_xll.qlRateHelperQuoteName(M66,Trigger),"--")</f>
        <v>--</v>
      </c>
      <c r="O66" s="145" t="str">
        <f>IFERROR(_xll.qlRateHelperQuoteValue($M66,Trigger),"--")</f>
        <v>--</v>
      </c>
      <c r="P66" s="144" t="b">
        <v>0</v>
      </c>
      <c r="Q66" s="144">
        <v>50</v>
      </c>
      <c r="R66" s="144">
        <v>1</v>
      </c>
      <c r="S66" s="146" t="str">
        <f>IFERROR(_xll.qlRateHelperEarliestDate(M66,Trigger),"--")</f>
        <v>--</v>
      </c>
      <c r="T66" s="146" t="str">
        <f>IFERROR(_xll.qlRateHelperPillarDate(M66,Trigger),"--")</f>
        <v>--</v>
      </c>
      <c r="V66" s="4" t="str">
        <f t="shared" si="4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5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241" t="e">
        <v>#N/A</v>
      </c>
    </row>
    <row r="67" spans="1:29" ht="11.25" customHeight="1" x14ac:dyDescent="0.2">
      <c r="A67" s="62" t="s">
        <v>26</v>
      </c>
      <c r="B67" s="63" t="s">
        <v>57</v>
      </c>
      <c r="C67" s="64" t="s">
        <v>6</v>
      </c>
      <c r="D67" s="64" t="s">
        <v>147</v>
      </c>
      <c r="E67" s="64" t="s">
        <v>7</v>
      </c>
      <c r="F67" s="64" t="s">
        <v>148</v>
      </c>
      <c r="G67" s="64" t="str">
        <f t="shared" si="24"/>
        <v>GbpLibor3M</v>
      </c>
      <c r="H67" s="62" t="str">
        <f t="shared" si="25"/>
        <v>GBPSM3L7Y_Quote</v>
      </c>
      <c r="I67" s="130">
        <v>0</v>
      </c>
      <c r="J67" s="67" t="str">
        <f>_xll.qlSwapRateHelper2(,H67,0,B67,Calendar,D67,E67,F67,G67,I67,C67,Discounting,PillarDate,,Permanent,Trigger,ObjectOverwrite)</f>
        <v>obj_002f6#0001</v>
      </c>
      <c r="L67" s="74" t="str">
        <f t="shared" si="22"/>
        <v>Sw</v>
      </c>
      <c r="M67" s="144" t="str">
        <f t="shared" si="23"/>
        <v>obj_002f7#0001</v>
      </c>
      <c r="N67" s="152" t="str">
        <f>IFERROR(_xll.qlRateHelperQuoteName(M67,Trigger),"--")</f>
        <v>GBPSM3L15Y_Quote</v>
      </c>
      <c r="O67" s="145">
        <f>IFERROR(_xll.qlRateHelperQuoteValue($M67,Trigger),"--")</f>
        <v>1.9700000000000002E-2</v>
      </c>
      <c r="P67" s="144" t="b">
        <v>1</v>
      </c>
      <c r="Q67" s="144">
        <v>50</v>
      </c>
      <c r="R67" s="144">
        <v>1</v>
      </c>
      <c r="S67" s="146">
        <f>IFERROR(_xll.qlRateHelperEarliestDate(M67,Trigger),"--")</f>
        <v>42275</v>
      </c>
      <c r="T67" s="146">
        <f>IFERROR(_xll.qlRateHelperPillarDate(M67,Trigger),"--")</f>
        <v>47756</v>
      </c>
      <c r="V67" s="4" t="str">
        <f t="shared" si="4"/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5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241" t="e">
        <v>#N/A</v>
      </c>
    </row>
    <row r="68" spans="1:29" ht="11.25" customHeight="1" x14ac:dyDescent="0.2">
      <c r="A68" s="62" t="s">
        <v>26</v>
      </c>
      <c r="B68" s="63" t="s">
        <v>58</v>
      </c>
      <c r="C68" s="64" t="s">
        <v>6</v>
      </c>
      <c r="D68" s="64" t="s">
        <v>147</v>
      </c>
      <c r="E68" s="64" t="s">
        <v>7</v>
      </c>
      <c r="F68" s="64" t="s">
        <v>148</v>
      </c>
      <c r="G68" s="64" t="str">
        <f t="shared" si="24"/>
        <v>GbpLibor3M</v>
      </c>
      <c r="H68" s="62" t="str">
        <f t="shared" si="25"/>
        <v>GBPSM3L8Y_Quote</v>
      </c>
      <c r="I68" s="130">
        <v>0</v>
      </c>
      <c r="J68" s="67" t="str">
        <f>_xll.qlSwapRateHelper2(,H68,0,B68,Calendar,D68,E68,F68,G68,I68,C68,Discounting,PillarDate,,Permanent,Trigger,ObjectOverwrite)</f>
        <v>obj_002f1#0001</v>
      </c>
      <c r="L68" s="74" t="str">
        <f t="shared" si="22"/>
        <v>Sw</v>
      </c>
      <c r="M68" s="144" t="str">
        <f t="shared" si="23"/>
        <v>--</v>
      </c>
      <c r="N68" s="152" t="str">
        <f>IFERROR(_xll.qlRateHelperQuoteName(M68,Trigger),"--")</f>
        <v>--</v>
      </c>
      <c r="O68" s="145" t="str">
        <f>IFERROR(_xll.qlRateHelperQuoteValue($M68,Trigger),"--")</f>
        <v>--</v>
      </c>
      <c r="P68" s="144" t="b">
        <v>0</v>
      </c>
      <c r="Q68" s="144">
        <v>50</v>
      </c>
      <c r="R68" s="144">
        <v>1</v>
      </c>
      <c r="S68" s="146" t="str">
        <f>IFERROR(_xll.qlRateHelperEarliestDate(M68,Trigger),"--")</f>
        <v>--</v>
      </c>
      <c r="T68" s="146" t="str">
        <f>IFERROR(_xll.qlRateHelperPillarDate(M68,Trigger),"--")</f>
        <v>--</v>
      </c>
      <c r="V68" s="4" t="str">
        <f t="shared" ref="V68:V130" si="26">IFERROR(INDEX($L$3:$L$130,MATCH(X68,$N$3:$N$130,0),1),"")</f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5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241" t="e">
        <v>#N/A</v>
      </c>
    </row>
    <row r="69" spans="1:29" ht="11.25" customHeight="1" x14ac:dyDescent="0.2">
      <c r="A69" s="62" t="s">
        <v>26</v>
      </c>
      <c r="B69" s="63" t="s">
        <v>59</v>
      </c>
      <c r="C69" s="64" t="s">
        <v>6</v>
      </c>
      <c r="D69" s="64" t="s">
        <v>147</v>
      </c>
      <c r="E69" s="64" t="s">
        <v>7</v>
      </c>
      <c r="F69" s="64" t="s">
        <v>148</v>
      </c>
      <c r="G69" s="64" t="str">
        <f t="shared" si="24"/>
        <v>GbpLibor3M</v>
      </c>
      <c r="H69" s="62" t="str">
        <f t="shared" si="25"/>
        <v>GBPSM3L9Y_Quote</v>
      </c>
      <c r="I69" s="130">
        <v>0</v>
      </c>
      <c r="J69" s="67" t="str">
        <f>_xll.qlSwapRateHelper2(,H69,0,B69,Calendar,D69,E69,F69,G69,I69,C69,Discounting,PillarDate,,Permanent,Trigger,ObjectOverwrite)</f>
        <v>obj_002f4#0001</v>
      </c>
      <c r="L69" s="74" t="str">
        <f t="shared" si="22"/>
        <v>Sw</v>
      </c>
      <c r="M69" s="144" t="str">
        <f t="shared" si="23"/>
        <v>--</v>
      </c>
      <c r="N69" s="152" t="str">
        <f>IFERROR(_xll.qlRateHelperQuoteName(M69,Trigger),"--")</f>
        <v>--</v>
      </c>
      <c r="O69" s="145" t="str">
        <f>IFERROR(_xll.qlRateHelperQuoteValue($M69,Trigger),"--")</f>
        <v>--</v>
      </c>
      <c r="P69" s="144" t="b">
        <v>0</v>
      </c>
      <c r="Q69" s="144">
        <v>50</v>
      </c>
      <c r="R69" s="144">
        <v>1</v>
      </c>
      <c r="S69" s="146" t="str">
        <f>IFERROR(_xll.qlRateHelperEarliestDate(M69,Trigger),"--")</f>
        <v>--</v>
      </c>
      <c r="T69" s="146" t="str">
        <f>IFERROR(_xll.qlRateHelperPillarDate(M69,Trigger),"--")</f>
        <v>--</v>
      </c>
      <c r="V69" s="4" t="str">
        <f t="shared" si="26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5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241" t="e">
        <v>#N/A</v>
      </c>
    </row>
    <row r="70" spans="1:29" ht="11.25" customHeight="1" x14ac:dyDescent="0.2">
      <c r="A70" s="62" t="s">
        <v>26</v>
      </c>
      <c r="B70" s="63" t="s">
        <v>60</v>
      </c>
      <c r="C70" s="64" t="s">
        <v>6</v>
      </c>
      <c r="D70" s="64" t="s">
        <v>147</v>
      </c>
      <c r="E70" s="64" t="s">
        <v>7</v>
      </c>
      <c r="F70" s="64" t="s">
        <v>148</v>
      </c>
      <c r="G70" s="64" t="str">
        <f t="shared" si="24"/>
        <v>GbpLibor3M</v>
      </c>
      <c r="H70" s="62" t="str">
        <f t="shared" si="25"/>
        <v>GBPSM3L10Y_Quote</v>
      </c>
      <c r="I70" s="130">
        <v>0</v>
      </c>
      <c r="J70" s="67" t="str">
        <f>_xll.qlSwapRateHelper2(,H70,0,B70,Calendar,D70,E70,F70,G70,I70,C70,Discounting,PillarDate,,Permanent,Trigger,ObjectOverwrite)</f>
        <v>obj_002f5#0001</v>
      </c>
      <c r="L70" s="74" t="str">
        <f t="shared" si="22"/>
        <v>Sw</v>
      </c>
      <c r="M70" s="144" t="str">
        <f t="shared" si="23"/>
        <v>--</v>
      </c>
      <c r="N70" s="152" t="str">
        <f>IFERROR(_xll.qlRateHelperQuoteName(M70,Trigger),"--")</f>
        <v>--</v>
      </c>
      <c r="O70" s="145" t="str">
        <f>IFERROR(_xll.qlRateHelperQuoteValue($M70,Trigger),"--")</f>
        <v>--</v>
      </c>
      <c r="P70" s="144" t="b">
        <v>0</v>
      </c>
      <c r="Q70" s="144">
        <v>50</v>
      </c>
      <c r="R70" s="144">
        <v>1</v>
      </c>
      <c r="S70" s="146" t="str">
        <f>IFERROR(_xll.qlRateHelperEarliestDate(M70,Trigger),"--")</f>
        <v>--</v>
      </c>
      <c r="T70" s="146" t="str">
        <f>IFERROR(_xll.qlRateHelperPillarDate(M70,Trigger),"--")</f>
        <v>--</v>
      </c>
      <c r="V70" s="4" t="str">
        <f t="shared" si="26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5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241" t="e">
        <v>#N/A</v>
      </c>
    </row>
    <row r="71" spans="1:29" ht="11.25" customHeight="1" x14ac:dyDescent="0.2">
      <c r="A71" s="62" t="s">
        <v>26</v>
      </c>
      <c r="B71" s="63" t="s">
        <v>102</v>
      </c>
      <c r="C71" s="64" t="s">
        <v>6</v>
      </c>
      <c r="D71" s="64" t="s">
        <v>147</v>
      </c>
      <c r="E71" s="64" t="s">
        <v>7</v>
      </c>
      <c r="F71" s="64" t="s">
        <v>148</v>
      </c>
      <c r="G71" s="64" t="str">
        <f t="shared" si="24"/>
        <v>GbpLibor3M</v>
      </c>
      <c r="H71" s="62" t="str">
        <f t="shared" si="25"/>
        <v>GBPSM3L11Y_Quote</v>
      </c>
      <c r="I71" s="130">
        <v>0</v>
      </c>
      <c r="J71" s="67"/>
      <c r="L71" s="74" t="str">
        <f t="shared" si="22"/>
        <v>Sw</v>
      </c>
      <c r="M71" s="144" t="str">
        <f t="shared" si="23"/>
        <v>--</v>
      </c>
      <c r="N71" s="152" t="str">
        <f>IFERROR(_xll.qlRateHelperQuoteName(M71,Trigger),"--")</f>
        <v>--</v>
      </c>
      <c r="O71" s="145" t="str">
        <f>IFERROR(_xll.qlRateHelperQuoteValue($M71,Trigger),"--")</f>
        <v>--</v>
      </c>
      <c r="P71" s="144" t="b">
        <v>0</v>
      </c>
      <c r="Q71" s="144">
        <v>50</v>
      </c>
      <c r="R71" s="144">
        <v>1</v>
      </c>
      <c r="S71" s="146" t="str">
        <f>IFERROR(_xll.qlRateHelperEarliestDate(M71,Trigger),"--")</f>
        <v>--</v>
      </c>
      <c r="T71" s="146" t="str">
        <f>IFERROR(_xll.qlRateHelperPillarDate(M71,Trigger),"--")</f>
        <v>--</v>
      </c>
      <c r="V71" s="4" t="str">
        <f t="shared" si="26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5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241" t="e">
        <v>#N/A</v>
      </c>
    </row>
    <row r="72" spans="1:29" ht="11.25" customHeight="1" x14ac:dyDescent="0.2">
      <c r="A72" s="62" t="s">
        <v>26</v>
      </c>
      <c r="B72" s="63" t="s">
        <v>61</v>
      </c>
      <c r="C72" s="64" t="s">
        <v>6</v>
      </c>
      <c r="D72" s="64" t="s">
        <v>147</v>
      </c>
      <c r="E72" s="64" t="s">
        <v>7</v>
      </c>
      <c r="F72" s="64" t="s">
        <v>148</v>
      </c>
      <c r="G72" s="64" t="str">
        <f t="shared" si="24"/>
        <v>GbpLibor3M</v>
      </c>
      <c r="H72" s="62" t="str">
        <f t="shared" si="25"/>
        <v>GBPSM3L12Y_Quote</v>
      </c>
      <c r="I72" s="130">
        <v>0</v>
      </c>
      <c r="J72" s="67" t="str">
        <f>_xll.qlSwapRateHelper2(,H72,0,B72,Calendar,D72,E72,F72,G72,I72,C72,Discounting,PillarDate,,Permanent,Trigger,ObjectOverwrite)</f>
        <v>obj_002ee#0001</v>
      </c>
      <c r="L72" s="74" t="str">
        <f t="shared" si="22"/>
        <v>Sw</v>
      </c>
      <c r="M72" s="144" t="str">
        <f t="shared" si="23"/>
        <v>obj_002f0#0001</v>
      </c>
      <c r="N72" s="152" t="str">
        <f>IFERROR(_xll.qlRateHelperQuoteName(M72,Trigger),"--")</f>
        <v>GBPSM3L20Y_Quote</v>
      </c>
      <c r="O72" s="145">
        <f>IFERROR(_xll.qlRateHelperQuoteValue($M72,Trigger),"--")</f>
        <v>2.0560000000000002E-2</v>
      </c>
      <c r="P72" s="144" t="b">
        <v>1</v>
      </c>
      <c r="Q72" s="144">
        <v>50</v>
      </c>
      <c r="R72" s="144">
        <v>1</v>
      </c>
      <c r="S72" s="146">
        <f>IFERROR(_xll.qlRateHelperEarliestDate(M72,Trigger),"--")</f>
        <v>42275</v>
      </c>
      <c r="T72" s="146">
        <f>IFERROR(_xll.qlRateHelperPillarDate(M72,Trigger),"--")</f>
        <v>49580</v>
      </c>
      <c r="V72" s="4" t="str">
        <f t="shared" si="26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5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241" t="e">
        <v>#N/A</v>
      </c>
    </row>
    <row r="73" spans="1:29" ht="11.25" customHeight="1" x14ac:dyDescent="0.2">
      <c r="A73" s="62" t="s">
        <v>26</v>
      </c>
      <c r="B73" s="63" t="s">
        <v>103</v>
      </c>
      <c r="C73" s="64" t="s">
        <v>6</v>
      </c>
      <c r="D73" s="64" t="s">
        <v>147</v>
      </c>
      <c r="E73" s="64" t="s">
        <v>7</v>
      </c>
      <c r="F73" s="64" t="s">
        <v>148</v>
      </c>
      <c r="G73" s="64" t="str">
        <f t="shared" si="24"/>
        <v>GbpLibor3M</v>
      </c>
      <c r="H73" s="62" t="str">
        <f t="shared" si="25"/>
        <v>GBPSM3L13Y_Quote</v>
      </c>
      <c r="I73" s="130">
        <v>0</v>
      </c>
      <c r="J73" s="67"/>
      <c r="L73" s="74" t="str">
        <f t="shared" si="22"/>
        <v>Sw</v>
      </c>
      <c r="M73" s="144" t="str">
        <f t="shared" si="23"/>
        <v>--</v>
      </c>
      <c r="N73" s="152" t="str">
        <f>IFERROR(_xll.qlRateHelperQuoteName(M73,Trigger),"--")</f>
        <v>--</v>
      </c>
      <c r="O73" s="145" t="str">
        <f>IFERROR(_xll.qlRateHelperQuoteValue($M73,Trigger),"--")</f>
        <v>--</v>
      </c>
      <c r="P73" s="144" t="b">
        <v>0</v>
      </c>
      <c r="Q73" s="144">
        <v>50</v>
      </c>
      <c r="R73" s="144">
        <v>1</v>
      </c>
      <c r="S73" s="146" t="str">
        <f>IFERROR(_xll.qlRateHelperEarliestDate(M73,Trigger),"--")</f>
        <v>--</v>
      </c>
      <c r="T73" s="146" t="str">
        <f>IFERROR(_xll.qlRateHelperPillarDate(M73,Trigger),"--")</f>
        <v>--</v>
      </c>
      <c r="V73" s="4" t="str">
        <f t="shared" si="26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5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241" t="e">
        <v>#N/A</v>
      </c>
    </row>
    <row r="74" spans="1:29" ht="11.25" customHeight="1" x14ac:dyDescent="0.2">
      <c r="A74" s="62" t="s">
        <v>26</v>
      </c>
      <c r="B74" s="63" t="s">
        <v>104</v>
      </c>
      <c r="C74" s="64" t="s">
        <v>6</v>
      </c>
      <c r="D74" s="64" t="s">
        <v>147</v>
      </c>
      <c r="E74" s="64" t="s">
        <v>7</v>
      </c>
      <c r="F74" s="64" t="s">
        <v>148</v>
      </c>
      <c r="G74" s="64" t="str">
        <f t="shared" si="24"/>
        <v>GbpLibor3M</v>
      </c>
      <c r="H74" s="62" t="str">
        <f t="shared" si="25"/>
        <v>GBPSM3L14Y_Quote</v>
      </c>
      <c r="I74" s="130">
        <v>0</v>
      </c>
      <c r="J74" s="67"/>
      <c r="L74" s="74" t="str">
        <f t="shared" si="22"/>
        <v>Sw</v>
      </c>
      <c r="M74" s="144" t="str">
        <f t="shared" si="23"/>
        <v>--</v>
      </c>
      <c r="N74" s="152" t="str">
        <f>IFERROR(_xll.qlRateHelperQuoteName(M74,Trigger),"--")</f>
        <v>--</v>
      </c>
      <c r="O74" s="145" t="str">
        <f>IFERROR(_xll.qlRateHelperQuoteValue($M74,Trigger),"--")</f>
        <v>--</v>
      </c>
      <c r="P74" s="144" t="b">
        <v>0</v>
      </c>
      <c r="Q74" s="144">
        <v>50</v>
      </c>
      <c r="R74" s="144">
        <v>1</v>
      </c>
      <c r="S74" s="146" t="str">
        <f>IFERROR(_xll.qlRateHelperEarliestDate(M74,Trigger),"--")</f>
        <v>--</v>
      </c>
      <c r="T74" s="146" t="str">
        <f>IFERROR(_xll.qlRateHelperPillarDate(M74,Trigger),"--")</f>
        <v>--</v>
      </c>
      <c r="V74" s="4" t="str">
        <f t="shared" si="26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5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241" t="e">
        <v>#N/A</v>
      </c>
    </row>
    <row r="75" spans="1:29" ht="11.25" customHeight="1" x14ac:dyDescent="0.2">
      <c r="A75" s="62" t="s">
        <v>26</v>
      </c>
      <c r="B75" s="63" t="s">
        <v>62</v>
      </c>
      <c r="C75" s="64" t="s">
        <v>6</v>
      </c>
      <c r="D75" s="64" t="s">
        <v>147</v>
      </c>
      <c r="E75" s="64" t="s">
        <v>7</v>
      </c>
      <c r="F75" s="64" t="s">
        <v>148</v>
      </c>
      <c r="G75" s="64" t="str">
        <f t="shared" si="24"/>
        <v>GbpLibor3M</v>
      </c>
      <c r="H75" s="62" t="str">
        <f t="shared" si="25"/>
        <v>GBPSM3L15Y_Quote</v>
      </c>
      <c r="I75" s="130">
        <v>0</v>
      </c>
      <c r="J75" s="67" t="str">
        <f>_xll.qlSwapRateHelper2(,H75,0,B75,Calendar,D75,E75,F75,G75,I75,C75,Discounting,PillarDate,,Permanent,Trigger,ObjectOverwrite)</f>
        <v>obj_002f7#0001</v>
      </c>
      <c r="L75" s="74" t="str">
        <f t="shared" si="22"/>
        <v>Sw</v>
      </c>
      <c r="M75" s="144" t="str">
        <f t="shared" si="23"/>
        <v>--</v>
      </c>
      <c r="N75" s="152" t="str">
        <f>IFERROR(_xll.qlRateHelperQuoteName(M75,Trigger),"--")</f>
        <v>--</v>
      </c>
      <c r="O75" s="145" t="str">
        <f>IFERROR(_xll.qlRateHelperQuoteValue($M75,Trigger),"--")</f>
        <v>--</v>
      </c>
      <c r="P75" s="144" t="b">
        <v>0</v>
      </c>
      <c r="Q75" s="144">
        <v>50</v>
      </c>
      <c r="R75" s="144">
        <v>1</v>
      </c>
      <c r="S75" s="146" t="str">
        <f>IFERROR(_xll.qlRateHelperEarliestDate(M75,Trigger),"--")</f>
        <v>--</v>
      </c>
      <c r="T75" s="146" t="str">
        <f>IFERROR(_xll.qlRateHelperPillarDate(M75,Trigger),"--")</f>
        <v>--</v>
      </c>
      <c r="V75" s="4" t="str">
        <f t="shared" si="26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5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241" t="e">
        <v>#N/A</v>
      </c>
    </row>
    <row r="76" spans="1:29" ht="11.25" customHeight="1" x14ac:dyDescent="0.2">
      <c r="A76" s="62" t="s">
        <v>26</v>
      </c>
      <c r="B76" s="63" t="s">
        <v>105</v>
      </c>
      <c r="C76" s="64" t="s">
        <v>6</v>
      </c>
      <c r="D76" s="64" t="s">
        <v>147</v>
      </c>
      <c r="E76" s="64" t="s">
        <v>7</v>
      </c>
      <c r="F76" s="64" t="s">
        <v>148</v>
      </c>
      <c r="G76" s="64" t="str">
        <f t="shared" si="24"/>
        <v>GbpLibor3M</v>
      </c>
      <c r="H76" s="62" t="str">
        <f t="shared" si="25"/>
        <v>GBPSM3L16Y_Quote</v>
      </c>
      <c r="I76" s="130">
        <v>0</v>
      </c>
      <c r="J76" s="67"/>
      <c r="L76" s="74" t="str">
        <f t="shared" si="22"/>
        <v>Sw</v>
      </c>
      <c r="M76" s="144" t="str">
        <f t="shared" si="23"/>
        <v>--</v>
      </c>
      <c r="N76" s="152" t="str">
        <f>IFERROR(_xll.qlRateHelperQuoteName(M76,Trigger),"--")</f>
        <v>--</v>
      </c>
      <c r="O76" s="145" t="str">
        <f>IFERROR(_xll.qlRateHelperQuoteValue($M76,Trigger),"--")</f>
        <v>--</v>
      </c>
      <c r="P76" s="144" t="b">
        <v>0</v>
      </c>
      <c r="Q76" s="144">
        <v>50</v>
      </c>
      <c r="R76" s="144">
        <v>1</v>
      </c>
      <c r="S76" s="146" t="str">
        <f>IFERROR(_xll.qlRateHelperEarliestDate(M76,Trigger),"--")</f>
        <v>--</v>
      </c>
      <c r="T76" s="146" t="str">
        <f>IFERROR(_xll.qlRateHelperPillarDate(M76,Trigger),"--")</f>
        <v>--</v>
      </c>
      <c r="V76" s="4" t="str">
        <f t="shared" si="26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5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241" t="e">
        <v>#N/A</v>
      </c>
    </row>
    <row r="77" spans="1:29" ht="11.25" customHeight="1" x14ac:dyDescent="0.2">
      <c r="A77" s="62" t="s">
        <v>26</v>
      </c>
      <c r="B77" s="63" t="s">
        <v>106</v>
      </c>
      <c r="C77" s="64" t="s">
        <v>6</v>
      </c>
      <c r="D77" s="64" t="s">
        <v>147</v>
      </c>
      <c r="E77" s="64" t="s">
        <v>7</v>
      </c>
      <c r="F77" s="64" t="s">
        <v>148</v>
      </c>
      <c r="G77" s="64" t="str">
        <f t="shared" si="24"/>
        <v>GbpLibor3M</v>
      </c>
      <c r="H77" s="62" t="str">
        <f t="shared" si="25"/>
        <v>GBPSM3L17Y_Quote</v>
      </c>
      <c r="I77" s="130">
        <v>0</v>
      </c>
      <c r="J77" s="67"/>
      <c r="L77" s="74" t="str">
        <f t="shared" si="22"/>
        <v>Sw</v>
      </c>
      <c r="M77" s="144" t="str">
        <f t="shared" si="23"/>
        <v>obj_002ea#0001</v>
      </c>
      <c r="N77" s="152" t="str">
        <f>IFERROR(_xll.qlRateHelperQuoteName(M77,Trigger),"--")</f>
        <v>GBPSM3L25Y_Quote</v>
      </c>
      <c r="O77" s="145">
        <f>IFERROR(_xll.qlRateHelperQuoteValue($M77,Trigger),"--")</f>
        <v>2.0750000000000001E-2</v>
      </c>
      <c r="P77" s="144" t="b">
        <v>1</v>
      </c>
      <c r="Q77" s="144">
        <v>50</v>
      </c>
      <c r="R77" s="144">
        <v>1</v>
      </c>
      <c r="S77" s="146">
        <f>IFERROR(_xll.qlRateHelperEarliestDate(M77,Trigger),"--")</f>
        <v>42275</v>
      </c>
      <c r="T77" s="146">
        <f>IFERROR(_xll.qlRateHelperPillarDate(M77,Trigger),"--")</f>
        <v>51407</v>
      </c>
      <c r="V77" s="4" t="str">
        <f t="shared" si="26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5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241" t="e">
        <v>#N/A</v>
      </c>
    </row>
    <row r="78" spans="1:29" ht="11.25" customHeight="1" x14ac:dyDescent="0.2">
      <c r="A78" s="62" t="s">
        <v>26</v>
      </c>
      <c r="B78" s="63" t="s">
        <v>107</v>
      </c>
      <c r="C78" s="64" t="s">
        <v>6</v>
      </c>
      <c r="D78" s="64" t="s">
        <v>147</v>
      </c>
      <c r="E78" s="64" t="s">
        <v>7</v>
      </c>
      <c r="F78" s="64" t="s">
        <v>148</v>
      </c>
      <c r="G78" s="64" t="str">
        <f t="shared" si="24"/>
        <v>GbpLibor3M</v>
      </c>
      <c r="H78" s="62" t="str">
        <f t="shared" si="25"/>
        <v>GBPSM3L18Y_Quote</v>
      </c>
      <c r="I78" s="130">
        <v>0</v>
      </c>
      <c r="J78" s="67"/>
      <c r="L78" s="74" t="str">
        <f t="shared" si="22"/>
        <v>Sw</v>
      </c>
      <c r="M78" s="144" t="str">
        <f t="shared" si="23"/>
        <v>--</v>
      </c>
      <c r="N78" s="152" t="str">
        <f>IFERROR(_xll.qlRateHelperQuoteName(M78,Trigger),"--")</f>
        <v>--</v>
      </c>
      <c r="O78" s="145" t="str">
        <f>IFERROR(_xll.qlRateHelperQuoteValue($M78,Trigger),"--")</f>
        <v>--</v>
      </c>
      <c r="P78" s="144" t="b">
        <v>0</v>
      </c>
      <c r="Q78" s="144">
        <v>50</v>
      </c>
      <c r="R78" s="144">
        <v>1</v>
      </c>
      <c r="S78" s="146" t="str">
        <f>IFERROR(_xll.qlRateHelperEarliestDate(M78,Trigger),"--")</f>
        <v>--</v>
      </c>
      <c r="T78" s="146" t="str">
        <f>IFERROR(_xll.qlRateHelperPillarDate(M78,Trigger),"--")</f>
        <v>--</v>
      </c>
      <c r="V78" s="4" t="str">
        <f t="shared" si="26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5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241" t="e">
        <v>#N/A</v>
      </c>
    </row>
    <row r="79" spans="1:29" ht="11.25" customHeight="1" x14ac:dyDescent="0.2">
      <c r="A79" s="62" t="s">
        <v>26</v>
      </c>
      <c r="B79" s="63" t="s">
        <v>108</v>
      </c>
      <c r="C79" s="64" t="s">
        <v>6</v>
      </c>
      <c r="D79" s="64" t="s">
        <v>147</v>
      </c>
      <c r="E79" s="64" t="s">
        <v>7</v>
      </c>
      <c r="F79" s="64" t="s">
        <v>148</v>
      </c>
      <c r="G79" s="64" t="str">
        <f t="shared" si="24"/>
        <v>GbpLibor3M</v>
      </c>
      <c r="H79" s="62" t="str">
        <f t="shared" si="25"/>
        <v>GBPSM3L19Y_Quote</v>
      </c>
      <c r="I79" s="130">
        <v>0</v>
      </c>
      <c r="J79" s="67"/>
      <c r="L79" s="74" t="str">
        <f t="shared" si="22"/>
        <v>Sw</v>
      </c>
      <c r="M79" s="144" t="str">
        <f t="shared" si="23"/>
        <v>--</v>
      </c>
      <c r="N79" s="152" t="str">
        <f>IFERROR(_xll.qlRateHelperQuoteName(M79,Trigger),"--")</f>
        <v>--</v>
      </c>
      <c r="O79" s="145" t="str">
        <f>IFERROR(_xll.qlRateHelperQuoteValue($M79,Trigger),"--")</f>
        <v>--</v>
      </c>
      <c r="P79" s="144" t="b">
        <v>0</v>
      </c>
      <c r="Q79" s="144">
        <v>50</v>
      </c>
      <c r="R79" s="144">
        <v>1</v>
      </c>
      <c r="S79" s="146" t="str">
        <f>IFERROR(_xll.qlRateHelperEarliestDate(M79,Trigger),"--")</f>
        <v>--</v>
      </c>
      <c r="T79" s="146" t="str">
        <f>IFERROR(_xll.qlRateHelperPillarDate(M79,Trigger),"--")</f>
        <v>--</v>
      </c>
      <c r="V79" s="4" t="str">
        <f t="shared" si="26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5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241" t="e">
        <v>#N/A</v>
      </c>
    </row>
    <row r="80" spans="1:29" ht="11.25" customHeight="1" x14ac:dyDescent="0.2">
      <c r="A80" s="62" t="s">
        <v>26</v>
      </c>
      <c r="B80" s="63" t="s">
        <v>63</v>
      </c>
      <c r="C80" s="64" t="s">
        <v>6</v>
      </c>
      <c r="D80" s="64" t="s">
        <v>147</v>
      </c>
      <c r="E80" s="64" t="s">
        <v>7</v>
      </c>
      <c r="F80" s="64" t="s">
        <v>148</v>
      </c>
      <c r="G80" s="64" t="str">
        <f t="shared" si="24"/>
        <v>GbpLibor3M</v>
      </c>
      <c r="H80" s="62" t="str">
        <f t="shared" si="25"/>
        <v>GBPSM3L20Y_Quote</v>
      </c>
      <c r="I80" s="130">
        <v>0</v>
      </c>
      <c r="J80" s="67" t="str">
        <f>_xll.qlSwapRateHelper2(,H80,0,B80,Calendar,D80,E80,F80,G80,I80,C80,Discounting,PillarDate,,Permanent,Trigger,ObjectOverwrite)</f>
        <v>obj_002f0#0001</v>
      </c>
      <c r="L80" s="74" t="str">
        <f t="shared" si="22"/>
        <v>Sw</v>
      </c>
      <c r="M80" s="144" t="str">
        <f t="shared" si="23"/>
        <v>--</v>
      </c>
      <c r="N80" s="152" t="str">
        <f>IFERROR(_xll.qlRateHelperQuoteName(M80,Trigger),"--")</f>
        <v>--</v>
      </c>
      <c r="O80" s="145" t="str">
        <f>IFERROR(_xll.qlRateHelperQuoteValue($M80,Trigger),"--")</f>
        <v>--</v>
      </c>
      <c r="P80" s="144" t="b">
        <v>0</v>
      </c>
      <c r="Q80" s="144">
        <v>50</v>
      </c>
      <c r="R80" s="144">
        <v>1</v>
      </c>
      <c r="S80" s="146" t="str">
        <f>IFERROR(_xll.qlRateHelperEarliestDate(M80,Trigger),"--")</f>
        <v>--</v>
      </c>
      <c r="T80" s="146" t="str">
        <f>IFERROR(_xll.qlRateHelperPillarDate(M80,Trigger),"--")</f>
        <v>--</v>
      </c>
      <c r="V80" s="4" t="str">
        <f t="shared" si="26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5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241" t="e">
        <v>#N/A</v>
      </c>
    </row>
    <row r="81" spans="1:29" x14ac:dyDescent="0.2">
      <c r="A81" s="62" t="s">
        <v>26</v>
      </c>
      <c r="B81" s="63" t="s">
        <v>109</v>
      </c>
      <c r="C81" s="64" t="s">
        <v>6</v>
      </c>
      <c r="D81" s="64" t="s">
        <v>147</v>
      </c>
      <c r="E81" s="64" t="s">
        <v>7</v>
      </c>
      <c r="F81" s="64" t="s">
        <v>148</v>
      </c>
      <c r="G81" s="64" t="str">
        <f t="shared" si="24"/>
        <v>GbpLibor3M</v>
      </c>
      <c r="H81" s="62" t="str">
        <f t="shared" si="25"/>
        <v>GBPSM3L21Y_Quote</v>
      </c>
      <c r="I81" s="130">
        <v>0</v>
      </c>
      <c r="J81" s="67"/>
      <c r="L81" s="74" t="str">
        <f t="shared" si="22"/>
        <v>Sw</v>
      </c>
      <c r="M81" s="144" t="str">
        <f t="shared" si="23"/>
        <v>--</v>
      </c>
      <c r="N81" s="152" t="str">
        <f>IFERROR(_xll.qlRateHelperQuoteName(M81,Trigger),"--")</f>
        <v>--</v>
      </c>
      <c r="O81" s="145" t="str">
        <f>IFERROR(_xll.qlRateHelperQuoteValue($M81,Trigger),"--")</f>
        <v>--</v>
      </c>
      <c r="P81" s="144" t="b">
        <v>0</v>
      </c>
      <c r="Q81" s="144">
        <v>50</v>
      </c>
      <c r="R81" s="144">
        <v>1</v>
      </c>
      <c r="S81" s="146" t="str">
        <f>IFERROR(_xll.qlRateHelperEarliestDate(M81,Trigger),"--")</f>
        <v>--</v>
      </c>
      <c r="T81" s="146" t="str">
        <f>IFERROR(_xll.qlRateHelperPillarDate(M81,Trigger),"--")</f>
        <v>--</v>
      </c>
      <c r="V81" s="4" t="str">
        <f t="shared" si="26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5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241" t="e">
        <v>#N/A</v>
      </c>
    </row>
    <row r="82" spans="1:29" x14ac:dyDescent="0.2">
      <c r="A82" s="62" t="s">
        <v>26</v>
      </c>
      <c r="B82" s="63" t="s">
        <v>110</v>
      </c>
      <c r="C82" s="64" t="s">
        <v>6</v>
      </c>
      <c r="D82" s="64" t="s">
        <v>147</v>
      </c>
      <c r="E82" s="64" t="s">
        <v>7</v>
      </c>
      <c r="F82" s="64" t="s">
        <v>148</v>
      </c>
      <c r="G82" s="64" t="str">
        <f t="shared" si="24"/>
        <v>GbpLibor3M</v>
      </c>
      <c r="H82" s="62" t="str">
        <f t="shared" si="25"/>
        <v>GBPSM3L22Y_Quote</v>
      </c>
      <c r="I82" s="130">
        <v>0</v>
      </c>
      <c r="J82" s="67"/>
      <c r="L82" s="74" t="str">
        <f t="shared" si="22"/>
        <v>Sw</v>
      </c>
      <c r="M82" s="144" t="str">
        <f t="shared" si="23"/>
        <v>obj_002f8#0001</v>
      </c>
      <c r="N82" s="152" t="str">
        <f>IFERROR(_xll.qlRateHelperQuoteName(M82,Trigger),"--")</f>
        <v>GBPSM3L30Y_Quote</v>
      </c>
      <c r="O82" s="145">
        <f>IFERROR(_xll.qlRateHelperQuoteValue($M82,Trigger),"--")</f>
        <v>2.078E-2</v>
      </c>
      <c r="P82" s="144" t="b">
        <v>1</v>
      </c>
      <c r="Q82" s="144">
        <v>50</v>
      </c>
      <c r="R82" s="144">
        <v>1</v>
      </c>
      <c r="S82" s="146">
        <f>IFERROR(_xll.qlRateHelperEarliestDate(M82,Trigger),"--")</f>
        <v>42275</v>
      </c>
      <c r="T82" s="146">
        <f>IFERROR(_xll.qlRateHelperPillarDate(M82,Trigger),"--")</f>
        <v>53233</v>
      </c>
      <c r="V82" s="4" t="str">
        <f t="shared" si="26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5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241" t="e">
        <v>#N/A</v>
      </c>
    </row>
    <row r="83" spans="1:29" x14ac:dyDescent="0.2">
      <c r="A83" s="62" t="s">
        <v>26</v>
      </c>
      <c r="B83" s="63" t="s">
        <v>111</v>
      </c>
      <c r="C83" s="64" t="s">
        <v>6</v>
      </c>
      <c r="D83" s="64" t="s">
        <v>147</v>
      </c>
      <c r="E83" s="64" t="s">
        <v>7</v>
      </c>
      <c r="F83" s="64" t="s">
        <v>148</v>
      </c>
      <c r="G83" s="64" t="str">
        <f t="shared" si="24"/>
        <v>GbpLibor3M</v>
      </c>
      <c r="H83" s="62" t="str">
        <f t="shared" si="25"/>
        <v>GBPSM3L23Y_Quote</v>
      </c>
      <c r="I83" s="130">
        <v>0</v>
      </c>
      <c r="J83" s="67"/>
      <c r="L83" s="74" t="str">
        <f t="shared" si="22"/>
        <v>Sw</v>
      </c>
      <c r="M83" s="144" t="str">
        <f t="shared" si="23"/>
        <v>--</v>
      </c>
      <c r="N83" s="152" t="str">
        <f>IFERROR(_xll.qlRateHelperQuoteName(M83,Trigger),"--")</f>
        <v>--</v>
      </c>
      <c r="O83" s="145" t="str">
        <f>IFERROR(_xll.qlRateHelperQuoteValue($M83,Trigger),"--")</f>
        <v>--</v>
      </c>
      <c r="P83" s="144" t="b">
        <v>0</v>
      </c>
      <c r="Q83" s="144">
        <v>50</v>
      </c>
      <c r="R83" s="144">
        <v>1</v>
      </c>
      <c r="S83" s="146" t="str">
        <f>IFERROR(_xll.qlRateHelperEarliestDate(M83,Trigger),"--")</f>
        <v>--</v>
      </c>
      <c r="T83" s="146" t="str">
        <f>IFERROR(_xll.qlRateHelperPillarDate(M83,Trigger),"--")</f>
        <v>--</v>
      </c>
      <c r="V83" s="4" t="str">
        <f t="shared" si="26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5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241" t="e">
        <v>#N/A</v>
      </c>
    </row>
    <row r="84" spans="1:29" x14ac:dyDescent="0.2">
      <c r="A84" s="62" t="s">
        <v>26</v>
      </c>
      <c r="B84" s="63" t="s">
        <v>112</v>
      </c>
      <c r="C84" s="64" t="s">
        <v>6</v>
      </c>
      <c r="D84" s="64" t="s">
        <v>147</v>
      </c>
      <c r="E84" s="64" t="s">
        <v>7</v>
      </c>
      <c r="F84" s="64" t="s">
        <v>148</v>
      </c>
      <c r="G84" s="64" t="str">
        <f t="shared" si="24"/>
        <v>GbpLibor3M</v>
      </c>
      <c r="H84" s="62" t="str">
        <f t="shared" si="25"/>
        <v>GBPSM3L24Y_Quote</v>
      </c>
      <c r="I84" s="130">
        <v>0</v>
      </c>
      <c r="J84" s="67"/>
      <c r="L84" s="74" t="str">
        <f t="shared" si="22"/>
        <v>Sw</v>
      </c>
      <c r="M84" s="144" t="str">
        <f t="shared" si="23"/>
        <v>obj_002f2#0001</v>
      </c>
      <c r="N84" s="152" t="str">
        <f>IFERROR(_xll.qlRateHelperQuoteName(M84,Trigger),"--")</f>
        <v>GBPSM3L40Y_Quote</v>
      </c>
      <c r="O84" s="145">
        <f>IFERROR(_xll.qlRateHelperQuoteValue($M84,Trigger),"--")</f>
        <v>2.0390000000000002E-2</v>
      </c>
      <c r="P84" s="144" t="b">
        <v>1</v>
      </c>
      <c r="Q84" s="144">
        <v>50</v>
      </c>
      <c r="R84" s="144">
        <v>1</v>
      </c>
      <c r="S84" s="146">
        <f>IFERROR(_xll.qlRateHelperEarliestDate(M84,Trigger),"--")</f>
        <v>42275</v>
      </c>
      <c r="T84" s="146">
        <f>IFERROR(_xll.qlRateHelperPillarDate(M84,Trigger),"--")</f>
        <v>56885</v>
      </c>
      <c r="V84" s="4" t="str">
        <f t="shared" si="26"/>
        <v/>
      </c>
      <c r="W84" s="4" t="e">
        <v>#N/A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5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241" t="e">
        <v>#N/A</v>
      </c>
    </row>
    <row r="85" spans="1:29" x14ac:dyDescent="0.2">
      <c r="A85" s="62" t="s">
        <v>26</v>
      </c>
      <c r="B85" s="63" t="s">
        <v>64</v>
      </c>
      <c r="C85" s="64" t="s">
        <v>6</v>
      </c>
      <c r="D85" s="64" t="s">
        <v>147</v>
      </c>
      <c r="E85" s="64" t="s">
        <v>7</v>
      </c>
      <c r="F85" s="64" t="s">
        <v>148</v>
      </c>
      <c r="G85" s="64" t="str">
        <f t="shared" si="24"/>
        <v>GbpLibor3M</v>
      </c>
      <c r="H85" s="62" t="str">
        <f t="shared" si="25"/>
        <v>GBPSM3L25Y_Quote</v>
      </c>
      <c r="I85" s="130">
        <v>0</v>
      </c>
      <c r="J85" s="67" t="str">
        <f>_xll.qlSwapRateHelper2(,H85,0,B85,Calendar,D85,E85,F85,G85,I85,C85,Discounting,PillarDate,,Permanent,Trigger,ObjectOverwrite)</f>
        <v>obj_002ea#0001</v>
      </c>
      <c r="L85" s="74" t="str">
        <f t="shared" si="22"/>
        <v>Sw</v>
      </c>
      <c r="M85" s="144" t="str">
        <f t="shared" si="23"/>
        <v>obj_002eb#0001</v>
      </c>
      <c r="N85" s="152" t="str">
        <f>IFERROR(_xll.qlRateHelperQuoteName(M85,Trigger),"--")</f>
        <v>GBPSM3L50Y_Quote</v>
      </c>
      <c r="O85" s="145">
        <f>IFERROR(_xll.qlRateHelperQuoteValue($M85,Trigger),"--")</f>
        <v>0.02</v>
      </c>
      <c r="P85" s="144" t="b">
        <v>1</v>
      </c>
      <c r="Q85" s="144">
        <v>50</v>
      </c>
      <c r="R85" s="144">
        <v>1</v>
      </c>
      <c r="S85" s="146">
        <f>IFERROR(_xll.qlRateHelperEarliestDate(M85,Trigger),"--")</f>
        <v>42275</v>
      </c>
      <c r="T85" s="146">
        <f>IFERROR(_xll.qlRateHelperPillarDate(M85,Trigger),"--")</f>
        <v>60538</v>
      </c>
      <c r="V85" s="4" t="str">
        <f t="shared" si="26"/>
        <v/>
      </c>
      <c r="W85" s="4" t="e">
        <v>#N/A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5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241" t="e">
        <v>#N/A</v>
      </c>
    </row>
    <row r="86" spans="1:29" x14ac:dyDescent="0.2">
      <c r="A86" s="62" t="s">
        <v>26</v>
      </c>
      <c r="B86" s="63" t="s">
        <v>113</v>
      </c>
      <c r="C86" s="64" t="s">
        <v>6</v>
      </c>
      <c r="D86" s="64" t="s">
        <v>147</v>
      </c>
      <c r="E86" s="64" t="s">
        <v>7</v>
      </c>
      <c r="F86" s="64" t="s">
        <v>148</v>
      </c>
      <c r="G86" s="64" t="str">
        <f t="shared" si="24"/>
        <v>GbpLibor3M</v>
      </c>
      <c r="H86" s="62" t="str">
        <f t="shared" si="25"/>
        <v>GBPSM3L26Y_Quote</v>
      </c>
      <c r="I86" s="130">
        <v>0</v>
      </c>
      <c r="J86" s="67"/>
      <c r="L86" s="75" t="str">
        <f t="shared" si="22"/>
        <v>Sw</v>
      </c>
      <c r="M86" s="147" t="str">
        <f t="shared" si="23"/>
        <v>obj_002f3#0001</v>
      </c>
      <c r="N86" s="152" t="str">
        <f>IFERROR(_xll.qlRateHelperQuoteName(M86,Trigger),"--")</f>
        <v>GBPSM3L60Y_Quote</v>
      </c>
      <c r="O86" s="158">
        <f>IFERROR(_xll.qlRateHelperQuoteValue($M86,Trigger),"--")</f>
        <v>1.9969999999999998E-2</v>
      </c>
      <c r="P86" s="147" t="b">
        <v>1</v>
      </c>
      <c r="Q86" s="147">
        <v>50</v>
      </c>
      <c r="R86" s="147">
        <v>1</v>
      </c>
      <c r="S86" s="146">
        <f>IFERROR(_xll.qlRateHelperEarliestDate(M86,Trigger),"--")</f>
        <v>42275</v>
      </c>
      <c r="T86" s="146">
        <f>IFERROR(_xll.qlRateHelperPillarDate(M86,Trigger),"--")</f>
        <v>64192</v>
      </c>
      <c r="V86" s="4" t="str">
        <f t="shared" si="26"/>
        <v/>
      </c>
      <c r="W86" s="4" t="e">
        <v>#N/A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5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241" t="e">
        <v>#N/A</v>
      </c>
    </row>
    <row r="87" spans="1:29" x14ac:dyDescent="0.2">
      <c r="A87" s="62" t="s">
        <v>26</v>
      </c>
      <c r="B87" s="63" t="s">
        <v>65</v>
      </c>
      <c r="C87" s="64" t="s">
        <v>6</v>
      </c>
      <c r="D87" s="64" t="s">
        <v>147</v>
      </c>
      <c r="E87" s="64" t="s">
        <v>7</v>
      </c>
      <c r="F87" s="64" t="s">
        <v>148</v>
      </c>
      <c r="G87" s="64" t="str">
        <f t="shared" si="24"/>
        <v>GbpLibor3M</v>
      </c>
      <c r="H87" s="62" t="str">
        <f t="shared" si="25"/>
        <v>GBPSM3L27Y_Quote</v>
      </c>
      <c r="I87" s="130">
        <v>0</v>
      </c>
      <c r="J87" s="67"/>
      <c r="L87" s="138" t="str">
        <f t="shared" ref="L87:L93" si="27">A97</f>
        <v>Sw</v>
      </c>
      <c r="M87" s="140" t="str">
        <f t="shared" ref="M87:M93" si="28">IF(ISBLANK(J97),"--",J97)</f>
        <v>--</v>
      </c>
      <c r="N87" s="151" t="str">
        <f>IFERROR(_xll.qlRateHelperQuoteName(M87,Trigger),"--")</f>
        <v>--</v>
      </c>
      <c r="O87" s="141" t="str">
        <f>IFERROR(_xll.qlRateHelperQuoteValue($M87,Trigger),"--")</f>
        <v>--</v>
      </c>
      <c r="P87" s="140" t="b">
        <v>0</v>
      </c>
      <c r="Q87" s="140">
        <v>40</v>
      </c>
      <c r="R87" s="140">
        <v>1</v>
      </c>
      <c r="S87" s="142" t="str">
        <f>IFERROR(_xll.qlRateHelperEarliestDate(M87,Trigger),"--")</f>
        <v>--</v>
      </c>
      <c r="T87" s="142" t="str">
        <f>IFERROR(_xll.qlRateHelperPillarDate(M87,Trigger),"--")</f>
        <v>--</v>
      </c>
      <c r="V87" s="4" t="str">
        <f t="shared" si="26"/>
        <v/>
      </c>
      <c r="W87" s="4" t="e">
        <v>#N/A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5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241" t="e">
        <v>#N/A</v>
      </c>
    </row>
    <row r="88" spans="1:29" x14ac:dyDescent="0.2">
      <c r="A88" s="62" t="s">
        <v>26</v>
      </c>
      <c r="B88" s="63" t="s">
        <v>114</v>
      </c>
      <c r="C88" s="64" t="s">
        <v>6</v>
      </c>
      <c r="D88" s="64" t="s">
        <v>147</v>
      </c>
      <c r="E88" s="64" t="s">
        <v>7</v>
      </c>
      <c r="F88" s="64" t="s">
        <v>148</v>
      </c>
      <c r="G88" s="64" t="str">
        <f t="shared" si="24"/>
        <v>GbpLibor3M</v>
      </c>
      <c r="H88" s="62" t="str">
        <f t="shared" si="25"/>
        <v>GBPSM3L28Y_Quote</v>
      </c>
      <c r="I88" s="130">
        <v>0</v>
      </c>
      <c r="J88" s="67"/>
      <c r="L88" s="74" t="str">
        <f t="shared" si="27"/>
        <v>Sw</v>
      </c>
      <c r="M88" s="144" t="str">
        <f t="shared" si="28"/>
        <v>--</v>
      </c>
      <c r="N88" s="152" t="str">
        <f>IFERROR(_xll.qlRateHelperQuoteName(M88,Trigger),"--")</f>
        <v>--</v>
      </c>
      <c r="O88" s="145" t="str">
        <f>IFERROR(_xll.qlRateHelperQuoteValue($M88,Trigger),"--")</f>
        <v>--</v>
      </c>
      <c r="P88" s="144" t="b">
        <v>0</v>
      </c>
      <c r="Q88" s="144">
        <v>40</v>
      </c>
      <c r="R88" s="144">
        <v>1</v>
      </c>
      <c r="S88" s="146" t="str">
        <f>IFERROR(_xll.qlRateHelperEarliestDate(M88,Trigger),"--")</f>
        <v>--</v>
      </c>
      <c r="T88" s="146" t="str">
        <f>IFERROR(_xll.qlRateHelperPillarDate(M88,Trigger),"--")</f>
        <v>--</v>
      </c>
      <c r="V88" s="4" t="str">
        <f t="shared" si="26"/>
        <v/>
      </c>
      <c r="W88" s="4" t="e">
        <v>#N/A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5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241" t="e">
        <v>#N/A</v>
      </c>
    </row>
    <row r="89" spans="1:29" x14ac:dyDescent="0.2">
      <c r="A89" s="62" t="s">
        <v>26</v>
      </c>
      <c r="B89" s="63" t="s">
        <v>115</v>
      </c>
      <c r="C89" s="64" t="s">
        <v>6</v>
      </c>
      <c r="D89" s="64" t="s">
        <v>147</v>
      </c>
      <c r="E89" s="64" t="s">
        <v>7</v>
      </c>
      <c r="F89" s="64" t="s">
        <v>148</v>
      </c>
      <c r="G89" s="64" t="str">
        <f t="shared" si="24"/>
        <v>GbpLibor3M</v>
      </c>
      <c r="H89" s="62" t="str">
        <f t="shared" si="25"/>
        <v>GBPSM3L29Y_Quote</v>
      </c>
      <c r="I89" s="130">
        <v>0</v>
      </c>
      <c r="J89" s="67"/>
      <c r="L89" s="74" t="str">
        <f t="shared" si="27"/>
        <v>Sw</v>
      </c>
      <c r="M89" s="144" t="str">
        <f t="shared" si="28"/>
        <v>--</v>
      </c>
      <c r="N89" s="152" t="str">
        <f>IFERROR(_xll.qlRateHelperQuoteName(M89,Trigger),"--")</f>
        <v>--</v>
      </c>
      <c r="O89" s="145" t="str">
        <f>IFERROR(_xll.qlRateHelperQuoteValue($M89,Trigger),"--")</f>
        <v>--</v>
      </c>
      <c r="P89" s="144" t="b">
        <v>0</v>
      </c>
      <c r="Q89" s="144">
        <v>40</v>
      </c>
      <c r="R89" s="144">
        <v>1</v>
      </c>
      <c r="S89" s="146" t="str">
        <f>IFERROR(_xll.qlRateHelperEarliestDate(M89,Trigger),"--")</f>
        <v>--</v>
      </c>
      <c r="T89" s="146" t="str">
        <f>IFERROR(_xll.qlRateHelperPillarDate(M89,Trigger),"--")</f>
        <v>--</v>
      </c>
      <c r="V89" s="4" t="str">
        <f t="shared" si="26"/>
        <v/>
      </c>
      <c r="W89" s="4" t="e">
        <v>#N/A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5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241" t="e">
        <v>#N/A</v>
      </c>
    </row>
    <row r="90" spans="1:29" x14ac:dyDescent="0.2">
      <c r="A90" s="62" t="s">
        <v>26</v>
      </c>
      <c r="B90" s="63" t="s">
        <v>66</v>
      </c>
      <c r="C90" s="64" t="s">
        <v>6</v>
      </c>
      <c r="D90" s="64" t="s">
        <v>147</v>
      </c>
      <c r="E90" s="64" t="s">
        <v>7</v>
      </c>
      <c r="F90" s="64" t="s">
        <v>148</v>
      </c>
      <c r="G90" s="64" t="str">
        <f t="shared" si="24"/>
        <v>GbpLibor3M</v>
      </c>
      <c r="H90" s="62" t="str">
        <f t="shared" si="25"/>
        <v>GBPSM3L30Y_Quote</v>
      </c>
      <c r="I90" s="130">
        <v>0</v>
      </c>
      <c r="J90" s="67" t="str">
        <f>_xll.qlSwapRateHelper2(,H90,0,B90,Calendar,D90,E90,F90,G90,I90,C90,Discounting,PillarDate,,Permanent,Trigger,ObjectOverwrite)</f>
        <v>obj_002f8#0001</v>
      </c>
      <c r="K90" s="49" t="s">
        <v>36</v>
      </c>
      <c r="L90" s="74" t="str">
        <f t="shared" si="27"/>
        <v>Sw</v>
      </c>
      <c r="M90" s="144" t="str">
        <f t="shared" si="28"/>
        <v>--</v>
      </c>
      <c r="N90" s="152" t="str">
        <f>IFERROR(_xll.qlRateHelperQuoteName(M90,Trigger),"--")</f>
        <v>--</v>
      </c>
      <c r="O90" s="145" t="str">
        <f>IFERROR(_xll.qlRateHelperQuoteValue($M90,Trigger),"--")</f>
        <v>--</v>
      </c>
      <c r="P90" s="144" t="b">
        <v>0</v>
      </c>
      <c r="Q90" s="144">
        <v>40</v>
      </c>
      <c r="R90" s="144">
        <v>1</v>
      </c>
      <c r="S90" s="146" t="str">
        <f>IFERROR(_xll.qlRateHelperEarliestDate(M90,Trigger),"--")</f>
        <v>--</v>
      </c>
      <c r="T90" s="146" t="str">
        <f>IFERROR(_xll.qlRateHelperPillarDate(M90,Trigger),"--")</f>
        <v>--</v>
      </c>
      <c r="V90" s="4" t="str">
        <f t="shared" si="26"/>
        <v/>
      </c>
      <c r="W90" s="4" t="e">
        <v>#N/A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5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241" t="e">
        <v>#N/A</v>
      </c>
    </row>
    <row r="91" spans="1:29" x14ac:dyDescent="0.2">
      <c r="A91" s="62" t="s">
        <v>26</v>
      </c>
      <c r="B91" s="63" t="s">
        <v>67</v>
      </c>
      <c r="C91" s="64" t="s">
        <v>6</v>
      </c>
      <c r="D91" s="64" t="s">
        <v>147</v>
      </c>
      <c r="E91" s="64" t="s">
        <v>7</v>
      </c>
      <c r="F91" s="64" t="s">
        <v>148</v>
      </c>
      <c r="G91" s="64" t="str">
        <f t="shared" si="24"/>
        <v>GbpLibor3M</v>
      </c>
      <c r="H91" s="62" t="str">
        <f t="shared" si="25"/>
        <v>GBPSM3L35Y_Quote</v>
      </c>
      <c r="I91" s="128">
        <v>0</v>
      </c>
      <c r="J91" s="67"/>
      <c r="L91" s="74" t="str">
        <f t="shared" si="27"/>
        <v>Sw</v>
      </c>
      <c r="M91" s="144" t="str">
        <f t="shared" si="28"/>
        <v>--</v>
      </c>
      <c r="N91" s="152" t="str">
        <f>IFERROR(_xll.qlRateHelperQuoteName(M91,Trigger),"--")</f>
        <v>--</v>
      </c>
      <c r="O91" s="145" t="str">
        <f>IFERROR(_xll.qlRateHelperQuoteValue($M91,Trigger),"--")</f>
        <v>--</v>
      </c>
      <c r="P91" s="144" t="b">
        <v>0</v>
      </c>
      <c r="Q91" s="144">
        <v>40</v>
      </c>
      <c r="R91" s="144">
        <v>1</v>
      </c>
      <c r="S91" s="146" t="str">
        <f>IFERROR(_xll.qlRateHelperEarliestDate(M91,Trigger),"--")</f>
        <v>--</v>
      </c>
      <c r="T91" s="146" t="str">
        <f>IFERROR(_xll.qlRateHelperPillarDate(M91,Trigger),"--")</f>
        <v>--</v>
      </c>
      <c r="V91" s="4" t="str">
        <f t="shared" si="26"/>
        <v/>
      </c>
      <c r="W91" s="4" t="e">
        <v>#N/A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5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241" t="e">
        <v>#N/A</v>
      </c>
    </row>
    <row r="92" spans="1:29" x14ac:dyDescent="0.2">
      <c r="A92" s="62" t="s">
        <v>26</v>
      </c>
      <c r="B92" s="63" t="s">
        <v>68</v>
      </c>
      <c r="C92" s="64" t="s">
        <v>6</v>
      </c>
      <c r="D92" s="64" t="s">
        <v>147</v>
      </c>
      <c r="E92" s="64" t="s">
        <v>7</v>
      </c>
      <c r="F92" s="64" t="s">
        <v>148</v>
      </c>
      <c r="G92" s="64" t="str">
        <f t="shared" si="24"/>
        <v>GbpLibor3M</v>
      </c>
      <c r="H92" s="62" t="str">
        <f t="shared" si="25"/>
        <v>GBPSM3L40Y_Quote</v>
      </c>
      <c r="I92" s="128">
        <v>0</v>
      </c>
      <c r="J92" s="67" t="str">
        <f>_xll.qlSwapRateHelper2(,H92,0,B92,Calendar,D92,E92,F92,G92,I92,C92,Discounting,PillarDate,,Permanent,Trigger,ObjectOverwrite)</f>
        <v>obj_002f2#0001</v>
      </c>
      <c r="L92" s="74" t="str">
        <f t="shared" si="27"/>
        <v>Sw</v>
      </c>
      <c r="M92" s="144" t="str">
        <f t="shared" si="28"/>
        <v>--</v>
      </c>
      <c r="N92" s="152" t="str">
        <f>IFERROR(_xll.qlRateHelperQuoteName(M92,Trigger),"--")</f>
        <v>--</v>
      </c>
      <c r="O92" s="145" t="str">
        <f>IFERROR(_xll.qlRateHelperQuoteValue($M92,Trigger),"--")</f>
        <v>--</v>
      </c>
      <c r="P92" s="144" t="b">
        <v>0</v>
      </c>
      <c r="Q92" s="144">
        <v>40</v>
      </c>
      <c r="R92" s="144">
        <v>1</v>
      </c>
      <c r="S92" s="146" t="str">
        <f>IFERROR(_xll.qlRateHelperEarliestDate(M92,Trigger),"--")</f>
        <v>--</v>
      </c>
      <c r="T92" s="146" t="str">
        <f>IFERROR(_xll.qlRateHelperPillarDate(M92,Trigger),"--")</f>
        <v>--</v>
      </c>
      <c r="V92" s="4" t="str">
        <f t="shared" si="26"/>
        <v/>
      </c>
      <c r="W92" s="4" t="e">
        <v>#N/A</v>
      </c>
      <c r="X92" s="4" t="str">
        <f>IFERROR(_xll.qlRateHelperQuoteName(W92,Trigger),"")</f>
        <v/>
      </c>
      <c r="Y92" s="73" t="str">
        <f>IFERROR(_xll.qlRateHelperRate(W92,Trigger),"")</f>
        <v/>
      </c>
      <c r="Z92" s="105" t="str">
        <f>IF(ISERROR(_xll.qlSwapRateHelperSpread($W92)),IF(ISERROR(_xll.qlFuturesRateHelperConvexityAdjustment($W92)),"",_xll.qlFuturesRateHelperConvexityAdjustment($W92)),_xll.qlSwapRateHelperSpread($W92))</f>
        <v/>
      </c>
      <c r="AA92" s="5" t="str">
        <f>IFERROR(_xll.qlRateHelperEarliestDate(W92,Trigger),"")</f>
        <v/>
      </c>
      <c r="AB92" s="5" t="str">
        <f>IFERROR(_xll.qlRateHelperPillarDate(W92,Trigger),"")</f>
        <v/>
      </c>
      <c r="AC92" s="241" t="e">
        <v>#N/A</v>
      </c>
    </row>
    <row r="93" spans="1:29" x14ac:dyDescent="0.2">
      <c r="A93" s="62" t="s">
        <v>26</v>
      </c>
      <c r="B93" s="63" t="s">
        <v>69</v>
      </c>
      <c r="C93" s="64" t="s">
        <v>6</v>
      </c>
      <c r="D93" s="64" t="s">
        <v>147</v>
      </c>
      <c r="E93" s="64" t="s">
        <v>7</v>
      </c>
      <c r="F93" s="64" t="s">
        <v>148</v>
      </c>
      <c r="G93" s="64" t="str">
        <f t="shared" si="24"/>
        <v>GbpLibor3M</v>
      </c>
      <c r="H93" s="62" t="str">
        <f t="shared" si="25"/>
        <v>GBPSM3L50Y_Quote</v>
      </c>
      <c r="I93" s="128">
        <v>0</v>
      </c>
      <c r="J93" s="67" t="str">
        <f>_xll.qlSwapRateHelper2(,H93,0,B93,Calendar,D93,E93,F93,G93,I93,C93,Discounting,PillarDate,,Permanent,Trigger,ObjectOverwrite)</f>
        <v>obj_002eb#0001</v>
      </c>
      <c r="L93" s="75" t="str">
        <f t="shared" si="27"/>
        <v>Sw</v>
      </c>
      <c r="M93" s="147" t="str">
        <f t="shared" si="28"/>
        <v>--</v>
      </c>
      <c r="N93" s="157" t="str">
        <f>IFERROR(_xll.qlRateHelperQuoteName(M93,Trigger),"--")</f>
        <v>--</v>
      </c>
      <c r="O93" s="158" t="str">
        <f>IFERROR(_xll.qlRateHelperQuoteValue($M93,Trigger),"--")</f>
        <v>--</v>
      </c>
      <c r="P93" s="147" t="b">
        <v>0</v>
      </c>
      <c r="Q93" s="147">
        <v>40</v>
      </c>
      <c r="R93" s="147">
        <v>1</v>
      </c>
      <c r="S93" s="156" t="str">
        <f>IFERROR(_xll.qlRateHelperEarliestDate(M93,Trigger),"--")</f>
        <v>--</v>
      </c>
      <c r="T93" s="156" t="str">
        <f>IFERROR(_xll.qlRateHelperPillarDate(M93,Trigger),"--")</f>
        <v>--</v>
      </c>
      <c r="V93" s="4" t="str">
        <f t="shared" si="26"/>
        <v/>
      </c>
      <c r="W93" s="4" t="e">
        <v>#N/A</v>
      </c>
      <c r="X93" s="4" t="str">
        <f>IFERROR(_xll.qlRateHelperQuoteName(W93,Trigger),"")</f>
        <v/>
      </c>
      <c r="Y93" s="73" t="str">
        <f>IFERROR(_xll.qlRateHelperRate(W93,Trigger),"")</f>
        <v/>
      </c>
      <c r="Z93" s="105" t="str">
        <f>IF(ISERROR(_xll.qlSwapRateHelperSpread($W93)),IF(ISERROR(_xll.qlFuturesRateHelperConvexityAdjustment($W93)),"",_xll.qlFuturesRateHelperConvexityAdjustment($W93)),_xll.qlSwapRateHelperSpread($W93))</f>
        <v/>
      </c>
      <c r="AA93" s="5" t="str">
        <f>IFERROR(_xll.qlRateHelperEarliestDate(W93,Trigger),"")</f>
        <v/>
      </c>
      <c r="AB93" s="5" t="str">
        <f>IFERROR(_xll.qlRateHelperPillarDate(W93,Trigger),"")</f>
        <v/>
      </c>
      <c r="AC93" s="241" t="e">
        <v>#N/A</v>
      </c>
    </row>
    <row r="94" spans="1:29" x14ac:dyDescent="0.2">
      <c r="A94" s="1" t="s">
        <v>26</v>
      </c>
      <c r="B94" s="8" t="s">
        <v>116</v>
      </c>
      <c r="C94" s="7" t="s">
        <v>6</v>
      </c>
      <c r="D94" s="7" t="s">
        <v>147</v>
      </c>
      <c r="E94" s="7" t="s">
        <v>7</v>
      </c>
      <c r="F94" s="7" t="s">
        <v>148</v>
      </c>
      <c r="G94" s="7" t="str">
        <f t="shared" si="24"/>
        <v>GbpLibor3M</v>
      </c>
      <c r="H94" s="1" t="str">
        <f t="shared" si="25"/>
        <v>GBPSM3L60Y_Quote</v>
      </c>
      <c r="I94" s="131">
        <v>0</v>
      </c>
      <c r="J94" s="3" t="str">
        <f>_xll.qlSwapRateHelper2(,H94,0,B94,Calendar,D94,E94,F94,G94,I94,C94,Discounting,PillarDate,,Permanent,Trigger,ObjectOverwrite)</f>
        <v>obj_002f3#0001</v>
      </c>
      <c r="L94" s="74" t="str">
        <f t="shared" ref="L94:L130" si="29">A106</f>
        <v>BasSw</v>
      </c>
      <c r="M94" s="144" t="str">
        <f t="shared" ref="M94:M130" si="30">IF(ISBLANK(J106),"--",J106)</f>
        <v>--</v>
      </c>
      <c r="N94" s="152" t="str">
        <f>IFERROR(_xll.qlRateHelperQuoteName(M94,Trigger),"--")</f>
        <v>--</v>
      </c>
      <c r="O94" s="145" t="str">
        <f>IFERROR(_xll.qlRateHelperQuoteValue($M94,Trigger),"--")</f>
        <v>--</v>
      </c>
      <c r="P94" s="144" t="b">
        <v>0</v>
      </c>
      <c r="Q94" s="144">
        <v>40</v>
      </c>
      <c r="R94" s="144">
        <v>1</v>
      </c>
      <c r="S94" s="146" t="str">
        <f>IFERROR(_xll.qlRateHelperEarliestDate(M94,Trigger),"--")</f>
        <v>--</v>
      </c>
      <c r="T94" s="146" t="str">
        <f>IFERROR(_xll.qlRateHelperPillarDate(M94,Trigger),"--")</f>
        <v>--</v>
      </c>
      <c r="V94" s="4" t="str">
        <f t="shared" si="26"/>
        <v/>
      </c>
      <c r="W94" s="4" t="e">
        <v>#N/A</v>
      </c>
      <c r="X94" s="4" t="str">
        <f>IFERROR(_xll.qlRateHelperQuoteName(W94,Trigger),"")</f>
        <v/>
      </c>
      <c r="Y94" s="73" t="str">
        <f>IFERROR(_xll.qlRateHelperRate(W94,Trigger),"")</f>
        <v/>
      </c>
      <c r="Z94" s="105" t="str">
        <f>IF(ISERROR(_xll.qlSwapRateHelperSpread($W94)),IF(ISERROR(_xll.qlFuturesRateHelperConvexityAdjustment($W94)),"",_xll.qlFuturesRateHelperConvexityAdjustment($W94)),_xll.qlSwapRateHelperSpread($W94))</f>
        <v/>
      </c>
      <c r="AA94" s="5" t="str">
        <f>IFERROR(_xll.qlRateHelperEarliestDate(W94,Trigger),"")</f>
        <v/>
      </c>
      <c r="AB94" s="5" t="str">
        <f>IFERROR(_xll.qlRateHelperPillarDate(W94,Trigger),"")</f>
        <v/>
      </c>
      <c r="AC94" s="241" t="e">
        <v>#N/A</v>
      </c>
    </row>
    <row r="95" spans="1:29" x14ac:dyDescent="0.2">
      <c r="L95" s="74" t="str">
        <f t="shared" si="29"/>
        <v>BasSw</v>
      </c>
      <c r="M95" s="144" t="str">
        <f t="shared" si="30"/>
        <v>--</v>
      </c>
      <c r="N95" s="152" t="str">
        <f>IFERROR(_xll.qlRateHelperQuoteName(M95,Trigger),"--")</f>
        <v>--</v>
      </c>
      <c r="O95" s="145" t="str">
        <f>IFERROR(_xll.qlRateHelperQuoteValue($M95,Trigger),"--")</f>
        <v>--</v>
      </c>
      <c r="P95" s="144" t="b">
        <v>0</v>
      </c>
      <c r="Q95" s="144">
        <v>40</v>
      </c>
      <c r="R95" s="144">
        <v>1</v>
      </c>
      <c r="S95" s="146" t="str">
        <f>IFERROR(_xll.qlRateHelperEarliestDate(M95,Trigger),"--")</f>
        <v>--</v>
      </c>
      <c r="T95" s="146" t="str">
        <f>IFERROR(_xll.qlRateHelperPillarDate(M95,Trigger),"--")</f>
        <v>--</v>
      </c>
      <c r="V95" s="4" t="str">
        <f t="shared" si="26"/>
        <v/>
      </c>
      <c r="W95" s="4" t="e">
        <v>#N/A</v>
      </c>
      <c r="X95" s="4" t="str">
        <f>IFERROR(_xll.qlRateHelperQuoteName(W95,Trigger),"")</f>
        <v/>
      </c>
      <c r="Y95" s="73" t="str">
        <f>IFERROR(_xll.qlRateHelperRate(W95,Trigger),"")</f>
        <v/>
      </c>
      <c r="Z95" s="105" t="str">
        <f>IF(ISERROR(_xll.qlSwapRateHelperSpread($W95)),IF(ISERROR(_xll.qlFuturesRateHelperConvexityAdjustment($W95)),"",_xll.qlFuturesRateHelperConvexityAdjustment($W95)),_xll.qlSwapRateHelperSpread($W95))</f>
        <v/>
      </c>
      <c r="AA95" s="5" t="str">
        <f>IFERROR(_xll.qlRateHelperEarliestDate(W95,Trigger),"")</f>
        <v/>
      </c>
      <c r="AB95" s="5" t="str">
        <f>IFERROR(_xll.qlRateHelperPillarDate(W95,Trigger),"")</f>
        <v/>
      </c>
      <c r="AC95" s="241" t="e">
        <v>#N/A</v>
      </c>
    </row>
    <row r="96" spans="1:29" x14ac:dyDescent="0.2">
      <c r="A96" s="68" t="s">
        <v>9</v>
      </c>
      <c r="B96" s="68" t="s">
        <v>30</v>
      </c>
      <c r="C96" s="68" t="s">
        <v>133</v>
      </c>
      <c r="D96" s="68" t="s">
        <v>5</v>
      </c>
      <c r="E96" s="68" t="s">
        <v>34</v>
      </c>
      <c r="F96" s="68" t="s">
        <v>118</v>
      </c>
      <c r="G96" s="68" t="s">
        <v>4</v>
      </c>
      <c r="H96" s="68" t="s">
        <v>1</v>
      </c>
      <c r="I96" s="68" t="s">
        <v>117</v>
      </c>
      <c r="J96" s="68" t="s">
        <v>25</v>
      </c>
      <c r="L96" s="74" t="str">
        <f t="shared" si="29"/>
        <v>BasSw</v>
      </c>
      <c r="M96" s="144" t="str">
        <f t="shared" si="30"/>
        <v>--</v>
      </c>
      <c r="N96" s="152" t="str">
        <f>IFERROR(_xll.qlRateHelperQuoteName(M96,Trigger),"--")</f>
        <v>--</v>
      </c>
      <c r="O96" s="145" t="str">
        <f>IFERROR(_xll.qlRateHelperQuoteValue($M96,Trigger),"--")</f>
        <v>--</v>
      </c>
      <c r="P96" s="144" t="b">
        <v>0</v>
      </c>
      <c r="Q96" s="144">
        <v>40</v>
      </c>
      <c r="R96" s="144">
        <v>1</v>
      </c>
      <c r="S96" s="146" t="str">
        <f>IFERROR(_xll.qlRateHelperEarliestDate(M96,Trigger),"--")</f>
        <v>--</v>
      </c>
      <c r="T96" s="146" t="str">
        <f>IFERROR(_xll.qlRateHelperPillarDate(M96,Trigger),"--")</f>
        <v>--</v>
      </c>
      <c r="V96" s="4" t="str">
        <f t="shared" si="26"/>
        <v/>
      </c>
      <c r="W96" s="4" t="e">
        <v>#N/A</v>
      </c>
      <c r="X96" s="4" t="str">
        <f>IFERROR(_xll.qlRateHelperQuoteName(W96,Trigger),"")</f>
        <v/>
      </c>
      <c r="Y96" s="73" t="str">
        <f>IFERROR(_xll.qlRateHelperRate(W96,Trigger),"")</f>
        <v/>
      </c>
      <c r="Z96" s="105" t="str">
        <f>IF(ISERROR(_xll.qlSwapRateHelperSpread($W96)),IF(ISERROR(_xll.qlFuturesRateHelperConvexityAdjustment($W96)),"",_xll.qlFuturesRateHelperConvexityAdjustment($W96)),_xll.qlSwapRateHelperSpread($W96))</f>
        <v/>
      </c>
      <c r="AA96" s="5" t="str">
        <f>IFERROR(_xll.qlRateHelperEarliestDate(W96,Trigger),"")</f>
        <v/>
      </c>
      <c r="AB96" s="5" t="str">
        <f>IFERROR(_xll.qlRateHelperPillarDate(W96,Trigger),"")</f>
        <v/>
      </c>
      <c r="AC96" s="241" t="e">
        <v>#N/A</v>
      </c>
    </row>
    <row r="97" spans="1:29" x14ac:dyDescent="0.2">
      <c r="A97" s="56" t="s">
        <v>26</v>
      </c>
      <c r="B97" s="116">
        <v>12</v>
      </c>
      <c r="C97" s="58" t="s">
        <v>6</v>
      </c>
      <c r="D97" s="64" t="s">
        <v>8</v>
      </c>
      <c r="E97" s="64" t="s">
        <v>7</v>
      </c>
      <c r="F97" s="64" t="s">
        <v>28</v>
      </c>
      <c r="G97" s="64" t="str">
        <f t="shared" ref="G97:G103" si="31">PROPER(Currency)&amp;FamilyName&amp;Tenor</f>
        <v>GbpLibor3M</v>
      </c>
      <c r="H97" s="62" t="str">
        <f>Currency&amp;"1S"&amp;$B97&amp;QuoteSuffix</f>
        <v>GBP1S12_Quote</v>
      </c>
      <c r="I97" s="129">
        <v>0</v>
      </c>
      <c r="J97" s="61"/>
      <c r="L97" s="74" t="str">
        <f t="shared" si="29"/>
        <v>BasSw</v>
      </c>
      <c r="M97" s="144" t="str">
        <f t="shared" si="30"/>
        <v>--</v>
      </c>
      <c r="N97" s="152" t="str">
        <f>IFERROR(_xll.qlRateHelperQuoteName(M97,Trigger),"--")</f>
        <v>--</v>
      </c>
      <c r="O97" s="145" t="str">
        <f>IFERROR(_xll.qlRateHelperQuoteValue($M97,Trigger),"--")</f>
        <v>--</v>
      </c>
      <c r="P97" s="144" t="b">
        <v>0</v>
      </c>
      <c r="Q97" s="144">
        <v>40</v>
      </c>
      <c r="R97" s="144">
        <v>1</v>
      </c>
      <c r="S97" s="146" t="str">
        <f>IFERROR(_xll.qlRateHelperEarliestDate(M97,Trigger),"--")</f>
        <v>--</v>
      </c>
      <c r="T97" s="146" t="str">
        <f>IFERROR(_xll.qlRateHelperPillarDate(M97,Trigger),"--")</f>
        <v>--</v>
      </c>
      <c r="V97" s="4" t="str">
        <f t="shared" si="26"/>
        <v/>
      </c>
      <c r="W97" s="4" t="e">
        <v>#N/A</v>
      </c>
      <c r="X97" s="4" t="str">
        <f>IFERROR(_xll.qlRateHelperQuoteName(W97,Trigger),"")</f>
        <v/>
      </c>
      <c r="Y97" s="73" t="str">
        <f>IFERROR(_xll.qlRateHelperRate(W97,Trigger),"")</f>
        <v/>
      </c>
      <c r="Z97" s="105" t="str">
        <f>IF(ISERROR(_xll.qlSwapRateHelperSpread($W97)),IF(ISERROR(_xll.qlFuturesRateHelperConvexityAdjustment($W97)),"",_xll.qlFuturesRateHelperConvexityAdjustment($W97)),_xll.qlSwapRateHelperSpread($W97))</f>
        <v/>
      </c>
      <c r="AA97" s="5" t="str">
        <f>IFERROR(_xll.qlRateHelperEarliestDate(W97,Trigger),"")</f>
        <v/>
      </c>
      <c r="AB97" s="5" t="str">
        <f>IFERROR(_xll.qlRateHelperPillarDate(W97,Trigger),"")</f>
        <v/>
      </c>
      <c r="AC97" s="241" t="e">
        <v>#N/A</v>
      </c>
    </row>
    <row r="98" spans="1:29" x14ac:dyDescent="0.2">
      <c r="A98" s="62" t="s">
        <v>26</v>
      </c>
      <c r="B98" s="117">
        <v>12</v>
      </c>
      <c r="C98" s="64" t="s">
        <v>6</v>
      </c>
      <c r="D98" s="64" t="s">
        <v>8</v>
      </c>
      <c r="E98" s="64" t="s">
        <v>7</v>
      </c>
      <c r="F98" s="64" t="s">
        <v>28</v>
      </c>
      <c r="G98" s="64" t="str">
        <f t="shared" si="31"/>
        <v>GbpLibor3M</v>
      </c>
      <c r="H98" s="62" t="str">
        <f>Currency&amp;"2S"&amp;$B98&amp;QuoteSuffix</f>
        <v>GBP2S12_Quote</v>
      </c>
      <c r="I98" s="130">
        <v>0</v>
      </c>
      <c r="J98" s="67"/>
      <c r="L98" s="74" t="str">
        <f t="shared" si="29"/>
        <v>BasSw</v>
      </c>
      <c r="M98" s="144" t="str">
        <f t="shared" si="30"/>
        <v>--</v>
      </c>
      <c r="N98" s="152" t="str">
        <f>IFERROR(_xll.qlRateHelperQuoteName(M98,Trigger),"--")</f>
        <v>--</v>
      </c>
      <c r="O98" s="145" t="str">
        <f>IFERROR(_xll.qlRateHelperQuoteValue($M98,Trigger),"--")</f>
        <v>--</v>
      </c>
      <c r="P98" s="144" t="b">
        <v>0</v>
      </c>
      <c r="Q98" s="144">
        <v>40</v>
      </c>
      <c r="R98" s="144">
        <v>1</v>
      </c>
      <c r="S98" s="146" t="str">
        <f>IFERROR(_xll.qlRateHelperEarliestDate(M98,Trigger),"--")</f>
        <v>--</v>
      </c>
      <c r="T98" s="146" t="str">
        <f>IFERROR(_xll.qlRateHelperPillarDate(M98,Trigger),"--")</f>
        <v>--</v>
      </c>
      <c r="V98" s="4" t="str">
        <f t="shared" si="26"/>
        <v/>
      </c>
      <c r="W98" s="4" t="e">
        <v>#N/A</v>
      </c>
      <c r="X98" s="4" t="str">
        <f>IFERROR(_xll.qlRateHelperQuoteName(W98,Trigger),"")</f>
        <v/>
      </c>
      <c r="Y98" s="73" t="str">
        <f>IFERROR(_xll.qlRateHelperRate(W98,Trigger),"")</f>
        <v/>
      </c>
      <c r="Z98" s="105" t="str">
        <f>IF(ISERROR(_xll.qlSwapRateHelperSpread($W98)),IF(ISERROR(_xll.qlFuturesRateHelperConvexityAdjustment($W98)),"",_xll.qlFuturesRateHelperConvexityAdjustment($W98)),_xll.qlSwapRateHelperSpread($W98))</f>
        <v/>
      </c>
      <c r="AA98" s="5" t="str">
        <f>IFERROR(_xll.qlRateHelperEarliestDate(W98,Trigger),"")</f>
        <v/>
      </c>
      <c r="AB98" s="5" t="str">
        <f>IFERROR(_xll.qlRateHelperPillarDate(W98,Trigger),"")</f>
        <v/>
      </c>
      <c r="AC98" s="241" t="e">
        <v>#N/A</v>
      </c>
    </row>
    <row r="99" spans="1:29" x14ac:dyDescent="0.2">
      <c r="A99" s="62" t="s">
        <v>26</v>
      </c>
      <c r="B99" s="117">
        <v>12</v>
      </c>
      <c r="C99" s="64" t="s">
        <v>6</v>
      </c>
      <c r="D99" s="64" t="s">
        <v>8</v>
      </c>
      <c r="E99" s="64" t="s">
        <v>7</v>
      </c>
      <c r="F99" s="64" t="s">
        <v>28</v>
      </c>
      <c r="G99" s="64" t="str">
        <f t="shared" si="31"/>
        <v>GbpLibor3M</v>
      </c>
      <c r="H99" s="62" t="str">
        <f>Currency&amp;"3S"&amp;$B99&amp;QuoteSuffix</f>
        <v>GBP3S12_Quote</v>
      </c>
      <c r="I99" s="130">
        <v>0</v>
      </c>
      <c r="J99" s="67"/>
      <c r="L99" s="74" t="str">
        <f t="shared" si="29"/>
        <v>BasSw</v>
      </c>
      <c r="M99" s="144" t="str">
        <f t="shared" si="30"/>
        <v>--</v>
      </c>
      <c r="N99" s="152" t="str">
        <f>IFERROR(_xll.qlRateHelperQuoteName(M99,Trigger),"--")</f>
        <v>--</v>
      </c>
      <c r="O99" s="145" t="str">
        <f>IFERROR(_xll.qlRateHelperQuoteValue($M99,Trigger),"--")</f>
        <v>--</v>
      </c>
      <c r="P99" s="144" t="b">
        <v>0</v>
      </c>
      <c r="Q99" s="144">
        <v>40</v>
      </c>
      <c r="R99" s="144">
        <v>1</v>
      </c>
      <c r="S99" s="146" t="str">
        <f>IFERROR(_xll.qlRateHelperEarliestDate(M99,Trigger),"--")</f>
        <v>--</v>
      </c>
      <c r="T99" s="146" t="str">
        <f>IFERROR(_xll.qlRateHelperPillarDate(M99,Trigger),"--")</f>
        <v>--</v>
      </c>
      <c r="V99" s="4" t="str">
        <f t="shared" si="26"/>
        <v/>
      </c>
      <c r="W99" s="4" t="e">
        <v>#N/A</v>
      </c>
      <c r="X99" s="4" t="str">
        <f>IFERROR(_xll.qlRateHelperQuoteName(W99,Trigger),"")</f>
        <v/>
      </c>
      <c r="Y99" s="73" t="str">
        <f>IFERROR(_xll.qlRateHelperRate(W99,Trigger),"")</f>
        <v/>
      </c>
      <c r="Z99" s="105" t="str">
        <f>IF(ISERROR(_xll.qlSwapRateHelperSpread($W99)),IF(ISERROR(_xll.qlFuturesRateHelperConvexityAdjustment($W99)),"",_xll.qlFuturesRateHelperConvexityAdjustment($W99)),_xll.qlSwapRateHelperSpread($W99))</f>
        <v/>
      </c>
      <c r="AA99" s="5" t="str">
        <f>IFERROR(_xll.qlRateHelperEarliestDate(W99,Trigger),"")</f>
        <v/>
      </c>
      <c r="AB99" s="5" t="str">
        <f>IFERROR(_xll.qlRateHelperPillarDate(W99,Trigger),"")</f>
        <v/>
      </c>
      <c r="AC99" s="241" t="e">
        <v>#N/A</v>
      </c>
    </row>
    <row r="100" spans="1:29" x14ac:dyDescent="0.2">
      <c r="A100" s="62" t="s">
        <v>26</v>
      </c>
      <c r="B100" s="117">
        <v>12</v>
      </c>
      <c r="C100" s="64" t="s">
        <v>6</v>
      </c>
      <c r="D100" s="64" t="s">
        <v>8</v>
      </c>
      <c r="E100" s="64" t="s">
        <v>7</v>
      </c>
      <c r="F100" s="64" t="s">
        <v>28</v>
      </c>
      <c r="G100" s="64" t="str">
        <f t="shared" si="31"/>
        <v>GbpLibor3M</v>
      </c>
      <c r="H100" s="62" t="str">
        <f>Currency&amp;"4S"&amp;$B100&amp;QuoteSuffix</f>
        <v>GBP4S12_Quote</v>
      </c>
      <c r="I100" s="130">
        <v>0</v>
      </c>
      <c r="J100" s="67"/>
      <c r="L100" s="74" t="str">
        <f t="shared" si="29"/>
        <v>BasSw</v>
      </c>
      <c r="M100" s="144" t="str">
        <f t="shared" si="30"/>
        <v>--</v>
      </c>
      <c r="N100" s="152" t="str">
        <f>IFERROR(_xll.qlRateHelperQuoteName(M100,Trigger),"--")</f>
        <v>--</v>
      </c>
      <c r="O100" s="145" t="str">
        <f>IFERROR(_xll.qlRateHelperQuoteValue($M100,Trigger),"--")</f>
        <v>--</v>
      </c>
      <c r="P100" s="144" t="b">
        <v>0</v>
      </c>
      <c r="Q100" s="144">
        <v>40</v>
      </c>
      <c r="R100" s="144">
        <v>1</v>
      </c>
      <c r="S100" s="146" t="str">
        <f>IFERROR(_xll.qlRateHelperEarliestDate(M100,Trigger),"--")</f>
        <v>--</v>
      </c>
      <c r="T100" s="146" t="str">
        <f>IFERROR(_xll.qlRateHelperPillarDate(M100,Trigger),"--")</f>
        <v>--</v>
      </c>
      <c r="V100" s="4" t="str">
        <f t="shared" si="26"/>
        <v/>
      </c>
      <c r="W100" s="4" t="e">
        <v>#N/A</v>
      </c>
      <c r="X100" s="4" t="str">
        <f>IFERROR(_xll.qlRateHelperQuoteName(W100,Trigger),"")</f>
        <v/>
      </c>
      <c r="Y100" s="73" t="str">
        <f>IFERROR(_xll.qlRateHelperRate(W100,Trigger),"")</f>
        <v/>
      </c>
      <c r="Z100" s="105" t="str">
        <f>IF(ISERROR(_xll.qlSwapRateHelperSpread($W100)),IF(ISERROR(_xll.qlFuturesRateHelperConvexityAdjustment($W100)),"",_xll.qlFuturesRateHelperConvexityAdjustment($W100)),_xll.qlSwapRateHelperSpread($W100))</f>
        <v/>
      </c>
      <c r="AA100" s="5" t="str">
        <f>IFERROR(_xll.qlRateHelperEarliestDate(W100,Trigger),"")</f>
        <v/>
      </c>
      <c r="AB100" s="5" t="str">
        <f>IFERROR(_xll.qlRateHelperPillarDate(W100,Trigger),"")</f>
        <v/>
      </c>
      <c r="AC100" s="241" t="e">
        <v>#N/A</v>
      </c>
    </row>
    <row r="101" spans="1:29" x14ac:dyDescent="0.2">
      <c r="A101" s="230" t="s">
        <v>26</v>
      </c>
      <c r="B101" s="231">
        <v>24</v>
      </c>
      <c r="C101" s="232" t="s">
        <v>6</v>
      </c>
      <c r="D101" s="232" t="s">
        <v>8</v>
      </c>
      <c r="E101" s="232" t="s">
        <v>7</v>
      </c>
      <c r="F101" s="232" t="s">
        <v>28</v>
      </c>
      <c r="G101" s="232" t="str">
        <f t="shared" si="31"/>
        <v>GbpLibor3M</v>
      </c>
      <c r="H101" s="230" t="str">
        <f>Currency&amp;"1S"&amp;$B101&amp;QuoteSuffix</f>
        <v>GBP1S24_Quote</v>
      </c>
      <c r="I101" s="233">
        <v>0</v>
      </c>
      <c r="J101" s="234"/>
      <c r="L101" s="74" t="str">
        <f t="shared" si="29"/>
        <v>BasSw</v>
      </c>
      <c r="M101" s="144" t="str">
        <f t="shared" si="30"/>
        <v>--</v>
      </c>
      <c r="N101" s="152" t="str">
        <f>IFERROR(_xll.qlRateHelperQuoteName(M101,Trigger),"--")</f>
        <v>--</v>
      </c>
      <c r="O101" s="145" t="str">
        <f>IFERROR(_xll.qlRateHelperQuoteValue($M101,Trigger),"--")</f>
        <v>--</v>
      </c>
      <c r="P101" s="144" t="b">
        <v>0</v>
      </c>
      <c r="Q101" s="144">
        <v>40</v>
      </c>
      <c r="R101" s="144">
        <v>1</v>
      </c>
      <c r="S101" s="146" t="str">
        <f>IFERROR(_xll.qlRateHelperEarliestDate(M101,Trigger),"--")</f>
        <v>--</v>
      </c>
      <c r="T101" s="146" t="str">
        <f>IFERROR(_xll.qlRateHelperPillarDate(M101,Trigger),"--")</f>
        <v>--</v>
      </c>
      <c r="V101" s="4" t="str">
        <f t="shared" si="26"/>
        <v/>
      </c>
      <c r="W101" s="4" t="e">
        <v>#N/A</v>
      </c>
      <c r="X101" s="4" t="str">
        <f>IFERROR(_xll.qlRateHelperQuoteName(W101,Trigger),"")</f>
        <v/>
      </c>
      <c r="Y101" s="73" t="str">
        <f>IFERROR(_xll.qlRateHelperRate(W101,Trigger),"")</f>
        <v/>
      </c>
      <c r="Z101" s="105" t="str">
        <f>IF(ISERROR(_xll.qlSwapRateHelperSpread($W101)),IF(ISERROR(_xll.qlFuturesRateHelperConvexityAdjustment($W101)),"",_xll.qlFuturesRateHelperConvexityAdjustment($W101)),_xll.qlSwapRateHelperSpread($W101))</f>
        <v/>
      </c>
      <c r="AA101" s="5" t="str">
        <f>IFERROR(_xll.qlRateHelperEarliestDate(W101,Trigger),"")</f>
        <v/>
      </c>
      <c r="AB101" s="5" t="str">
        <f>IFERROR(_xll.qlRateHelperPillarDate(W101,Trigger),"")</f>
        <v/>
      </c>
      <c r="AC101" s="241" t="e">
        <v>#N/A</v>
      </c>
    </row>
    <row r="102" spans="1:29" x14ac:dyDescent="0.2">
      <c r="A102" s="235" t="s">
        <v>26</v>
      </c>
      <c r="B102" s="236">
        <v>24</v>
      </c>
      <c r="C102" s="237" t="s">
        <v>6</v>
      </c>
      <c r="D102" s="237" t="s">
        <v>8</v>
      </c>
      <c r="E102" s="237" t="s">
        <v>7</v>
      </c>
      <c r="F102" s="237" t="s">
        <v>28</v>
      </c>
      <c r="G102" s="237" t="str">
        <f t="shared" si="31"/>
        <v>GbpLibor3M</v>
      </c>
      <c r="H102" s="235" t="str">
        <f>Currency&amp;"2S"&amp;$B102&amp;QuoteSuffix</f>
        <v>GBP2S24_Quote</v>
      </c>
      <c r="I102" s="238">
        <v>0</v>
      </c>
      <c r="J102" s="239"/>
      <c r="L102" s="74" t="str">
        <f t="shared" si="29"/>
        <v>BasSw</v>
      </c>
      <c r="M102" s="144" t="str">
        <f t="shared" si="30"/>
        <v>--</v>
      </c>
      <c r="N102" s="152" t="str">
        <f>IFERROR(_xll.qlRateHelperQuoteName(M102,Trigger),"--")</f>
        <v>--</v>
      </c>
      <c r="O102" s="145" t="str">
        <f>IFERROR(_xll.qlRateHelperQuoteValue($M102,Trigger),"--")</f>
        <v>--</v>
      </c>
      <c r="P102" s="144" t="b">
        <v>0</v>
      </c>
      <c r="Q102" s="144">
        <v>40</v>
      </c>
      <c r="R102" s="144">
        <v>1</v>
      </c>
      <c r="S102" s="146" t="str">
        <f>IFERROR(_xll.qlRateHelperEarliestDate(M102,Trigger),"--")</f>
        <v>--</v>
      </c>
      <c r="T102" s="146" t="str">
        <f>IFERROR(_xll.qlRateHelperPillarDate(M102,Trigger),"--")</f>
        <v>--</v>
      </c>
      <c r="V102" s="4" t="str">
        <f t="shared" si="26"/>
        <v/>
      </c>
      <c r="W102" s="4" t="e">
        <v>#N/A</v>
      </c>
      <c r="X102" s="4" t="str">
        <f>IFERROR(_xll.qlRateHelperQuoteName(W102,Trigger),"")</f>
        <v/>
      </c>
      <c r="Y102" s="73" t="str">
        <f>IFERROR(_xll.qlRateHelperRate(W102,Trigger),"")</f>
        <v/>
      </c>
      <c r="Z102" s="105" t="str">
        <f>IF(ISERROR(_xll.qlSwapRateHelperSpread($W102)),IF(ISERROR(_xll.qlFuturesRateHelperConvexityAdjustment($W102)),"",_xll.qlFuturesRateHelperConvexityAdjustment($W102)),_xll.qlSwapRateHelperSpread($W102))</f>
        <v/>
      </c>
      <c r="AA102" s="5" t="str">
        <f>IFERROR(_xll.qlRateHelperEarliestDate(W102,Trigger),"")</f>
        <v/>
      </c>
      <c r="AB102" s="5" t="str">
        <f>IFERROR(_xll.qlRateHelperPillarDate(W102,Trigger),"")</f>
        <v/>
      </c>
      <c r="AC102" s="241" t="e">
        <v>#N/A</v>
      </c>
    </row>
    <row r="103" spans="1:29" x14ac:dyDescent="0.2">
      <c r="A103" s="1" t="s">
        <v>26</v>
      </c>
      <c r="B103" s="118">
        <v>36</v>
      </c>
      <c r="C103" s="7" t="s">
        <v>6</v>
      </c>
      <c r="D103" s="7" t="s">
        <v>8</v>
      </c>
      <c r="E103" s="7" t="s">
        <v>7</v>
      </c>
      <c r="F103" s="7" t="s">
        <v>28</v>
      </c>
      <c r="G103" s="7" t="str">
        <f t="shared" si="31"/>
        <v>GbpLibor3M</v>
      </c>
      <c r="H103" s="1" t="str">
        <f>Currency&amp;"1S"&amp;$B103&amp;QuoteSuffix</f>
        <v>GBP1S36_Quote</v>
      </c>
      <c r="I103" s="133">
        <v>0</v>
      </c>
      <c r="J103" s="3"/>
      <c r="L103" s="74" t="str">
        <f t="shared" si="29"/>
        <v>BasSw</v>
      </c>
      <c r="M103" s="144" t="str">
        <f t="shared" si="30"/>
        <v>--</v>
      </c>
      <c r="N103" s="152" t="str">
        <f>IFERROR(_xll.qlRateHelperQuoteName(M103,Trigger),"--")</f>
        <v>--</v>
      </c>
      <c r="O103" s="145" t="str">
        <f>IFERROR(_xll.qlRateHelperQuoteValue($M103,Trigger),"--")</f>
        <v>--</v>
      </c>
      <c r="P103" s="144" t="b">
        <v>0</v>
      </c>
      <c r="Q103" s="144">
        <v>40</v>
      </c>
      <c r="R103" s="144">
        <v>1</v>
      </c>
      <c r="S103" s="146" t="str">
        <f>IFERROR(_xll.qlRateHelperEarliestDate(M103,Trigger),"--")</f>
        <v>--</v>
      </c>
      <c r="T103" s="146" t="str">
        <f>IFERROR(_xll.qlRateHelperPillarDate(M103,Trigger),"--")</f>
        <v>--</v>
      </c>
      <c r="V103" s="4" t="str">
        <f t="shared" si="26"/>
        <v/>
      </c>
      <c r="W103" s="4" t="e">
        <v>#N/A</v>
      </c>
      <c r="X103" s="4" t="str">
        <f>IFERROR(_xll.qlRateHelperQuoteName(W103,Trigger),"")</f>
        <v/>
      </c>
      <c r="Y103" s="73" t="str">
        <f>IFERROR(_xll.qlRateHelperRate(W103,Trigger),"")</f>
        <v/>
      </c>
      <c r="Z103" s="105" t="str">
        <f>IF(ISERROR(_xll.qlSwapRateHelperSpread($W103)),IF(ISERROR(_xll.qlFuturesRateHelperConvexityAdjustment($W103)),"",_xll.qlFuturesRateHelperConvexityAdjustment($W103)),_xll.qlSwapRateHelperSpread($W103))</f>
        <v/>
      </c>
      <c r="AA103" s="5" t="str">
        <f>IFERROR(_xll.qlRateHelperEarliestDate(W103,Trigger),"")</f>
        <v/>
      </c>
      <c r="AB103" s="5" t="str">
        <f>IFERROR(_xll.qlRateHelperPillarDate(W103,Trigger),"")</f>
        <v/>
      </c>
      <c r="AC103" s="241" t="e">
        <v>#N/A</v>
      </c>
    </row>
    <row r="104" spans="1:29" x14ac:dyDescent="0.2">
      <c r="G104" s="53" t="s">
        <v>150</v>
      </c>
      <c r="H104" s="104" t="s">
        <v>151</v>
      </c>
      <c r="I104" s="104" t="s">
        <v>145</v>
      </c>
      <c r="L104" s="74" t="str">
        <f t="shared" si="29"/>
        <v>BasSw</v>
      </c>
      <c r="M104" s="144" t="str">
        <f t="shared" si="30"/>
        <v>--</v>
      </c>
      <c r="N104" s="152" t="str">
        <f>IFERROR(_xll.qlRateHelperQuoteName(M104,Trigger),"--")</f>
        <v>--</v>
      </c>
      <c r="O104" s="145" t="str">
        <f>IFERROR(_xll.qlRateHelperQuoteValue($M104,Trigger),"--")</f>
        <v>--</v>
      </c>
      <c r="P104" s="144" t="b">
        <v>0</v>
      </c>
      <c r="Q104" s="144">
        <v>40</v>
      </c>
      <c r="R104" s="144">
        <v>1</v>
      </c>
      <c r="S104" s="146" t="str">
        <f>IFERROR(_xll.qlRateHelperEarliestDate(M104,Trigger),"--")</f>
        <v>--</v>
      </c>
      <c r="T104" s="146" t="str">
        <f>IFERROR(_xll.qlRateHelperPillarDate(M104,Trigger),"--")</f>
        <v>--</v>
      </c>
      <c r="V104" s="4" t="str">
        <f t="shared" si="26"/>
        <v/>
      </c>
      <c r="W104" s="4" t="e">
        <v>#N/A</v>
      </c>
      <c r="X104" s="4" t="str">
        <f>IFERROR(_xll.qlRateHelperQuoteName(W104,Trigger),"")</f>
        <v/>
      </c>
      <c r="Y104" s="73" t="str">
        <f>IFERROR(_xll.qlRateHelperRate(W104,Trigger),"")</f>
        <v/>
      </c>
      <c r="Z104" s="105" t="str">
        <f>IF(ISERROR(_xll.qlSwapRateHelperSpread($W104)),IF(ISERROR(_xll.qlFuturesRateHelperConvexityAdjustment($W104)),"",_xll.qlFuturesRateHelperConvexityAdjustment($W104)),_xll.qlSwapRateHelperSpread($W104))</f>
        <v/>
      </c>
      <c r="AA104" s="5" t="str">
        <f>IFERROR(_xll.qlRateHelperEarliestDate(W104,Trigger),"")</f>
        <v/>
      </c>
      <c r="AB104" s="5" t="str">
        <f>IFERROR(_xll.qlRateHelperPillarDate(W104,Trigger),"")</f>
        <v/>
      </c>
      <c r="AC104" s="241" t="e">
        <v>#N/A</v>
      </c>
    </row>
    <row r="105" spans="1:29" x14ac:dyDescent="0.2">
      <c r="A105" s="68" t="s">
        <v>9</v>
      </c>
      <c r="B105" s="68" t="s">
        <v>30</v>
      </c>
      <c r="C105" s="68" t="s">
        <v>133</v>
      </c>
      <c r="D105" s="68" t="s">
        <v>5</v>
      </c>
      <c r="E105" s="68" t="s">
        <v>34</v>
      </c>
      <c r="F105" s="68" t="s">
        <v>118</v>
      </c>
      <c r="G105" s="68" t="s">
        <v>4</v>
      </c>
      <c r="H105" s="68" t="s">
        <v>1</v>
      </c>
      <c r="I105" s="68" t="s">
        <v>117</v>
      </c>
      <c r="J105" s="68" t="s">
        <v>25</v>
      </c>
      <c r="L105" s="74" t="str">
        <f t="shared" si="29"/>
        <v>BasSw</v>
      </c>
      <c r="M105" s="144" t="str">
        <f t="shared" si="30"/>
        <v>--</v>
      </c>
      <c r="N105" s="152" t="str">
        <f>IFERROR(_xll.qlRateHelperQuoteName(M105,Trigger),"--")</f>
        <v>--</v>
      </c>
      <c r="O105" s="145" t="str">
        <f>IFERROR(_xll.qlRateHelperQuoteValue($M105,Trigger),"--")</f>
        <v>--</v>
      </c>
      <c r="P105" s="144" t="b">
        <v>0</v>
      </c>
      <c r="Q105" s="144">
        <v>40</v>
      </c>
      <c r="R105" s="144">
        <v>1</v>
      </c>
      <c r="S105" s="146" t="str">
        <f>IFERROR(_xll.qlRateHelperEarliestDate(M105,Trigger),"--")</f>
        <v>--</v>
      </c>
      <c r="T105" s="146" t="str">
        <f>IFERROR(_xll.qlRateHelperPillarDate(M105,Trigger),"--")</f>
        <v>--</v>
      </c>
      <c r="V105" s="4" t="str">
        <f t="shared" si="26"/>
        <v/>
      </c>
      <c r="W105" s="4" t="e">
        <v>#N/A</v>
      </c>
      <c r="X105" s="4" t="str">
        <f>IFERROR(_xll.qlRateHelperQuoteName(W105,Trigger),"")</f>
        <v/>
      </c>
      <c r="Y105" s="73" t="str">
        <f>IFERROR(_xll.qlRateHelperRate(W105,Trigger),"")</f>
        <v/>
      </c>
      <c r="Z105" s="105" t="str">
        <f>IF(ISERROR(_xll.qlSwapRateHelperSpread($W105)),IF(ISERROR(_xll.qlFuturesRateHelperConvexityAdjustment($W105)),"",_xll.qlFuturesRateHelperConvexityAdjustment($W105)),_xll.qlSwapRateHelperSpread($W105))</f>
        <v/>
      </c>
      <c r="AA105" s="5" t="str">
        <f>IFERROR(_xll.qlRateHelperEarliestDate(W105,Trigger),"")</f>
        <v/>
      </c>
      <c r="AB105" s="5" t="str">
        <f>IFERROR(_xll.qlRateHelperPillarDate(W105,Trigger),"")</f>
        <v/>
      </c>
      <c r="AC105" s="241" t="e">
        <v>#N/A</v>
      </c>
    </row>
    <row r="106" spans="1:29" x14ac:dyDescent="0.2">
      <c r="A106" s="56" t="s">
        <v>120</v>
      </c>
      <c r="B106" s="116" t="s">
        <v>29</v>
      </c>
      <c r="C106" s="58" t="s">
        <v>6</v>
      </c>
      <c r="D106" s="64" t="s">
        <v>8</v>
      </c>
      <c r="E106" s="64" t="s">
        <v>7</v>
      </c>
      <c r="F106" s="64" t="s">
        <v>132</v>
      </c>
      <c r="G106" s="64" t="str">
        <f t="shared" ref="G106:G142" si="32">PROPER(Currency)&amp;FamilyName&amp;Tenor</f>
        <v>GbpLibor3M</v>
      </c>
      <c r="H106" s="62" t="str">
        <f t="shared" ref="H106:H142" si="33">Currency&amp;$G$104&amp;$H$104&amp;$B106&amp;QuoteSuffix</f>
        <v>GBPSB6L1Y_Quote</v>
      </c>
      <c r="I106" s="62" t="str">
        <f t="shared" ref="I106:I142" si="34">Currency&amp;$I$104&amp;$H$104&amp;$B106&amp;QuoteSuffix</f>
        <v>GBP3L6L1Y_Quote</v>
      </c>
      <c r="J106" s="61"/>
      <c r="L106" s="74" t="str">
        <f t="shared" si="29"/>
        <v>BasSw</v>
      </c>
      <c r="M106" s="144" t="str">
        <f t="shared" si="30"/>
        <v>--</v>
      </c>
      <c r="N106" s="152" t="str">
        <f>IFERROR(_xll.qlRateHelperQuoteName(M106,Trigger),"--")</f>
        <v>--</v>
      </c>
      <c r="O106" s="145" t="str">
        <f>IFERROR(_xll.qlRateHelperQuoteValue($M106,Trigger),"--")</f>
        <v>--</v>
      </c>
      <c r="P106" s="144" t="b">
        <v>0</v>
      </c>
      <c r="Q106" s="144">
        <v>40</v>
      </c>
      <c r="R106" s="144">
        <v>1</v>
      </c>
      <c r="S106" s="146" t="str">
        <f>IFERROR(_xll.qlRateHelperEarliestDate(M106,Trigger),"--")</f>
        <v>--</v>
      </c>
      <c r="T106" s="146" t="str">
        <f>IFERROR(_xll.qlRateHelperPillarDate(M106,Trigger),"--")</f>
        <v>--</v>
      </c>
      <c r="V106" s="4" t="str">
        <f t="shared" si="26"/>
        <v/>
      </c>
      <c r="W106" s="4" t="e">
        <v>#N/A</v>
      </c>
      <c r="X106" s="4" t="str">
        <f>IFERROR(_xll.qlRateHelperQuoteName(W106,Trigger),"")</f>
        <v/>
      </c>
      <c r="Y106" s="73" t="str">
        <f>IFERROR(_xll.qlRateHelperRate(W106,Trigger),"")</f>
        <v/>
      </c>
      <c r="Z106" s="105" t="str">
        <f>IF(ISERROR(_xll.qlSwapRateHelperSpread($W106)),IF(ISERROR(_xll.qlFuturesRateHelperConvexityAdjustment($W106)),"",_xll.qlFuturesRateHelperConvexityAdjustment($W106)),_xll.qlSwapRateHelperSpread($W106))</f>
        <v/>
      </c>
      <c r="AA106" s="5" t="str">
        <f>IFERROR(_xll.qlRateHelperEarliestDate(W106,Trigger),"")</f>
        <v/>
      </c>
      <c r="AB106" s="5" t="str">
        <f>IFERROR(_xll.qlRateHelperPillarDate(W106,Trigger),"")</f>
        <v/>
      </c>
      <c r="AC106" s="241" t="e">
        <v>#N/A</v>
      </c>
    </row>
    <row r="107" spans="1:29" x14ac:dyDescent="0.2">
      <c r="A107" s="62" t="s">
        <v>120</v>
      </c>
      <c r="B107" s="117" t="s">
        <v>49</v>
      </c>
      <c r="C107" s="64" t="s">
        <v>6</v>
      </c>
      <c r="D107" s="64" t="s">
        <v>8</v>
      </c>
      <c r="E107" s="64" t="s">
        <v>7</v>
      </c>
      <c r="F107" s="64" t="s">
        <v>132</v>
      </c>
      <c r="G107" s="64" t="str">
        <f t="shared" si="32"/>
        <v>GbpLibor3M</v>
      </c>
      <c r="H107" s="62" t="str">
        <f t="shared" si="33"/>
        <v>GBPSB6L15M_Quote</v>
      </c>
      <c r="I107" s="62" t="str">
        <f t="shared" si="34"/>
        <v>GBP3L6L15M_Quote</v>
      </c>
      <c r="J107" s="67"/>
      <c r="L107" s="74" t="str">
        <f t="shared" si="29"/>
        <v>BasSw</v>
      </c>
      <c r="M107" s="144" t="str">
        <f t="shared" si="30"/>
        <v>--</v>
      </c>
      <c r="N107" s="152" t="str">
        <f>IFERROR(_xll.qlRateHelperQuoteName(M107,Trigger),"--")</f>
        <v>--</v>
      </c>
      <c r="O107" s="145" t="str">
        <f>IFERROR(_xll.qlRateHelperQuoteValue($M107,Trigger),"--")</f>
        <v>--</v>
      </c>
      <c r="P107" s="144" t="b">
        <v>0</v>
      </c>
      <c r="Q107" s="144">
        <v>40</v>
      </c>
      <c r="R107" s="144">
        <v>1</v>
      </c>
      <c r="S107" s="146" t="str">
        <f>IFERROR(_xll.qlRateHelperEarliestDate(M107,Trigger),"--")</f>
        <v>--</v>
      </c>
      <c r="T107" s="146" t="str">
        <f>IFERROR(_xll.qlRateHelperPillarDate(M107,Trigger),"--")</f>
        <v>--</v>
      </c>
      <c r="V107" s="4" t="str">
        <f t="shared" si="26"/>
        <v/>
      </c>
      <c r="W107" s="4" t="e">
        <v>#N/A</v>
      </c>
      <c r="X107" s="4" t="str">
        <f>IFERROR(_xll.qlRateHelperQuoteName(W107,Trigger),"")</f>
        <v/>
      </c>
      <c r="Y107" s="73" t="str">
        <f>IFERROR(_xll.qlRateHelperRate(W107,Trigger),"")</f>
        <v/>
      </c>
      <c r="Z107" s="105" t="str">
        <f>IF(ISERROR(_xll.qlSwapRateHelperSpread($W107)),IF(ISERROR(_xll.qlFuturesRateHelperConvexityAdjustment($W107)),"",_xll.qlFuturesRateHelperConvexityAdjustment($W107)),_xll.qlSwapRateHelperSpread($W107))</f>
        <v/>
      </c>
      <c r="AA107" s="5" t="str">
        <f>IFERROR(_xll.qlRateHelperEarliestDate(W107,Trigger),"")</f>
        <v/>
      </c>
      <c r="AB107" s="5" t="str">
        <f>IFERROR(_xll.qlRateHelperPillarDate(W107,Trigger),"")</f>
        <v/>
      </c>
      <c r="AC107" s="241" t="e">
        <v>#N/A</v>
      </c>
    </row>
    <row r="108" spans="1:29" x14ac:dyDescent="0.2">
      <c r="A108" s="62" t="s">
        <v>120</v>
      </c>
      <c r="B108" s="117" t="s">
        <v>50</v>
      </c>
      <c r="C108" s="64" t="s">
        <v>6</v>
      </c>
      <c r="D108" s="64" t="s">
        <v>8</v>
      </c>
      <c r="E108" s="64" t="s">
        <v>7</v>
      </c>
      <c r="F108" s="64" t="s">
        <v>132</v>
      </c>
      <c r="G108" s="64" t="str">
        <f t="shared" si="32"/>
        <v>GbpLibor3M</v>
      </c>
      <c r="H108" s="62" t="str">
        <f t="shared" si="33"/>
        <v>GBPSB6L18M_Quote</v>
      </c>
      <c r="I108" s="62" t="str">
        <f t="shared" si="34"/>
        <v>GBP3L6L18M_Quote</v>
      </c>
      <c r="J108" s="67"/>
      <c r="L108" s="74" t="str">
        <f t="shared" si="29"/>
        <v>BasSw</v>
      </c>
      <c r="M108" s="144" t="str">
        <f t="shared" si="30"/>
        <v>--</v>
      </c>
      <c r="N108" s="152" t="str">
        <f>IFERROR(_xll.qlRateHelperQuoteName(M108,Trigger),"--")</f>
        <v>--</v>
      </c>
      <c r="O108" s="145" t="str">
        <f>IFERROR(_xll.qlRateHelperQuoteValue($M108,Trigger),"--")</f>
        <v>--</v>
      </c>
      <c r="P108" s="144" t="b">
        <v>0</v>
      </c>
      <c r="Q108" s="144">
        <v>40</v>
      </c>
      <c r="R108" s="144">
        <v>1</v>
      </c>
      <c r="S108" s="146" t="str">
        <f>IFERROR(_xll.qlRateHelperEarliestDate(M108,Trigger),"--")</f>
        <v>--</v>
      </c>
      <c r="T108" s="146" t="str">
        <f>IFERROR(_xll.qlRateHelperPillarDate(M108,Trigger),"--")</f>
        <v>--</v>
      </c>
      <c r="V108" s="4" t="str">
        <f t="shared" si="26"/>
        <v/>
      </c>
      <c r="W108" s="4" t="e">
        <v>#N/A</v>
      </c>
      <c r="X108" s="4" t="str">
        <f>IFERROR(_xll.qlRateHelperQuoteName(W108,Trigger),"")</f>
        <v/>
      </c>
      <c r="Y108" s="73" t="str">
        <f>IFERROR(_xll.qlRateHelperRate(W108,Trigger),"")</f>
        <v/>
      </c>
      <c r="Z108" s="105" t="str">
        <f>IF(ISERROR(_xll.qlSwapRateHelperSpread($W108)),IF(ISERROR(_xll.qlFuturesRateHelperConvexityAdjustment($W108)),"",_xll.qlFuturesRateHelperConvexityAdjustment($W108)),_xll.qlSwapRateHelperSpread($W108))</f>
        <v/>
      </c>
      <c r="AA108" s="5" t="str">
        <f>IFERROR(_xll.qlRateHelperEarliestDate(W108,Trigger),"")</f>
        <v/>
      </c>
      <c r="AB108" s="5" t="str">
        <f>IFERROR(_xll.qlRateHelperPillarDate(W108,Trigger),"")</f>
        <v/>
      </c>
      <c r="AC108" s="241" t="e">
        <v>#N/A</v>
      </c>
    </row>
    <row r="109" spans="1:29" x14ac:dyDescent="0.2">
      <c r="A109" s="62" t="s">
        <v>120</v>
      </c>
      <c r="B109" s="117" t="s">
        <v>51</v>
      </c>
      <c r="C109" s="64" t="s">
        <v>6</v>
      </c>
      <c r="D109" s="64" t="s">
        <v>8</v>
      </c>
      <c r="E109" s="64" t="s">
        <v>7</v>
      </c>
      <c r="F109" s="64" t="s">
        <v>132</v>
      </c>
      <c r="G109" s="64" t="str">
        <f t="shared" si="32"/>
        <v>GbpLibor3M</v>
      </c>
      <c r="H109" s="62" t="str">
        <f t="shared" si="33"/>
        <v>GBPSB6L21M_Quote</v>
      </c>
      <c r="I109" s="62" t="str">
        <f t="shared" si="34"/>
        <v>GBP3L6L21M_Quote</v>
      </c>
      <c r="J109" s="67"/>
      <c r="L109" s="74" t="str">
        <f t="shared" si="29"/>
        <v>BasSw</v>
      </c>
      <c r="M109" s="144" t="str">
        <f t="shared" si="30"/>
        <v>--</v>
      </c>
      <c r="N109" s="152" t="str">
        <f>IFERROR(_xll.qlRateHelperQuoteName(M109,Trigger),"--")</f>
        <v>--</v>
      </c>
      <c r="O109" s="145" t="str">
        <f>IFERROR(_xll.qlRateHelperQuoteValue($M109,Trigger),"--")</f>
        <v>--</v>
      </c>
      <c r="P109" s="144" t="b">
        <v>0</v>
      </c>
      <c r="Q109" s="144">
        <v>40</v>
      </c>
      <c r="R109" s="144">
        <v>1</v>
      </c>
      <c r="S109" s="146" t="str">
        <f>IFERROR(_xll.qlRateHelperEarliestDate(M109,Trigger),"--")</f>
        <v>--</v>
      </c>
      <c r="T109" s="146" t="str">
        <f>IFERROR(_xll.qlRateHelperPillarDate(M109,Trigger),"--")</f>
        <v>--</v>
      </c>
      <c r="V109" s="4" t="str">
        <f t="shared" si="26"/>
        <v/>
      </c>
      <c r="W109" s="4" t="e">
        <v>#N/A</v>
      </c>
      <c r="X109" s="4" t="str">
        <f>IFERROR(_xll.qlRateHelperQuoteName(W109,Trigger),"")</f>
        <v/>
      </c>
      <c r="Y109" s="73" t="str">
        <f>IFERROR(_xll.qlRateHelperRate(W109,Trigger),"")</f>
        <v/>
      </c>
      <c r="Z109" s="105" t="str">
        <f>IF(ISERROR(_xll.qlSwapRateHelperSpread($W109)),IF(ISERROR(_xll.qlFuturesRateHelperConvexityAdjustment($W109)),"",_xll.qlFuturesRateHelperConvexityAdjustment($W109)),_xll.qlSwapRateHelperSpread($W109))</f>
        <v/>
      </c>
      <c r="AA109" s="5" t="str">
        <f>IFERROR(_xll.qlRateHelperEarliestDate(W109,Trigger),"")</f>
        <v/>
      </c>
      <c r="AB109" s="5" t="str">
        <f>IFERROR(_xll.qlRateHelperPillarDate(W109,Trigger),"")</f>
        <v/>
      </c>
      <c r="AC109" s="241" t="e">
        <v>#N/A</v>
      </c>
    </row>
    <row r="110" spans="1:29" x14ac:dyDescent="0.2">
      <c r="A110" s="62" t="s">
        <v>120</v>
      </c>
      <c r="B110" s="117" t="s">
        <v>52</v>
      </c>
      <c r="C110" s="64" t="s">
        <v>6</v>
      </c>
      <c r="D110" s="64" t="s">
        <v>8</v>
      </c>
      <c r="E110" s="64" t="s">
        <v>7</v>
      </c>
      <c r="F110" s="64" t="s">
        <v>132</v>
      </c>
      <c r="G110" s="64" t="str">
        <f t="shared" si="32"/>
        <v>GbpLibor3M</v>
      </c>
      <c r="H110" s="62" t="str">
        <f t="shared" si="33"/>
        <v>GBPSB6L2Y_Quote</v>
      </c>
      <c r="I110" s="62" t="str">
        <f t="shared" si="34"/>
        <v>GBP3L6L2Y_Quote</v>
      </c>
      <c r="J110" s="67"/>
      <c r="L110" s="74" t="str">
        <f t="shared" si="29"/>
        <v>BasSw</v>
      </c>
      <c r="M110" s="144" t="str">
        <f t="shared" si="30"/>
        <v>--</v>
      </c>
      <c r="N110" s="152" t="str">
        <f>IFERROR(_xll.qlRateHelperQuoteName(M110,Trigger),"--")</f>
        <v>--</v>
      </c>
      <c r="O110" s="145" t="str">
        <f>IFERROR(_xll.qlRateHelperQuoteValue($M110,Trigger),"--")</f>
        <v>--</v>
      </c>
      <c r="P110" s="144" t="b">
        <v>0</v>
      </c>
      <c r="Q110" s="144">
        <v>40</v>
      </c>
      <c r="R110" s="144">
        <v>1</v>
      </c>
      <c r="S110" s="146" t="str">
        <f>IFERROR(_xll.qlRateHelperEarliestDate(M110,Trigger),"--")</f>
        <v>--</v>
      </c>
      <c r="T110" s="146" t="str">
        <f>IFERROR(_xll.qlRateHelperPillarDate(M110,Trigger),"--")</f>
        <v>--</v>
      </c>
      <c r="V110" s="4" t="str">
        <f t="shared" si="26"/>
        <v/>
      </c>
      <c r="W110" s="4" t="e">
        <v>#N/A</v>
      </c>
      <c r="X110" s="4" t="str">
        <f>IFERROR(_xll.qlRateHelperQuoteName(W110,Trigger),"")</f>
        <v/>
      </c>
      <c r="Y110" s="73" t="str">
        <f>IFERROR(_xll.qlRateHelperRate(W110,Trigger),"")</f>
        <v/>
      </c>
      <c r="Z110" s="105" t="str">
        <f>IF(ISERROR(_xll.qlSwapRateHelperSpread($W110)),IF(ISERROR(_xll.qlFuturesRateHelperConvexityAdjustment($W110)),"",_xll.qlFuturesRateHelperConvexityAdjustment($W110)),_xll.qlSwapRateHelperSpread($W110))</f>
        <v/>
      </c>
      <c r="AA110" s="5" t="str">
        <f>IFERROR(_xll.qlRateHelperEarliestDate(W110,Trigger),"")</f>
        <v/>
      </c>
      <c r="AB110" s="5" t="str">
        <f>IFERROR(_xll.qlRateHelperPillarDate(W110,Trigger),"")</f>
        <v/>
      </c>
      <c r="AC110" s="241" t="e">
        <v>#N/A</v>
      </c>
    </row>
    <row r="111" spans="1:29" x14ac:dyDescent="0.2">
      <c r="A111" s="62" t="s">
        <v>120</v>
      </c>
      <c r="B111" s="117" t="s">
        <v>53</v>
      </c>
      <c r="C111" s="64" t="s">
        <v>6</v>
      </c>
      <c r="D111" s="64" t="s">
        <v>8</v>
      </c>
      <c r="E111" s="64" t="s">
        <v>7</v>
      </c>
      <c r="F111" s="64" t="s">
        <v>132</v>
      </c>
      <c r="G111" s="64" t="str">
        <f t="shared" si="32"/>
        <v>GbpLibor3M</v>
      </c>
      <c r="H111" s="62" t="str">
        <f t="shared" si="33"/>
        <v>GBPSB6L3Y_Quote</v>
      </c>
      <c r="I111" s="62" t="str">
        <f t="shared" si="34"/>
        <v>GBP3L6L3Y_Quote</v>
      </c>
      <c r="J111" s="67"/>
      <c r="L111" s="74" t="str">
        <f t="shared" si="29"/>
        <v>BasSw</v>
      </c>
      <c r="M111" s="144" t="str">
        <f t="shared" si="30"/>
        <v>--</v>
      </c>
      <c r="N111" s="152" t="str">
        <f>IFERROR(_xll.qlRateHelperQuoteName(M111,Trigger),"--")</f>
        <v>--</v>
      </c>
      <c r="O111" s="145" t="str">
        <f>IFERROR(_xll.qlRateHelperQuoteValue($M111,Trigger),"--")</f>
        <v>--</v>
      </c>
      <c r="P111" s="144" t="b">
        <v>0</v>
      </c>
      <c r="Q111" s="144">
        <v>40</v>
      </c>
      <c r="R111" s="144">
        <v>1</v>
      </c>
      <c r="S111" s="146" t="str">
        <f>IFERROR(_xll.qlRateHelperEarliestDate(M111,Trigger),"--")</f>
        <v>--</v>
      </c>
      <c r="T111" s="146" t="str">
        <f>IFERROR(_xll.qlRateHelperPillarDate(M111,Trigger),"--")</f>
        <v>--</v>
      </c>
      <c r="V111" s="4" t="str">
        <f t="shared" si="26"/>
        <v/>
      </c>
      <c r="W111" s="4" t="e">
        <v>#N/A</v>
      </c>
      <c r="X111" s="4" t="str">
        <f>IFERROR(_xll.qlRateHelperQuoteName(W111,Trigger),"")</f>
        <v/>
      </c>
      <c r="Y111" s="73" t="str">
        <f>IFERROR(_xll.qlRateHelperRate(W111,Trigger),"")</f>
        <v/>
      </c>
      <c r="Z111" s="105" t="str">
        <f>IF(ISERROR(_xll.qlSwapRateHelperSpread($W111)),IF(ISERROR(_xll.qlFuturesRateHelperConvexityAdjustment($W111)),"",_xll.qlFuturesRateHelperConvexityAdjustment($W111)),_xll.qlSwapRateHelperSpread($W111))</f>
        <v/>
      </c>
      <c r="AA111" s="5" t="str">
        <f>IFERROR(_xll.qlRateHelperEarliestDate(W111,Trigger),"")</f>
        <v/>
      </c>
      <c r="AB111" s="5" t="str">
        <f>IFERROR(_xll.qlRateHelperPillarDate(W111,Trigger),"")</f>
        <v/>
      </c>
      <c r="AC111" s="241" t="e">
        <v>#N/A</v>
      </c>
    </row>
    <row r="112" spans="1:29" x14ac:dyDescent="0.2">
      <c r="A112" s="62" t="s">
        <v>120</v>
      </c>
      <c r="B112" s="117" t="s">
        <v>54</v>
      </c>
      <c r="C112" s="64" t="s">
        <v>6</v>
      </c>
      <c r="D112" s="64" t="s">
        <v>8</v>
      </c>
      <c r="E112" s="64" t="s">
        <v>7</v>
      </c>
      <c r="F112" s="64" t="s">
        <v>132</v>
      </c>
      <c r="G112" s="64" t="str">
        <f t="shared" si="32"/>
        <v>GbpLibor3M</v>
      </c>
      <c r="H112" s="62" t="str">
        <f t="shared" si="33"/>
        <v>GBPSB6L4Y_Quote</v>
      </c>
      <c r="I112" s="62" t="str">
        <f t="shared" si="34"/>
        <v>GBP3L6L4Y_Quote</v>
      </c>
      <c r="J112" s="67"/>
      <c r="L112" s="74" t="str">
        <f t="shared" si="29"/>
        <v>BasSw</v>
      </c>
      <c r="M112" s="144" t="str">
        <f t="shared" si="30"/>
        <v>--</v>
      </c>
      <c r="N112" s="152" t="str">
        <f>IFERROR(_xll.qlRateHelperQuoteName(M112,Trigger),"--")</f>
        <v>--</v>
      </c>
      <c r="O112" s="145" t="str">
        <f>IFERROR(_xll.qlRateHelperQuoteValue($M112,Trigger),"--")</f>
        <v>--</v>
      </c>
      <c r="P112" s="144" t="b">
        <v>0</v>
      </c>
      <c r="Q112" s="144">
        <v>40</v>
      </c>
      <c r="R112" s="144">
        <v>1</v>
      </c>
      <c r="S112" s="146" t="str">
        <f>IFERROR(_xll.qlRateHelperEarliestDate(M112,Trigger),"--")</f>
        <v>--</v>
      </c>
      <c r="T112" s="146" t="str">
        <f>IFERROR(_xll.qlRateHelperPillarDate(M112,Trigger),"--")</f>
        <v>--</v>
      </c>
      <c r="V112" s="4" t="str">
        <f t="shared" si="26"/>
        <v/>
      </c>
      <c r="W112" s="4" t="e">
        <v>#N/A</v>
      </c>
      <c r="X112" s="4" t="str">
        <f>IFERROR(_xll.qlRateHelperQuoteName(W112,Trigger),"")</f>
        <v/>
      </c>
      <c r="Y112" s="73" t="str">
        <f>IFERROR(_xll.qlRateHelperRate(W112,Trigger),"")</f>
        <v/>
      </c>
      <c r="Z112" s="105" t="str">
        <f>IF(ISERROR(_xll.qlSwapRateHelperSpread($W112)),IF(ISERROR(_xll.qlFuturesRateHelperConvexityAdjustment($W112)),"",_xll.qlFuturesRateHelperConvexityAdjustment($W112)),_xll.qlSwapRateHelperSpread($W112))</f>
        <v/>
      </c>
      <c r="AA112" s="5" t="str">
        <f>IFERROR(_xll.qlRateHelperEarliestDate(W112,Trigger),"")</f>
        <v/>
      </c>
      <c r="AB112" s="5" t="str">
        <f>IFERROR(_xll.qlRateHelperPillarDate(W112,Trigger),"")</f>
        <v/>
      </c>
      <c r="AC112" s="241" t="e">
        <v>#N/A</v>
      </c>
    </row>
    <row r="113" spans="1:29" x14ac:dyDescent="0.2">
      <c r="A113" s="62" t="s">
        <v>120</v>
      </c>
      <c r="B113" s="117" t="s">
        <v>55</v>
      </c>
      <c r="C113" s="64" t="s">
        <v>6</v>
      </c>
      <c r="D113" s="64" t="s">
        <v>8</v>
      </c>
      <c r="E113" s="64" t="s">
        <v>7</v>
      </c>
      <c r="F113" s="64" t="s">
        <v>132</v>
      </c>
      <c r="G113" s="64" t="str">
        <f t="shared" si="32"/>
        <v>GbpLibor3M</v>
      </c>
      <c r="H113" s="62" t="str">
        <f t="shared" si="33"/>
        <v>GBPSB6L5Y_Quote</v>
      </c>
      <c r="I113" s="62" t="str">
        <f t="shared" si="34"/>
        <v>GBP3L6L5Y_Quote</v>
      </c>
      <c r="J113" s="67"/>
      <c r="L113" s="74" t="str">
        <f t="shared" si="29"/>
        <v>BasSw</v>
      </c>
      <c r="M113" s="144" t="str">
        <f t="shared" si="30"/>
        <v>--</v>
      </c>
      <c r="N113" s="152" t="str">
        <f>IFERROR(_xll.qlRateHelperQuoteName(M113,Trigger),"--")</f>
        <v>--</v>
      </c>
      <c r="O113" s="145" t="str">
        <f>IFERROR(_xll.qlRateHelperQuoteValue($M113,Trigger),"--")</f>
        <v>--</v>
      </c>
      <c r="P113" s="144" t="b">
        <v>0</v>
      </c>
      <c r="Q113" s="144">
        <v>40</v>
      </c>
      <c r="R113" s="144">
        <v>1</v>
      </c>
      <c r="S113" s="146" t="str">
        <f>IFERROR(_xll.qlRateHelperEarliestDate(M113,Trigger),"--")</f>
        <v>--</v>
      </c>
      <c r="T113" s="146" t="str">
        <f>IFERROR(_xll.qlRateHelperPillarDate(M113,Trigger),"--")</f>
        <v>--</v>
      </c>
      <c r="V113" s="4" t="str">
        <f t="shared" si="26"/>
        <v/>
      </c>
      <c r="W113" s="4" t="e">
        <v>#N/A</v>
      </c>
      <c r="X113" s="4" t="str">
        <f>IFERROR(_xll.qlRateHelperQuoteName(W113,Trigger),"")</f>
        <v/>
      </c>
      <c r="Y113" s="73" t="str">
        <f>IFERROR(_xll.qlRateHelperRate(W113,Trigger),"")</f>
        <v/>
      </c>
      <c r="Z113" s="105" t="str">
        <f>IF(ISERROR(_xll.qlSwapRateHelperSpread($W113)),IF(ISERROR(_xll.qlFuturesRateHelperConvexityAdjustment($W113)),"",_xll.qlFuturesRateHelperConvexityAdjustment($W113)),_xll.qlSwapRateHelperSpread($W113))</f>
        <v/>
      </c>
      <c r="AA113" s="5" t="str">
        <f>IFERROR(_xll.qlRateHelperEarliestDate(W113,Trigger),"")</f>
        <v/>
      </c>
      <c r="AB113" s="5" t="str">
        <f>IFERROR(_xll.qlRateHelperPillarDate(W113,Trigger),"")</f>
        <v/>
      </c>
      <c r="AC113" s="241" t="e">
        <v>#N/A</v>
      </c>
    </row>
    <row r="114" spans="1:29" x14ac:dyDescent="0.2">
      <c r="A114" s="62" t="s">
        <v>120</v>
      </c>
      <c r="B114" s="117" t="s">
        <v>56</v>
      </c>
      <c r="C114" s="64" t="s">
        <v>6</v>
      </c>
      <c r="D114" s="64" t="s">
        <v>8</v>
      </c>
      <c r="E114" s="64" t="s">
        <v>7</v>
      </c>
      <c r="F114" s="64" t="s">
        <v>132</v>
      </c>
      <c r="G114" s="64" t="str">
        <f t="shared" si="32"/>
        <v>GbpLibor3M</v>
      </c>
      <c r="H114" s="62" t="str">
        <f t="shared" si="33"/>
        <v>GBPSB6L6Y_Quote</v>
      </c>
      <c r="I114" s="62" t="str">
        <f t="shared" si="34"/>
        <v>GBP3L6L6Y_Quote</v>
      </c>
      <c r="J114" s="67"/>
      <c r="L114" s="74" t="str">
        <f t="shared" si="29"/>
        <v>BasSw</v>
      </c>
      <c r="M114" s="144" t="str">
        <f t="shared" si="30"/>
        <v>--</v>
      </c>
      <c r="N114" s="152" t="str">
        <f>IFERROR(_xll.qlRateHelperQuoteName(M114,Trigger),"--")</f>
        <v>--</v>
      </c>
      <c r="O114" s="145" t="str">
        <f>IFERROR(_xll.qlRateHelperQuoteValue($M114,Trigger),"--")</f>
        <v>--</v>
      </c>
      <c r="P114" s="144" t="b">
        <v>0</v>
      </c>
      <c r="Q114" s="144">
        <v>40</v>
      </c>
      <c r="R114" s="144">
        <v>1</v>
      </c>
      <c r="S114" s="146" t="str">
        <f>IFERROR(_xll.qlRateHelperEarliestDate(M114,Trigger),"--")</f>
        <v>--</v>
      </c>
      <c r="T114" s="146" t="str">
        <f>IFERROR(_xll.qlRateHelperPillarDate(M114,Trigger),"--")</f>
        <v>--</v>
      </c>
      <c r="V114" s="4" t="str">
        <f t="shared" si="26"/>
        <v/>
      </c>
      <c r="W114" s="4" t="e">
        <v>#N/A</v>
      </c>
      <c r="X114" s="4" t="str">
        <f>IFERROR(_xll.qlRateHelperQuoteName(W114,Trigger),"")</f>
        <v/>
      </c>
      <c r="Y114" s="73" t="str">
        <f>IFERROR(_xll.qlRateHelperRate(W114,Trigger),"")</f>
        <v/>
      </c>
      <c r="Z114" s="105" t="str">
        <f>IF(ISERROR(_xll.qlSwapRateHelperSpread($W114)),IF(ISERROR(_xll.qlFuturesRateHelperConvexityAdjustment($W114)),"",_xll.qlFuturesRateHelperConvexityAdjustment($W114)),_xll.qlSwapRateHelperSpread($W114))</f>
        <v/>
      </c>
      <c r="AA114" s="5" t="str">
        <f>IFERROR(_xll.qlRateHelperEarliestDate(W114,Trigger),"")</f>
        <v/>
      </c>
      <c r="AB114" s="5" t="str">
        <f>IFERROR(_xll.qlRateHelperPillarDate(W114,Trigger),"")</f>
        <v/>
      </c>
      <c r="AC114" s="241" t="e">
        <v>#N/A</v>
      </c>
    </row>
    <row r="115" spans="1:29" x14ac:dyDescent="0.2">
      <c r="A115" s="62" t="s">
        <v>120</v>
      </c>
      <c r="B115" s="117" t="s">
        <v>57</v>
      </c>
      <c r="C115" s="64" t="s">
        <v>6</v>
      </c>
      <c r="D115" s="64" t="s">
        <v>8</v>
      </c>
      <c r="E115" s="64" t="s">
        <v>7</v>
      </c>
      <c r="F115" s="64" t="s">
        <v>132</v>
      </c>
      <c r="G115" s="64" t="str">
        <f t="shared" si="32"/>
        <v>GbpLibor3M</v>
      </c>
      <c r="H115" s="62" t="str">
        <f t="shared" si="33"/>
        <v>GBPSB6L7Y_Quote</v>
      </c>
      <c r="I115" s="62" t="str">
        <f t="shared" si="34"/>
        <v>GBP3L6L7Y_Quote</v>
      </c>
      <c r="J115" s="67"/>
      <c r="L115" s="74" t="str">
        <f t="shared" si="29"/>
        <v>BasSw</v>
      </c>
      <c r="M115" s="144" t="str">
        <f t="shared" si="30"/>
        <v>--</v>
      </c>
      <c r="N115" s="152" t="str">
        <f>IFERROR(_xll.qlRateHelperQuoteName(M115,Trigger),"--")</f>
        <v>--</v>
      </c>
      <c r="O115" s="145" t="str">
        <f>IFERROR(_xll.qlRateHelperQuoteValue($M115,Trigger),"--")</f>
        <v>--</v>
      </c>
      <c r="P115" s="144" t="b">
        <v>0</v>
      </c>
      <c r="Q115" s="144">
        <v>40</v>
      </c>
      <c r="R115" s="144">
        <v>1</v>
      </c>
      <c r="S115" s="146" t="str">
        <f>IFERROR(_xll.qlRateHelperEarliestDate(M115,Trigger),"--")</f>
        <v>--</v>
      </c>
      <c r="T115" s="146" t="str">
        <f>IFERROR(_xll.qlRateHelperPillarDate(M115,Trigger),"--")</f>
        <v>--</v>
      </c>
      <c r="V115" s="4" t="str">
        <f t="shared" si="26"/>
        <v/>
      </c>
      <c r="W115" s="4" t="e">
        <v>#N/A</v>
      </c>
      <c r="X115" s="4" t="str">
        <f>IFERROR(_xll.qlRateHelperQuoteName(W115,Trigger),"")</f>
        <v/>
      </c>
      <c r="Y115" s="73" t="str">
        <f>IFERROR(_xll.qlRateHelperRate(W115,Trigger),"")</f>
        <v/>
      </c>
      <c r="Z115" s="105" t="str">
        <f>IF(ISERROR(_xll.qlSwapRateHelperSpread($W115)),IF(ISERROR(_xll.qlFuturesRateHelperConvexityAdjustment($W115)),"",_xll.qlFuturesRateHelperConvexityAdjustment($W115)),_xll.qlSwapRateHelperSpread($W115))</f>
        <v/>
      </c>
      <c r="AA115" s="5" t="str">
        <f>IFERROR(_xll.qlRateHelperEarliestDate(W115,Trigger),"")</f>
        <v/>
      </c>
      <c r="AB115" s="5" t="str">
        <f>IFERROR(_xll.qlRateHelperPillarDate(W115,Trigger),"")</f>
        <v/>
      </c>
      <c r="AC115" s="241" t="e">
        <v>#N/A</v>
      </c>
    </row>
    <row r="116" spans="1:29" x14ac:dyDescent="0.2">
      <c r="A116" s="62" t="s">
        <v>120</v>
      </c>
      <c r="B116" s="117" t="s">
        <v>58</v>
      </c>
      <c r="C116" s="64" t="s">
        <v>6</v>
      </c>
      <c r="D116" s="64" t="s">
        <v>8</v>
      </c>
      <c r="E116" s="64" t="s">
        <v>7</v>
      </c>
      <c r="F116" s="64" t="s">
        <v>132</v>
      </c>
      <c r="G116" s="64" t="str">
        <f t="shared" si="32"/>
        <v>GbpLibor3M</v>
      </c>
      <c r="H116" s="62" t="str">
        <f t="shared" si="33"/>
        <v>GBPSB6L8Y_Quote</v>
      </c>
      <c r="I116" s="62" t="str">
        <f t="shared" si="34"/>
        <v>GBP3L6L8Y_Quote</v>
      </c>
      <c r="J116" s="67"/>
      <c r="L116" s="74" t="str">
        <f t="shared" si="29"/>
        <v>BasSw</v>
      </c>
      <c r="M116" s="144" t="str">
        <f t="shared" si="30"/>
        <v>--</v>
      </c>
      <c r="N116" s="152" t="str">
        <f>IFERROR(_xll.qlRateHelperQuoteName(M116,Trigger),"--")</f>
        <v>--</v>
      </c>
      <c r="O116" s="145" t="str">
        <f>IFERROR(_xll.qlRateHelperQuoteValue($M116,Trigger),"--")</f>
        <v>--</v>
      </c>
      <c r="P116" s="144" t="b">
        <v>0</v>
      </c>
      <c r="Q116" s="144">
        <v>40</v>
      </c>
      <c r="R116" s="144">
        <v>1</v>
      </c>
      <c r="S116" s="146" t="str">
        <f>IFERROR(_xll.qlRateHelperEarliestDate(M116,Trigger),"--")</f>
        <v>--</v>
      </c>
      <c r="T116" s="146" t="str">
        <f>IFERROR(_xll.qlRateHelperPillarDate(M116,Trigger),"--")</f>
        <v>--</v>
      </c>
      <c r="V116" s="4" t="str">
        <f t="shared" si="26"/>
        <v/>
      </c>
      <c r="W116" s="4" t="e">
        <v>#N/A</v>
      </c>
      <c r="X116" s="4" t="str">
        <f>IFERROR(_xll.qlRateHelperQuoteName(W116,Trigger),"")</f>
        <v/>
      </c>
      <c r="Y116" s="73" t="str">
        <f>IFERROR(_xll.qlRateHelperRate(W116,Trigger),"")</f>
        <v/>
      </c>
      <c r="Z116" s="105" t="str">
        <f>IF(ISERROR(_xll.qlSwapRateHelperSpread($W116)),IF(ISERROR(_xll.qlFuturesRateHelperConvexityAdjustment($W116)),"",_xll.qlFuturesRateHelperConvexityAdjustment($W116)),_xll.qlSwapRateHelperSpread($W116))</f>
        <v/>
      </c>
      <c r="AA116" s="5" t="str">
        <f>IFERROR(_xll.qlRateHelperEarliestDate(W116,Trigger),"")</f>
        <v/>
      </c>
      <c r="AB116" s="5" t="str">
        <f>IFERROR(_xll.qlRateHelperPillarDate(W116,Trigger),"")</f>
        <v/>
      </c>
      <c r="AC116" s="241" t="e">
        <v>#N/A</v>
      </c>
    </row>
    <row r="117" spans="1:29" x14ac:dyDescent="0.2">
      <c r="A117" s="62" t="s">
        <v>120</v>
      </c>
      <c r="B117" s="117" t="s">
        <v>59</v>
      </c>
      <c r="C117" s="64" t="s">
        <v>6</v>
      </c>
      <c r="D117" s="64" t="s">
        <v>8</v>
      </c>
      <c r="E117" s="64" t="s">
        <v>7</v>
      </c>
      <c r="F117" s="64" t="s">
        <v>132</v>
      </c>
      <c r="G117" s="64" t="str">
        <f t="shared" si="32"/>
        <v>GbpLibor3M</v>
      </c>
      <c r="H117" s="62" t="str">
        <f t="shared" si="33"/>
        <v>GBPSB6L9Y_Quote</v>
      </c>
      <c r="I117" s="62" t="str">
        <f t="shared" si="34"/>
        <v>GBP3L6L9Y_Quote</v>
      </c>
      <c r="J117" s="67"/>
      <c r="L117" s="74" t="str">
        <f t="shared" si="29"/>
        <v>BasSw</v>
      </c>
      <c r="M117" s="144" t="str">
        <f t="shared" si="30"/>
        <v>--</v>
      </c>
      <c r="N117" s="152" t="str">
        <f>IFERROR(_xll.qlRateHelperQuoteName(M117,Trigger),"--")</f>
        <v>--</v>
      </c>
      <c r="O117" s="145" t="str">
        <f>IFERROR(_xll.qlRateHelperQuoteValue($M117,Trigger),"--")</f>
        <v>--</v>
      </c>
      <c r="P117" s="144" t="b">
        <v>0</v>
      </c>
      <c r="Q117" s="144">
        <v>40</v>
      </c>
      <c r="R117" s="144">
        <v>1</v>
      </c>
      <c r="S117" s="146" t="str">
        <f>IFERROR(_xll.qlRateHelperEarliestDate(M117,Trigger),"--")</f>
        <v>--</v>
      </c>
      <c r="T117" s="146" t="str">
        <f>IFERROR(_xll.qlRateHelperPillarDate(M117,Trigger),"--")</f>
        <v>--</v>
      </c>
      <c r="V117" s="4" t="str">
        <f t="shared" si="26"/>
        <v/>
      </c>
      <c r="W117" s="4" t="e">
        <v>#N/A</v>
      </c>
      <c r="X117" s="4" t="str">
        <f>IFERROR(_xll.qlRateHelperQuoteName(W117,Trigger),"")</f>
        <v/>
      </c>
      <c r="Y117" s="73" t="str">
        <f>IFERROR(_xll.qlRateHelperRate(W117,Trigger),"")</f>
        <v/>
      </c>
      <c r="Z117" s="105" t="str">
        <f>IF(ISERROR(_xll.qlSwapRateHelperSpread($W117)),IF(ISERROR(_xll.qlFuturesRateHelperConvexityAdjustment($W117)),"",_xll.qlFuturesRateHelperConvexityAdjustment($W117)),_xll.qlSwapRateHelperSpread($W117))</f>
        <v/>
      </c>
      <c r="AA117" s="5" t="str">
        <f>IFERROR(_xll.qlRateHelperEarliestDate(W117,Trigger),"")</f>
        <v/>
      </c>
      <c r="AB117" s="5" t="str">
        <f>IFERROR(_xll.qlRateHelperPillarDate(W117,Trigger),"")</f>
        <v/>
      </c>
      <c r="AC117" s="241" t="e">
        <v>#N/A</v>
      </c>
    </row>
    <row r="118" spans="1:29" x14ac:dyDescent="0.2">
      <c r="A118" s="62" t="s">
        <v>120</v>
      </c>
      <c r="B118" s="117" t="s">
        <v>60</v>
      </c>
      <c r="C118" s="64" t="s">
        <v>6</v>
      </c>
      <c r="D118" s="64" t="s">
        <v>8</v>
      </c>
      <c r="E118" s="64" t="s">
        <v>7</v>
      </c>
      <c r="F118" s="64" t="s">
        <v>132</v>
      </c>
      <c r="G118" s="64" t="str">
        <f t="shared" si="32"/>
        <v>GbpLibor3M</v>
      </c>
      <c r="H118" s="62" t="str">
        <f t="shared" si="33"/>
        <v>GBPSB6L10Y_Quote</v>
      </c>
      <c r="I118" s="62" t="str">
        <f t="shared" si="34"/>
        <v>GBP3L6L10Y_Quote</v>
      </c>
      <c r="J118" s="67"/>
      <c r="L118" s="74" t="str">
        <f t="shared" si="29"/>
        <v>BasSw</v>
      </c>
      <c r="M118" s="144" t="str">
        <f t="shared" si="30"/>
        <v>--</v>
      </c>
      <c r="N118" s="152" t="str">
        <f>IFERROR(_xll.qlRateHelperQuoteName(M118,Trigger),"--")</f>
        <v>--</v>
      </c>
      <c r="O118" s="145" t="str">
        <f>IFERROR(_xll.qlRateHelperQuoteValue($M118,Trigger),"--")</f>
        <v>--</v>
      </c>
      <c r="P118" s="144" t="b">
        <v>0</v>
      </c>
      <c r="Q118" s="144">
        <v>40</v>
      </c>
      <c r="R118" s="144">
        <v>1</v>
      </c>
      <c r="S118" s="146" t="str">
        <f>IFERROR(_xll.qlRateHelperEarliestDate(M118,Trigger),"--")</f>
        <v>--</v>
      </c>
      <c r="T118" s="146" t="str">
        <f>IFERROR(_xll.qlRateHelperPillarDate(M118,Trigger),"--")</f>
        <v>--</v>
      </c>
      <c r="V118" s="4" t="str">
        <f t="shared" si="26"/>
        <v/>
      </c>
      <c r="W118" s="4" t="e">
        <v>#N/A</v>
      </c>
      <c r="X118" s="4" t="str">
        <f>IFERROR(_xll.qlRateHelperQuoteName(W118,Trigger),"")</f>
        <v/>
      </c>
      <c r="Y118" s="73" t="str">
        <f>IFERROR(_xll.qlRateHelperRate(W118,Trigger),"")</f>
        <v/>
      </c>
      <c r="Z118" s="105" t="str">
        <f>IF(ISERROR(_xll.qlSwapRateHelperSpread($W118)),IF(ISERROR(_xll.qlFuturesRateHelperConvexityAdjustment($W118)),"",_xll.qlFuturesRateHelperConvexityAdjustment($W118)),_xll.qlSwapRateHelperSpread($W118))</f>
        <v/>
      </c>
      <c r="AA118" s="5" t="str">
        <f>IFERROR(_xll.qlRateHelperEarliestDate(W118,Trigger),"")</f>
        <v/>
      </c>
      <c r="AB118" s="5" t="str">
        <f>IFERROR(_xll.qlRateHelperPillarDate(W118,Trigger),"")</f>
        <v/>
      </c>
      <c r="AC118" s="241" t="e">
        <v>#N/A</v>
      </c>
    </row>
    <row r="119" spans="1:29" x14ac:dyDescent="0.2">
      <c r="A119" s="62" t="s">
        <v>120</v>
      </c>
      <c r="B119" s="117" t="s">
        <v>102</v>
      </c>
      <c r="C119" s="64" t="s">
        <v>6</v>
      </c>
      <c r="D119" s="64" t="s">
        <v>8</v>
      </c>
      <c r="E119" s="64" t="s">
        <v>7</v>
      </c>
      <c r="F119" s="64" t="s">
        <v>132</v>
      </c>
      <c r="G119" s="64" t="str">
        <f t="shared" si="32"/>
        <v>GbpLibor3M</v>
      </c>
      <c r="H119" s="62" t="str">
        <f t="shared" si="33"/>
        <v>GBPSB6L11Y_Quote</v>
      </c>
      <c r="I119" s="62" t="str">
        <f t="shared" si="34"/>
        <v>GBP3L6L11Y_Quote</v>
      </c>
      <c r="J119" s="67"/>
      <c r="L119" s="74" t="str">
        <f t="shared" si="29"/>
        <v>BasSw</v>
      </c>
      <c r="M119" s="144" t="str">
        <f t="shared" si="30"/>
        <v>--</v>
      </c>
      <c r="N119" s="152" t="str">
        <f>IFERROR(_xll.qlRateHelperQuoteName(M119,Trigger),"--")</f>
        <v>--</v>
      </c>
      <c r="O119" s="145" t="str">
        <f>IFERROR(_xll.qlRateHelperQuoteValue($M119,Trigger),"--")</f>
        <v>--</v>
      </c>
      <c r="P119" s="144" t="b">
        <v>0</v>
      </c>
      <c r="Q119" s="144">
        <v>40</v>
      </c>
      <c r="R119" s="144">
        <v>1</v>
      </c>
      <c r="S119" s="146" t="str">
        <f>IFERROR(_xll.qlRateHelperEarliestDate(M119,Trigger),"--")</f>
        <v>--</v>
      </c>
      <c r="T119" s="146" t="str">
        <f>IFERROR(_xll.qlRateHelperPillarDate(M119,Trigger),"--")</f>
        <v>--</v>
      </c>
      <c r="V119" s="4" t="str">
        <f t="shared" si="26"/>
        <v/>
      </c>
      <c r="W119" s="4" t="e">
        <v>#N/A</v>
      </c>
      <c r="X119" s="4" t="str">
        <f>IFERROR(_xll.qlRateHelperQuoteName(W119,Trigger),"")</f>
        <v/>
      </c>
      <c r="Y119" s="73" t="str">
        <f>IFERROR(_xll.qlRateHelperRate(W119,Trigger),"")</f>
        <v/>
      </c>
      <c r="Z119" s="105" t="str">
        <f>IF(ISERROR(_xll.qlSwapRateHelperSpread($W119)),IF(ISERROR(_xll.qlFuturesRateHelperConvexityAdjustment($W119)),"",_xll.qlFuturesRateHelperConvexityAdjustment($W119)),_xll.qlSwapRateHelperSpread($W119))</f>
        <v/>
      </c>
      <c r="AA119" s="5" t="str">
        <f>IFERROR(_xll.qlRateHelperEarliestDate(W119,Trigger),"")</f>
        <v/>
      </c>
      <c r="AB119" s="5" t="str">
        <f>IFERROR(_xll.qlRateHelperPillarDate(W119,Trigger),"")</f>
        <v/>
      </c>
      <c r="AC119" s="241" t="e">
        <v>#N/A</v>
      </c>
    </row>
    <row r="120" spans="1:29" x14ac:dyDescent="0.2">
      <c r="A120" s="62" t="s">
        <v>120</v>
      </c>
      <c r="B120" s="117" t="s">
        <v>61</v>
      </c>
      <c r="C120" s="64" t="s">
        <v>6</v>
      </c>
      <c r="D120" s="64" t="s">
        <v>8</v>
      </c>
      <c r="E120" s="64" t="s">
        <v>7</v>
      </c>
      <c r="F120" s="64" t="s">
        <v>132</v>
      </c>
      <c r="G120" s="64" t="str">
        <f t="shared" si="32"/>
        <v>GbpLibor3M</v>
      </c>
      <c r="H120" s="62" t="str">
        <f t="shared" si="33"/>
        <v>GBPSB6L12Y_Quote</v>
      </c>
      <c r="I120" s="62" t="str">
        <f t="shared" si="34"/>
        <v>GBP3L6L12Y_Quote</v>
      </c>
      <c r="J120" s="67"/>
      <c r="L120" s="74" t="str">
        <f t="shared" si="29"/>
        <v>BasSw</v>
      </c>
      <c r="M120" s="144" t="str">
        <f t="shared" si="30"/>
        <v>--</v>
      </c>
      <c r="N120" s="152" t="str">
        <f>IFERROR(_xll.qlRateHelperQuoteName(M120,Trigger),"--")</f>
        <v>--</v>
      </c>
      <c r="O120" s="145" t="str">
        <f>IFERROR(_xll.qlRateHelperQuoteValue($M120,Trigger),"--")</f>
        <v>--</v>
      </c>
      <c r="P120" s="144" t="b">
        <v>0</v>
      </c>
      <c r="Q120" s="144">
        <v>40</v>
      </c>
      <c r="R120" s="144">
        <v>1</v>
      </c>
      <c r="S120" s="146" t="str">
        <f>IFERROR(_xll.qlRateHelperEarliestDate(M120,Trigger),"--")</f>
        <v>--</v>
      </c>
      <c r="T120" s="146" t="str">
        <f>IFERROR(_xll.qlRateHelperPillarDate(M120,Trigger),"--")</f>
        <v>--</v>
      </c>
      <c r="V120" s="4" t="str">
        <f t="shared" si="26"/>
        <v/>
      </c>
      <c r="W120" s="4" t="e">
        <v>#N/A</v>
      </c>
      <c r="X120" s="4" t="str">
        <f>IFERROR(_xll.qlRateHelperQuoteName(W120,Trigger),"")</f>
        <v/>
      </c>
      <c r="Y120" s="73" t="str">
        <f>IFERROR(_xll.qlRateHelperRate(W120,Trigger),"")</f>
        <v/>
      </c>
      <c r="Z120" s="105" t="str">
        <f>IF(ISERROR(_xll.qlSwapRateHelperSpread($W120)),IF(ISERROR(_xll.qlFuturesRateHelperConvexityAdjustment($W120)),"",_xll.qlFuturesRateHelperConvexityAdjustment($W120)),_xll.qlSwapRateHelperSpread($W120))</f>
        <v/>
      </c>
      <c r="AA120" s="5" t="str">
        <f>IFERROR(_xll.qlRateHelperEarliestDate(W120,Trigger),"")</f>
        <v/>
      </c>
      <c r="AB120" s="5" t="str">
        <f>IFERROR(_xll.qlRateHelperPillarDate(W120,Trigger),"")</f>
        <v/>
      </c>
      <c r="AC120" s="241" t="e">
        <v>#N/A</v>
      </c>
    </row>
    <row r="121" spans="1:29" x14ac:dyDescent="0.2">
      <c r="A121" s="62" t="s">
        <v>120</v>
      </c>
      <c r="B121" s="117" t="s">
        <v>103</v>
      </c>
      <c r="C121" s="64" t="s">
        <v>6</v>
      </c>
      <c r="D121" s="64" t="s">
        <v>8</v>
      </c>
      <c r="E121" s="64" t="s">
        <v>7</v>
      </c>
      <c r="F121" s="64" t="s">
        <v>132</v>
      </c>
      <c r="G121" s="64" t="str">
        <f t="shared" si="32"/>
        <v>GbpLibor3M</v>
      </c>
      <c r="H121" s="62" t="str">
        <f t="shared" si="33"/>
        <v>GBPSB6L13Y_Quote</v>
      </c>
      <c r="I121" s="62" t="str">
        <f t="shared" si="34"/>
        <v>GBP3L6L13Y_Quote</v>
      </c>
      <c r="J121" s="67"/>
      <c r="L121" s="74" t="str">
        <f t="shared" si="29"/>
        <v>BasSw</v>
      </c>
      <c r="M121" s="144" t="str">
        <f t="shared" si="30"/>
        <v>--</v>
      </c>
      <c r="N121" s="152" t="str">
        <f>IFERROR(_xll.qlRateHelperQuoteName(M121,Trigger),"--")</f>
        <v>--</v>
      </c>
      <c r="O121" s="145" t="str">
        <f>IFERROR(_xll.qlRateHelperQuoteValue($M121,Trigger),"--")</f>
        <v>--</v>
      </c>
      <c r="P121" s="144" t="b">
        <v>0</v>
      </c>
      <c r="Q121" s="144">
        <v>40</v>
      </c>
      <c r="R121" s="144">
        <v>1</v>
      </c>
      <c r="S121" s="146" t="str">
        <f>IFERROR(_xll.qlRateHelperEarliestDate(M121,Trigger),"--")</f>
        <v>--</v>
      </c>
      <c r="T121" s="146" t="str">
        <f>IFERROR(_xll.qlRateHelperPillarDate(M121,Trigger),"--")</f>
        <v>--</v>
      </c>
      <c r="V121" s="4" t="str">
        <f t="shared" si="26"/>
        <v/>
      </c>
      <c r="W121" s="4" t="e">
        <v>#N/A</v>
      </c>
      <c r="X121" s="4" t="str">
        <f>IFERROR(_xll.qlRateHelperQuoteName(W121,Trigger),"")</f>
        <v/>
      </c>
      <c r="Y121" s="73" t="str">
        <f>IFERROR(_xll.qlRateHelperRate(W121,Trigger),"")</f>
        <v/>
      </c>
      <c r="Z121" s="105" t="str">
        <f>IF(ISERROR(_xll.qlSwapRateHelperSpread($W121)),IF(ISERROR(_xll.qlFuturesRateHelperConvexityAdjustment($W121)),"",_xll.qlFuturesRateHelperConvexityAdjustment($W121)),_xll.qlSwapRateHelperSpread($W121))</f>
        <v/>
      </c>
      <c r="AA121" s="5" t="str">
        <f>IFERROR(_xll.qlRateHelperEarliestDate(W121,Trigger),"")</f>
        <v/>
      </c>
      <c r="AB121" s="5" t="str">
        <f>IFERROR(_xll.qlRateHelperPillarDate(W121,Trigger),"")</f>
        <v/>
      </c>
      <c r="AC121" s="241" t="e">
        <v>#N/A</v>
      </c>
    </row>
    <row r="122" spans="1:29" x14ac:dyDescent="0.2">
      <c r="A122" s="62" t="s">
        <v>120</v>
      </c>
      <c r="B122" s="117" t="s">
        <v>104</v>
      </c>
      <c r="C122" s="64" t="s">
        <v>6</v>
      </c>
      <c r="D122" s="64" t="s">
        <v>8</v>
      </c>
      <c r="E122" s="64" t="s">
        <v>7</v>
      </c>
      <c r="F122" s="64" t="s">
        <v>132</v>
      </c>
      <c r="G122" s="64" t="str">
        <f t="shared" si="32"/>
        <v>GbpLibor3M</v>
      </c>
      <c r="H122" s="62" t="str">
        <f t="shared" si="33"/>
        <v>GBPSB6L14Y_Quote</v>
      </c>
      <c r="I122" s="62" t="str">
        <f t="shared" si="34"/>
        <v>GBP3L6L14Y_Quote</v>
      </c>
      <c r="J122" s="67"/>
      <c r="L122" s="74" t="str">
        <f t="shared" si="29"/>
        <v>BasSw</v>
      </c>
      <c r="M122" s="144" t="str">
        <f t="shared" si="30"/>
        <v>--</v>
      </c>
      <c r="N122" s="152" t="str">
        <f>IFERROR(_xll.qlRateHelperQuoteName(M122,Trigger),"--")</f>
        <v>--</v>
      </c>
      <c r="O122" s="145" t="str">
        <f>IFERROR(_xll.qlRateHelperQuoteValue($M122,Trigger),"--")</f>
        <v>--</v>
      </c>
      <c r="P122" s="144" t="b">
        <v>0</v>
      </c>
      <c r="Q122" s="144">
        <v>40</v>
      </c>
      <c r="R122" s="144">
        <v>1</v>
      </c>
      <c r="S122" s="146" t="str">
        <f>IFERROR(_xll.qlRateHelperEarliestDate(M122,Trigger),"--")</f>
        <v>--</v>
      </c>
      <c r="T122" s="146" t="str">
        <f>IFERROR(_xll.qlRateHelperPillarDate(M122,Trigger),"--")</f>
        <v>--</v>
      </c>
      <c r="V122" s="4" t="str">
        <f t="shared" si="26"/>
        <v/>
      </c>
      <c r="W122" s="4" t="e">
        <v>#N/A</v>
      </c>
      <c r="X122" s="4" t="str">
        <f>IFERROR(_xll.qlRateHelperQuoteName(W122,Trigger),"")</f>
        <v/>
      </c>
      <c r="Y122" s="73" t="str">
        <f>IFERROR(_xll.qlRateHelperRate(W122,Trigger),"")</f>
        <v/>
      </c>
      <c r="Z122" s="105" t="str">
        <f>IF(ISERROR(_xll.qlSwapRateHelperSpread($W122)),IF(ISERROR(_xll.qlFuturesRateHelperConvexityAdjustment($W122)),"",_xll.qlFuturesRateHelperConvexityAdjustment($W122)),_xll.qlSwapRateHelperSpread($W122))</f>
        <v/>
      </c>
      <c r="AA122" s="5" t="str">
        <f>IFERROR(_xll.qlRateHelperEarliestDate(W122,Trigger),"")</f>
        <v/>
      </c>
      <c r="AB122" s="5" t="str">
        <f>IFERROR(_xll.qlRateHelperPillarDate(W122,Trigger),"")</f>
        <v/>
      </c>
      <c r="AC122" s="241" t="e">
        <v>#N/A</v>
      </c>
    </row>
    <row r="123" spans="1:29" x14ac:dyDescent="0.2">
      <c r="A123" s="62" t="s">
        <v>120</v>
      </c>
      <c r="B123" s="117" t="s">
        <v>62</v>
      </c>
      <c r="C123" s="64" t="s">
        <v>6</v>
      </c>
      <c r="D123" s="64" t="s">
        <v>8</v>
      </c>
      <c r="E123" s="64" t="s">
        <v>7</v>
      </c>
      <c r="F123" s="64" t="s">
        <v>132</v>
      </c>
      <c r="G123" s="64" t="str">
        <f t="shared" si="32"/>
        <v>GbpLibor3M</v>
      </c>
      <c r="H123" s="62" t="str">
        <f t="shared" si="33"/>
        <v>GBPSB6L15Y_Quote</v>
      </c>
      <c r="I123" s="62" t="str">
        <f t="shared" si="34"/>
        <v>GBP3L6L15Y_Quote</v>
      </c>
      <c r="J123" s="67"/>
      <c r="L123" s="74" t="str">
        <f t="shared" si="29"/>
        <v>BasSw</v>
      </c>
      <c r="M123" s="144" t="str">
        <f t="shared" si="30"/>
        <v>--</v>
      </c>
      <c r="N123" s="152" t="str">
        <f>IFERROR(_xll.qlRateHelperQuoteName(M123,Trigger),"--")</f>
        <v>--</v>
      </c>
      <c r="O123" s="145" t="str">
        <f>IFERROR(_xll.qlRateHelperQuoteValue($M123,Trigger),"--")</f>
        <v>--</v>
      </c>
      <c r="P123" s="144" t="b">
        <v>0</v>
      </c>
      <c r="Q123" s="144">
        <v>40</v>
      </c>
      <c r="R123" s="144">
        <v>1</v>
      </c>
      <c r="S123" s="146" t="str">
        <f>IFERROR(_xll.qlRateHelperEarliestDate(M123,Trigger),"--")</f>
        <v>--</v>
      </c>
      <c r="T123" s="146" t="str">
        <f>IFERROR(_xll.qlRateHelperPillarDate(M123,Trigger),"--")</f>
        <v>--</v>
      </c>
      <c r="V123" s="4" t="str">
        <f t="shared" si="26"/>
        <v/>
      </c>
      <c r="W123" s="4" t="e">
        <v>#N/A</v>
      </c>
      <c r="X123" s="4" t="str">
        <f>IFERROR(_xll.qlRateHelperQuoteName(W123,Trigger),"")</f>
        <v/>
      </c>
      <c r="Y123" s="73" t="str">
        <f>IFERROR(_xll.qlRateHelperRate(W123,Trigger),"")</f>
        <v/>
      </c>
      <c r="Z123" s="105" t="str">
        <f>IF(ISERROR(_xll.qlSwapRateHelperSpread($W123)),IF(ISERROR(_xll.qlFuturesRateHelperConvexityAdjustment($W123)),"",_xll.qlFuturesRateHelperConvexityAdjustment($W123)),_xll.qlSwapRateHelperSpread($W123))</f>
        <v/>
      </c>
      <c r="AA123" s="5" t="str">
        <f>IFERROR(_xll.qlRateHelperEarliestDate(W123,Trigger),"")</f>
        <v/>
      </c>
      <c r="AB123" s="5" t="str">
        <f>IFERROR(_xll.qlRateHelperPillarDate(W123,Trigger),"")</f>
        <v/>
      </c>
      <c r="AC123" s="241" t="e">
        <v>#N/A</v>
      </c>
    </row>
    <row r="124" spans="1:29" x14ac:dyDescent="0.2">
      <c r="A124" s="62" t="s">
        <v>120</v>
      </c>
      <c r="B124" s="117" t="s">
        <v>105</v>
      </c>
      <c r="C124" s="64" t="s">
        <v>6</v>
      </c>
      <c r="D124" s="64" t="s">
        <v>8</v>
      </c>
      <c r="E124" s="64" t="s">
        <v>7</v>
      </c>
      <c r="F124" s="64" t="s">
        <v>132</v>
      </c>
      <c r="G124" s="64" t="str">
        <f t="shared" si="32"/>
        <v>GbpLibor3M</v>
      </c>
      <c r="H124" s="62" t="str">
        <f t="shared" si="33"/>
        <v>GBPSB6L16Y_Quote</v>
      </c>
      <c r="I124" s="62" t="str">
        <f t="shared" si="34"/>
        <v>GBP3L6L16Y_Quote</v>
      </c>
      <c r="J124" s="67"/>
      <c r="L124" s="74" t="str">
        <f t="shared" si="29"/>
        <v>BasSw</v>
      </c>
      <c r="M124" s="144" t="str">
        <f t="shared" si="30"/>
        <v>--</v>
      </c>
      <c r="N124" s="152" t="str">
        <f>IFERROR(_xll.qlRateHelperQuoteName(M124,Trigger),"--")</f>
        <v>--</v>
      </c>
      <c r="O124" s="145" t="str">
        <f>IFERROR(_xll.qlRateHelperQuoteValue($M124,Trigger),"--")</f>
        <v>--</v>
      </c>
      <c r="P124" s="144" t="b">
        <v>0</v>
      </c>
      <c r="Q124" s="144">
        <v>40</v>
      </c>
      <c r="R124" s="144">
        <v>1</v>
      </c>
      <c r="S124" s="146" t="str">
        <f>IFERROR(_xll.qlRateHelperEarliestDate(M124,Trigger),"--")</f>
        <v>--</v>
      </c>
      <c r="T124" s="146" t="str">
        <f>IFERROR(_xll.qlRateHelperPillarDate(M124,Trigger),"--")</f>
        <v>--</v>
      </c>
      <c r="V124" s="4" t="str">
        <f t="shared" si="26"/>
        <v/>
      </c>
      <c r="W124" s="4" t="e">
        <v>#N/A</v>
      </c>
      <c r="X124" s="4" t="str">
        <f>IFERROR(_xll.qlRateHelperQuoteName(W124,Trigger),"")</f>
        <v/>
      </c>
      <c r="Y124" s="73" t="str">
        <f>IFERROR(_xll.qlRateHelperRate(W124,Trigger),"")</f>
        <v/>
      </c>
      <c r="Z124" s="105" t="str">
        <f>IF(ISERROR(_xll.qlSwapRateHelperSpread($W124)),IF(ISERROR(_xll.qlFuturesRateHelperConvexityAdjustment($W124)),"",_xll.qlFuturesRateHelperConvexityAdjustment($W124)),_xll.qlSwapRateHelperSpread($W124))</f>
        <v/>
      </c>
      <c r="AA124" s="5" t="str">
        <f>IFERROR(_xll.qlRateHelperEarliestDate(W124,Trigger),"")</f>
        <v/>
      </c>
      <c r="AB124" s="5" t="str">
        <f>IFERROR(_xll.qlRateHelperPillarDate(W124,Trigger),"")</f>
        <v/>
      </c>
      <c r="AC124" s="241" t="e">
        <v>#N/A</v>
      </c>
    </row>
    <row r="125" spans="1:29" x14ac:dyDescent="0.2">
      <c r="A125" s="62" t="s">
        <v>120</v>
      </c>
      <c r="B125" s="117" t="s">
        <v>106</v>
      </c>
      <c r="C125" s="64" t="s">
        <v>6</v>
      </c>
      <c r="D125" s="64" t="s">
        <v>8</v>
      </c>
      <c r="E125" s="64" t="s">
        <v>7</v>
      </c>
      <c r="F125" s="64" t="s">
        <v>132</v>
      </c>
      <c r="G125" s="64" t="str">
        <f t="shared" si="32"/>
        <v>GbpLibor3M</v>
      </c>
      <c r="H125" s="62" t="str">
        <f t="shared" si="33"/>
        <v>GBPSB6L17Y_Quote</v>
      </c>
      <c r="I125" s="62" t="str">
        <f t="shared" si="34"/>
        <v>GBP3L6L17Y_Quote</v>
      </c>
      <c r="J125" s="67"/>
      <c r="L125" s="74" t="str">
        <f t="shared" si="29"/>
        <v>BasSw</v>
      </c>
      <c r="M125" s="144" t="str">
        <f t="shared" si="30"/>
        <v>--</v>
      </c>
      <c r="N125" s="152" t="str">
        <f>IFERROR(_xll.qlRateHelperQuoteName(M125,Trigger),"--")</f>
        <v>--</v>
      </c>
      <c r="O125" s="145" t="str">
        <f>IFERROR(_xll.qlRateHelperQuoteValue($M125,Trigger),"--")</f>
        <v>--</v>
      </c>
      <c r="P125" s="144" t="b">
        <v>0</v>
      </c>
      <c r="Q125" s="144">
        <v>40</v>
      </c>
      <c r="R125" s="144">
        <v>1</v>
      </c>
      <c r="S125" s="146" t="str">
        <f>IFERROR(_xll.qlRateHelperEarliestDate(M125,Trigger),"--")</f>
        <v>--</v>
      </c>
      <c r="T125" s="146" t="str">
        <f>IFERROR(_xll.qlRateHelperPillarDate(M125,Trigger),"--")</f>
        <v>--</v>
      </c>
      <c r="V125" s="4" t="str">
        <f t="shared" si="26"/>
        <v/>
      </c>
      <c r="W125" s="4" t="e">
        <v>#N/A</v>
      </c>
      <c r="X125" s="4" t="str">
        <f>IFERROR(_xll.qlRateHelperQuoteName(W125,Trigger),"")</f>
        <v/>
      </c>
      <c r="Y125" s="73" t="str">
        <f>IFERROR(_xll.qlRateHelperRate(W125,Trigger),"")</f>
        <v/>
      </c>
      <c r="Z125" s="105" t="str">
        <f>IF(ISERROR(_xll.qlSwapRateHelperSpread($W125)),IF(ISERROR(_xll.qlFuturesRateHelperConvexityAdjustment($W125)),"",_xll.qlFuturesRateHelperConvexityAdjustment($W125)),_xll.qlSwapRateHelperSpread($W125))</f>
        <v/>
      </c>
      <c r="AA125" s="5" t="str">
        <f>IFERROR(_xll.qlRateHelperEarliestDate(W125,Trigger),"")</f>
        <v/>
      </c>
      <c r="AB125" s="5" t="str">
        <f>IFERROR(_xll.qlRateHelperPillarDate(W125,Trigger),"")</f>
        <v/>
      </c>
      <c r="AC125" s="241" t="e">
        <v>#N/A</v>
      </c>
    </row>
    <row r="126" spans="1:29" x14ac:dyDescent="0.2">
      <c r="A126" s="62" t="s">
        <v>120</v>
      </c>
      <c r="B126" s="117" t="s">
        <v>107</v>
      </c>
      <c r="C126" s="64" t="s">
        <v>6</v>
      </c>
      <c r="D126" s="64" t="s">
        <v>8</v>
      </c>
      <c r="E126" s="64" t="s">
        <v>7</v>
      </c>
      <c r="F126" s="64" t="s">
        <v>132</v>
      </c>
      <c r="G126" s="64" t="str">
        <f t="shared" si="32"/>
        <v>GbpLibor3M</v>
      </c>
      <c r="H126" s="62" t="str">
        <f t="shared" si="33"/>
        <v>GBPSB6L18Y_Quote</v>
      </c>
      <c r="I126" s="62" t="str">
        <f t="shared" si="34"/>
        <v>GBP3L6L18Y_Quote</v>
      </c>
      <c r="J126" s="67"/>
      <c r="L126" s="74" t="str">
        <f t="shared" si="29"/>
        <v>BasSw</v>
      </c>
      <c r="M126" s="144" t="str">
        <f t="shared" si="30"/>
        <v>--</v>
      </c>
      <c r="N126" s="152" t="str">
        <f>IFERROR(_xll.qlRateHelperQuoteName(M126,Trigger),"--")</f>
        <v>--</v>
      </c>
      <c r="O126" s="145" t="str">
        <f>IFERROR(_xll.qlRateHelperQuoteValue($M126,Trigger),"--")</f>
        <v>--</v>
      </c>
      <c r="P126" s="144" t="b">
        <v>0</v>
      </c>
      <c r="Q126" s="144">
        <v>40</v>
      </c>
      <c r="R126" s="144">
        <v>1</v>
      </c>
      <c r="S126" s="146" t="str">
        <f>IFERROR(_xll.qlRateHelperEarliestDate(M126,Trigger),"--")</f>
        <v>--</v>
      </c>
      <c r="T126" s="146" t="str">
        <f>IFERROR(_xll.qlRateHelperPillarDate(M126,Trigger),"--")</f>
        <v>--</v>
      </c>
      <c r="V126" s="4" t="str">
        <f t="shared" si="26"/>
        <v/>
      </c>
      <c r="W126" s="4" t="e">
        <v>#N/A</v>
      </c>
      <c r="X126" s="4" t="str">
        <f>IFERROR(_xll.qlRateHelperQuoteName(W126,Trigger),"")</f>
        <v/>
      </c>
      <c r="Y126" s="73" t="str">
        <f>IFERROR(_xll.qlRateHelperRate(W126,Trigger),"")</f>
        <v/>
      </c>
      <c r="Z126" s="105" t="str">
        <f>IF(ISERROR(_xll.qlSwapRateHelperSpread($W126)),IF(ISERROR(_xll.qlFuturesRateHelperConvexityAdjustment($W126)),"",_xll.qlFuturesRateHelperConvexityAdjustment($W126)),_xll.qlSwapRateHelperSpread($W126))</f>
        <v/>
      </c>
      <c r="AA126" s="5" t="str">
        <f>IFERROR(_xll.qlRateHelperEarliestDate(W126,Trigger),"")</f>
        <v/>
      </c>
      <c r="AB126" s="5" t="str">
        <f>IFERROR(_xll.qlRateHelperPillarDate(W126,Trigger),"")</f>
        <v/>
      </c>
      <c r="AC126" s="241" t="e">
        <v>#N/A</v>
      </c>
    </row>
    <row r="127" spans="1:29" x14ac:dyDescent="0.2">
      <c r="A127" s="62" t="s">
        <v>120</v>
      </c>
      <c r="B127" s="117" t="s">
        <v>108</v>
      </c>
      <c r="C127" s="64" t="s">
        <v>6</v>
      </c>
      <c r="D127" s="64" t="s">
        <v>8</v>
      </c>
      <c r="E127" s="64" t="s">
        <v>7</v>
      </c>
      <c r="F127" s="64" t="s">
        <v>132</v>
      </c>
      <c r="G127" s="64" t="str">
        <f t="shared" si="32"/>
        <v>GbpLibor3M</v>
      </c>
      <c r="H127" s="62" t="str">
        <f t="shared" si="33"/>
        <v>GBPSB6L19Y_Quote</v>
      </c>
      <c r="I127" s="62" t="str">
        <f t="shared" si="34"/>
        <v>GBP3L6L19Y_Quote</v>
      </c>
      <c r="J127" s="67"/>
      <c r="L127" s="74" t="str">
        <f t="shared" si="29"/>
        <v>BasSw</v>
      </c>
      <c r="M127" s="144" t="str">
        <f t="shared" si="30"/>
        <v>--</v>
      </c>
      <c r="N127" s="152" t="str">
        <f>IFERROR(_xll.qlRateHelperQuoteName(M127,Trigger),"--")</f>
        <v>--</v>
      </c>
      <c r="O127" s="145" t="str">
        <f>IFERROR(_xll.qlRateHelperQuoteValue($M127,Trigger),"--")</f>
        <v>--</v>
      </c>
      <c r="P127" s="144" t="b">
        <v>0</v>
      </c>
      <c r="Q127" s="144">
        <v>40</v>
      </c>
      <c r="R127" s="144">
        <v>1</v>
      </c>
      <c r="S127" s="146" t="str">
        <f>IFERROR(_xll.qlRateHelperEarliestDate(M127,Trigger),"--")</f>
        <v>--</v>
      </c>
      <c r="T127" s="146" t="str">
        <f>IFERROR(_xll.qlRateHelperPillarDate(M127,Trigger),"--")</f>
        <v>--</v>
      </c>
      <c r="V127" s="4" t="str">
        <f t="shared" si="26"/>
        <v/>
      </c>
      <c r="W127" s="4" t="e">
        <v>#N/A</v>
      </c>
      <c r="X127" s="4" t="str">
        <f>IFERROR(_xll.qlRateHelperQuoteName(W127,Trigger),"")</f>
        <v/>
      </c>
      <c r="Y127" s="73" t="str">
        <f>IFERROR(_xll.qlRateHelperRate(W127,Trigger),"")</f>
        <v/>
      </c>
      <c r="Z127" s="105" t="str">
        <f>IF(ISERROR(_xll.qlSwapRateHelperSpread($W127)),IF(ISERROR(_xll.qlFuturesRateHelperConvexityAdjustment($W127)),"",_xll.qlFuturesRateHelperConvexityAdjustment($W127)),_xll.qlSwapRateHelperSpread($W127))</f>
        <v/>
      </c>
      <c r="AA127" s="5" t="str">
        <f>IFERROR(_xll.qlRateHelperEarliestDate(W127,Trigger),"")</f>
        <v/>
      </c>
      <c r="AB127" s="5" t="str">
        <f>IFERROR(_xll.qlRateHelperPillarDate(W127,Trigger),"")</f>
        <v/>
      </c>
      <c r="AC127" s="241" t="e">
        <v>#N/A</v>
      </c>
    </row>
    <row r="128" spans="1:29" x14ac:dyDescent="0.2">
      <c r="A128" s="62" t="s">
        <v>120</v>
      </c>
      <c r="B128" s="117" t="s">
        <v>63</v>
      </c>
      <c r="C128" s="64" t="s">
        <v>6</v>
      </c>
      <c r="D128" s="64" t="s">
        <v>8</v>
      </c>
      <c r="E128" s="64" t="s">
        <v>7</v>
      </c>
      <c r="F128" s="64" t="s">
        <v>132</v>
      </c>
      <c r="G128" s="64" t="str">
        <f t="shared" si="32"/>
        <v>GbpLibor3M</v>
      </c>
      <c r="H128" s="62" t="str">
        <f t="shared" si="33"/>
        <v>GBPSB6L20Y_Quote</v>
      </c>
      <c r="I128" s="62" t="str">
        <f t="shared" si="34"/>
        <v>GBP3L6L20Y_Quote</v>
      </c>
      <c r="J128" s="67"/>
      <c r="L128" s="74" t="str">
        <f t="shared" si="29"/>
        <v>BasSw</v>
      </c>
      <c r="M128" s="144" t="str">
        <f t="shared" si="30"/>
        <v>--</v>
      </c>
      <c r="N128" s="152" t="str">
        <f>IFERROR(_xll.qlRateHelperQuoteName(M128,Trigger),"--")</f>
        <v>--</v>
      </c>
      <c r="O128" s="145" t="str">
        <f>IFERROR(_xll.qlRateHelperQuoteValue($M128,Trigger),"--")</f>
        <v>--</v>
      </c>
      <c r="P128" s="144" t="b">
        <v>0</v>
      </c>
      <c r="Q128" s="144">
        <v>40</v>
      </c>
      <c r="R128" s="144">
        <v>1</v>
      </c>
      <c r="S128" s="146" t="str">
        <f>IFERROR(_xll.qlRateHelperEarliestDate(M128,Trigger),"--")</f>
        <v>--</v>
      </c>
      <c r="T128" s="146" t="str">
        <f>IFERROR(_xll.qlRateHelperPillarDate(M128,Trigger),"--")</f>
        <v>--</v>
      </c>
      <c r="V128" s="4" t="str">
        <f t="shared" si="26"/>
        <v/>
      </c>
      <c r="W128" s="4" t="e">
        <v>#N/A</v>
      </c>
      <c r="X128" s="4" t="str">
        <f>IFERROR(_xll.qlRateHelperQuoteName(W128,Trigger),"")</f>
        <v/>
      </c>
      <c r="Y128" s="73" t="str">
        <f>IFERROR(_xll.qlRateHelperRate(W128,Trigger),"")</f>
        <v/>
      </c>
      <c r="Z128" s="105" t="str">
        <f>IF(ISERROR(_xll.qlSwapRateHelperSpread($W128)),IF(ISERROR(_xll.qlFuturesRateHelperConvexityAdjustment($W128)),"",_xll.qlFuturesRateHelperConvexityAdjustment($W128)),_xll.qlSwapRateHelperSpread($W128))</f>
        <v/>
      </c>
      <c r="AA128" s="5" t="str">
        <f>IFERROR(_xll.qlRateHelperEarliestDate(W128,Trigger),"")</f>
        <v/>
      </c>
      <c r="AB128" s="5" t="str">
        <f>IFERROR(_xll.qlRateHelperPillarDate(W128,Trigger),"")</f>
        <v/>
      </c>
      <c r="AC128" s="241" t="e">
        <v>#N/A</v>
      </c>
    </row>
    <row r="129" spans="1:29" x14ac:dyDescent="0.2">
      <c r="A129" s="62" t="s">
        <v>120</v>
      </c>
      <c r="B129" s="117" t="s">
        <v>109</v>
      </c>
      <c r="C129" s="64" t="s">
        <v>6</v>
      </c>
      <c r="D129" s="64" t="s">
        <v>8</v>
      </c>
      <c r="E129" s="64" t="s">
        <v>7</v>
      </c>
      <c r="F129" s="64" t="s">
        <v>132</v>
      </c>
      <c r="G129" s="64" t="str">
        <f t="shared" si="32"/>
        <v>GbpLibor3M</v>
      </c>
      <c r="H129" s="62" t="str">
        <f t="shared" si="33"/>
        <v>GBPSB6L21Y_Quote</v>
      </c>
      <c r="I129" s="62" t="str">
        <f t="shared" si="34"/>
        <v>GBP3L6L21Y_Quote</v>
      </c>
      <c r="J129" s="67"/>
      <c r="L129" s="74" t="str">
        <f t="shared" si="29"/>
        <v>BasSw</v>
      </c>
      <c r="M129" s="144" t="str">
        <f t="shared" si="30"/>
        <v>--</v>
      </c>
      <c r="N129" s="152" t="str">
        <f>IFERROR(_xll.qlRateHelperQuoteName(M129,Trigger),"--")</f>
        <v>--</v>
      </c>
      <c r="O129" s="145" t="str">
        <f>IFERROR(_xll.qlRateHelperQuoteValue($M129,Trigger),"--")</f>
        <v>--</v>
      </c>
      <c r="P129" s="144" t="b">
        <v>0</v>
      </c>
      <c r="Q129" s="144">
        <v>40</v>
      </c>
      <c r="R129" s="144">
        <v>1</v>
      </c>
      <c r="S129" s="146" t="str">
        <f>IFERROR(_xll.qlRateHelperEarliestDate(M129,Trigger),"--")</f>
        <v>--</v>
      </c>
      <c r="T129" s="146" t="str">
        <f>IFERROR(_xll.qlRateHelperPillarDate(M129,Trigger),"--")</f>
        <v>--</v>
      </c>
      <c r="V129" s="4" t="str">
        <f t="shared" si="26"/>
        <v/>
      </c>
      <c r="W129" s="4" t="e">
        <v>#N/A</v>
      </c>
      <c r="X129" s="4" t="str">
        <f>IFERROR(_xll.qlRateHelperQuoteName(W129,Trigger),"")</f>
        <v/>
      </c>
      <c r="Y129" s="73" t="str">
        <f>IFERROR(_xll.qlRateHelperRate(W129,Trigger),"")</f>
        <v/>
      </c>
      <c r="Z129" s="105" t="str">
        <f>IF(ISERROR(_xll.qlSwapRateHelperSpread($W129)),IF(ISERROR(_xll.qlFuturesRateHelperConvexityAdjustment($W129)),"",_xll.qlFuturesRateHelperConvexityAdjustment($W129)),_xll.qlSwapRateHelperSpread($W129))</f>
        <v/>
      </c>
      <c r="AA129" s="5" t="str">
        <f>IFERROR(_xll.qlRateHelperEarliestDate(W129,Trigger),"")</f>
        <v/>
      </c>
      <c r="AB129" s="5" t="str">
        <f>IFERROR(_xll.qlRateHelperPillarDate(W129,Trigger),"")</f>
        <v/>
      </c>
      <c r="AC129" s="241" t="e">
        <v>#N/A</v>
      </c>
    </row>
    <row r="130" spans="1:29" x14ac:dyDescent="0.2">
      <c r="A130" s="62" t="s">
        <v>120</v>
      </c>
      <c r="B130" s="117" t="s">
        <v>110</v>
      </c>
      <c r="C130" s="64" t="s">
        <v>6</v>
      </c>
      <c r="D130" s="64" t="s">
        <v>8</v>
      </c>
      <c r="E130" s="64" t="s">
        <v>7</v>
      </c>
      <c r="F130" s="64" t="s">
        <v>132</v>
      </c>
      <c r="G130" s="64" t="str">
        <f t="shared" si="32"/>
        <v>GbpLibor3M</v>
      </c>
      <c r="H130" s="62" t="str">
        <f t="shared" si="33"/>
        <v>GBPSB6L22Y_Quote</v>
      </c>
      <c r="I130" s="62" t="str">
        <f t="shared" si="34"/>
        <v>GBP3L6L22Y_Quote</v>
      </c>
      <c r="J130" s="67"/>
      <c r="L130" s="75" t="str">
        <f t="shared" si="29"/>
        <v>BasSw</v>
      </c>
      <c r="M130" s="147" t="str">
        <f t="shared" si="30"/>
        <v>--</v>
      </c>
      <c r="N130" s="157" t="str">
        <f>IFERROR(_xll.qlRateHelperQuoteName(M130,Trigger),"--")</f>
        <v>--</v>
      </c>
      <c r="O130" s="158" t="str">
        <f>IFERROR(_xll.qlRateHelperQuoteValue($M130,Trigger),"--")</f>
        <v>--</v>
      </c>
      <c r="P130" s="147" t="b">
        <v>0</v>
      </c>
      <c r="Q130" s="147">
        <v>40</v>
      </c>
      <c r="R130" s="147">
        <v>1</v>
      </c>
      <c r="S130" s="156" t="str">
        <f>IFERROR(_xll.qlRateHelperEarliestDate(M130,Trigger),"--")</f>
        <v>--</v>
      </c>
      <c r="T130" s="156" t="str">
        <f>IFERROR(_xll.qlRateHelperPillarDate(M130,Trigger),"--")</f>
        <v>--</v>
      </c>
      <c r="V130" s="6" t="str">
        <f t="shared" si="26"/>
        <v/>
      </c>
      <c r="W130" s="6" t="e">
        <v>#N/A</v>
      </c>
      <c r="X130" s="6" t="str">
        <f>IFERROR(_xll.qlRateHelperQuoteName(W130,Trigger),"")</f>
        <v/>
      </c>
      <c r="Y130" s="80" t="str">
        <f>IFERROR(_xll.qlRateHelperRate(W130,Trigger),"")</f>
        <v/>
      </c>
      <c r="Z130" s="106" t="str">
        <f>IF(ISERROR(_xll.qlSwapRateHelperSpread($W130)),IF(ISERROR(_xll.qlFuturesRateHelperConvexityAdjustment($W130)),"",_xll.qlFuturesRateHelperConvexityAdjustment($W130)),_xll.qlSwapRateHelperSpread($W130))</f>
        <v/>
      </c>
      <c r="AA130" s="12" t="str">
        <f>IFERROR(_xll.qlRateHelperEarliestDate(W130,Trigger),"")</f>
        <v/>
      </c>
      <c r="AB130" s="12" t="str">
        <f>IFERROR(_xll.qlRateHelperPillarDate(W130,Trigger),"")</f>
        <v/>
      </c>
      <c r="AC130" s="242" t="e">
        <v>#N/A</v>
      </c>
    </row>
    <row r="131" spans="1:29" x14ac:dyDescent="0.2">
      <c r="A131" s="62" t="s">
        <v>120</v>
      </c>
      <c r="B131" s="117" t="s">
        <v>111</v>
      </c>
      <c r="C131" s="64" t="s">
        <v>6</v>
      </c>
      <c r="D131" s="64" t="s">
        <v>8</v>
      </c>
      <c r="E131" s="64" t="s">
        <v>7</v>
      </c>
      <c r="F131" s="64" t="s">
        <v>132</v>
      </c>
      <c r="G131" s="64" t="str">
        <f t="shared" si="32"/>
        <v>GbpLibor3M</v>
      </c>
      <c r="H131" s="62" t="str">
        <f t="shared" si="33"/>
        <v>GBPSB6L23Y_Quote</v>
      </c>
      <c r="I131" s="62" t="str">
        <f t="shared" si="34"/>
        <v>GBP3L6L23Y_Quote</v>
      </c>
      <c r="J131" s="67"/>
      <c r="L131" s="174"/>
    </row>
    <row r="132" spans="1:29" x14ac:dyDescent="0.2">
      <c r="A132" s="62" t="s">
        <v>120</v>
      </c>
      <c r="B132" s="117" t="s">
        <v>112</v>
      </c>
      <c r="C132" s="64" t="s">
        <v>6</v>
      </c>
      <c r="D132" s="64" t="s">
        <v>8</v>
      </c>
      <c r="E132" s="64" t="s">
        <v>7</v>
      </c>
      <c r="F132" s="64" t="s">
        <v>132</v>
      </c>
      <c r="G132" s="64" t="str">
        <f t="shared" si="32"/>
        <v>GbpLibor3M</v>
      </c>
      <c r="H132" s="62" t="str">
        <f t="shared" si="33"/>
        <v>GBPSB6L24Y_Quote</v>
      </c>
      <c r="I132" s="62" t="str">
        <f t="shared" si="34"/>
        <v>GBP3L6L24Y_Quote</v>
      </c>
      <c r="J132" s="67"/>
      <c r="L132" s="174"/>
    </row>
    <row r="133" spans="1:29" x14ac:dyDescent="0.2">
      <c r="A133" s="62" t="s">
        <v>120</v>
      </c>
      <c r="B133" s="117" t="s">
        <v>64</v>
      </c>
      <c r="C133" s="64" t="s">
        <v>6</v>
      </c>
      <c r="D133" s="64" t="s">
        <v>8</v>
      </c>
      <c r="E133" s="64" t="s">
        <v>7</v>
      </c>
      <c r="F133" s="64" t="s">
        <v>132</v>
      </c>
      <c r="G133" s="64" t="str">
        <f t="shared" si="32"/>
        <v>GbpLibor3M</v>
      </c>
      <c r="H133" s="62" t="str">
        <f t="shared" si="33"/>
        <v>GBPSB6L25Y_Quote</v>
      </c>
      <c r="I133" s="62" t="str">
        <f t="shared" si="34"/>
        <v>GBP3L6L25Y_Quote</v>
      </c>
      <c r="J133" s="67"/>
      <c r="L133" s="174"/>
    </row>
    <row r="134" spans="1:29" x14ac:dyDescent="0.2">
      <c r="A134" s="62" t="s">
        <v>120</v>
      </c>
      <c r="B134" s="117" t="s">
        <v>113</v>
      </c>
      <c r="C134" s="64" t="s">
        <v>6</v>
      </c>
      <c r="D134" s="64" t="s">
        <v>8</v>
      </c>
      <c r="E134" s="64" t="s">
        <v>7</v>
      </c>
      <c r="F134" s="64" t="s">
        <v>132</v>
      </c>
      <c r="G134" s="64" t="str">
        <f t="shared" si="32"/>
        <v>GbpLibor3M</v>
      </c>
      <c r="H134" s="62" t="str">
        <f t="shared" si="33"/>
        <v>GBPSB6L26Y_Quote</v>
      </c>
      <c r="I134" s="62" t="str">
        <f t="shared" si="34"/>
        <v>GBP3L6L26Y_Quote</v>
      </c>
      <c r="J134" s="67"/>
      <c r="L134" s="174"/>
    </row>
    <row r="135" spans="1:29" x14ac:dyDescent="0.2">
      <c r="A135" s="62" t="s">
        <v>120</v>
      </c>
      <c r="B135" s="117" t="s">
        <v>65</v>
      </c>
      <c r="C135" s="64" t="s">
        <v>6</v>
      </c>
      <c r="D135" s="64" t="s">
        <v>8</v>
      </c>
      <c r="E135" s="64" t="s">
        <v>7</v>
      </c>
      <c r="F135" s="64" t="s">
        <v>132</v>
      </c>
      <c r="G135" s="64" t="str">
        <f t="shared" si="32"/>
        <v>GbpLibor3M</v>
      </c>
      <c r="H135" s="62" t="str">
        <f t="shared" si="33"/>
        <v>GBPSB6L27Y_Quote</v>
      </c>
      <c r="I135" s="62" t="str">
        <f t="shared" si="34"/>
        <v>GBP3L6L27Y_Quote</v>
      </c>
      <c r="J135" s="67"/>
    </row>
    <row r="136" spans="1:29" x14ac:dyDescent="0.2">
      <c r="A136" s="62" t="s">
        <v>120</v>
      </c>
      <c r="B136" s="117" t="s">
        <v>114</v>
      </c>
      <c r="C136" s="64" t="s">
        <v>6</v>
      </c>
      <c r="D136" s="64" t="s">
        <v>8</v>
      </c>
      <c r="E136" s="64" t="s">
        <v>7</v>
      </c>
      <c r="F136" s="64" t="s">
        <v>132</v>
      </c>
      <c r="G136" s="64" t="str">
        <f t="shared" si="32"/>
        <v>GbpLibor3M</v>
      </c>
      <c r="H136" s="62" t="str">
        <f t="shared" si="33"/>
        <v>GBPSB6L28Y_Quote</v>
      </c>
      <c r="I136" s="62" t="str">
        <f t="shared" si="34"/>
        <v>GBP3L6L28Y_Quote</v>
      </c>
      <c r="J136" s="67"/>
    </row>
    <row r="137" spans="1:29" x14ac:dyDescent="0.2">
      <c r="A137" s="62" t="s">
        <v>120</v>
      </c>
      <c r="B137" s="117" t="s">
        <v>115</v>
      </c>
      <c r="C137" s="64" t="s">
        <v>6</v>
      </c>
      <c r="D137" s="64" t="s">
        <v>8</v>
      </c>
      <c r="E137" s="64" t="s">
        <v>7</v>
      </c>
      <c r="F137" s="64" t="s">
        <v>132</v>
      </c>
      <c r="G137" s="64" t="str">
        <f t="shared" si="32"/>
        <v>GbpLibor3M</v>
      </c>
      <c r="H137" s="62" t="str">
        <f t="shared" si="33"/>
        <v>GBPSB6L29Y_Quote</v>
      </c>
      <c r="I137" s="62" t="str">
        <f t="shared" si="34"/>
        <v>GBP3L6L29Y_Quote</v>
      </c>
      <c r="J137" s="67"/>
    </row>
    <row r="138" spans="1:29" x14ac:dyDescent="0.2">
      <c r="A138" s="62" t="s">
        <v>120</v>
      </c>
      <c r="B138" s="117" t="s">
        <v>66</v>
      </c>
      <c r="C138" s="64" t="s">
        <v>6</v>
      </c>
      <c r="D138" s="64" t="s">
        <v>8</v>
      </c>
      <c r="E138" s="64" t="s">
        <v>7</v>
      </c>
      <c r="F138" s="64" t="s">
        <v>132</v>
      </c>
      <c r="G138" s="64" t="str">
        <f t="shared" si="32"/>
        <v>GbpLibor3M</v>
      </c>
      <c r="H138" s="62" t="str">
        <f t="shared" si="33"/>
        <v>GBPSB6L30Y_Quote</v>
      </c>
      <c r="I138" s="62" t="str">
        <f t="shared" si="34"/>
        <v>GBP3L6L30Y_Quote</v>
      </c>
      <c r="J138" s="67"/>
    </row>
    <row r="139" spans="1:29" x14ac:dyDescent="0.2">
      <c r="A139" s="62" t="s">
        <v>120</v>
      </c>
      <c r="B139" s="117" t="s">
        <v>67</v>
      </c>
      <c r="C139" s="64" t="s">
        <v>6</v>
      </c>
      <c r="D139" s="64" t="s">
        <v>8</v>
      </c>
      <c r="E139" s="64" t="s">
        <v>7</v>
      </c>
      <c r="F139" s="64" t="s">
        <v>132</v>
      </c>
      <c r="G139" s="64" t="str">
        <f t="shared" si="32"/>
        <v>GbpLibor3M</v>
      </c>
      <c r="H139" s="62" t="str">
        <f t="shared" si="33"/>
        <v>GBPSB6L35Y_Quote</v>
      </c>
      <c r="I139" s="62" t="str">
        <f t="shared" si="34"/>
        <v>GBP3L6L35Y_Quote</v>
      </c>
      <c r="J139" s="67"/>
    </row>
    <row r="140" spans="1:29" x14ac:dyDescent="0.2">
      <c r="A140" s="62" t="s">
        <v>120</v>
      </c>
      <c r="B140" s="117" t="s">
        <v>68</v>
      </c>
      <c r="C140" s="64" t="s">
        <v>6</v>
      </c>
      <c r="D140" s="64" t="s">
        <v>8</v>
      </c>
      <c r="E140" s="64" t="s">
        <v>7</v>
      </c>
      <c r="F140" s="64" t="s">
        <v>132</v>
      </c>
      <c r="G140" s="64" t="str">
        <f t="shared" si="32"/>
        <v>GbpLibor3M</v>
      </c>
      <c r="H140" s="62" t="str">
        <f t="shared" si="33"/>
        <v>GBPSB6L40Y_Quote</v>
      </c>
      <c r="I140" s="62" t="str">
        <f t="shared" si="34"/>
        <v>GBP3L6L40Y_Quote</v>
      </c>
      <c r="J140" s="67"/>
    </row>
    <row r="141" spans="1:29" x14ac:dyDescent="0.2">
      <c r="A141" s="62" t="s">
        <v>120</v>
      </c>
      <c r="B141" s="117" t="s">
        <v>69</v>
      </c>
      <c r="C141" s="64" t="s">
        <v>6</v>
      </c>
      <c r="D141" s="64" t="s">
        <v>8</v>
      </c>
      <c r="E141" s="64" t="s">
        <v>7</v>
      </c>
      <c r="F141" s="64" t="s">
        <v>132</v>
      </c>
      <c r="G141" s="64" t="str">
        <f t="shared" si="32"/>
        <v>GbpLibor3M</v>
      </c>
      <c r="H141" s="62" t="str">
        <f t="shared" si="33"/>
        <v>GBPSB6L50Y_Quote</v>
      </c>
      <c r="I141" s="62" t="str">
        <f t="shared" si="34"/>
        <v>GBP3L6L50Y_Quote</v>
      </c>
      <c r="J141" s="67"/>
    </row>
    <row r="142" spans="1:29" x14ac:dyDescent="0.2">
      <c r="A142" s="1" t="s">
        <v>120</v>
      </c>
      <c r="B142" s="118" t="s">
        <v>116</v>
      </c>
      <c r="C142" s="7" t="s">
        <v>6</v>
      </c>
      <c r="D142" s="7" t="s">
        <v>8</v>
      </c>
      <c r="E142" s="7" t="s">
        <v>7</v>
      </c>
      <c r="F142" s="7" t="s">
        <v>132</v>
      </c>
      <c r="G142" s="7" t="str">
        <f t="shared" si="32"/>
        <v>GbpLibor3M</v>
      </c>
      <c r="H142" s="1" t="str">
        <f t="shared" si="33"/>
        <v>GBPSB6L60Y_Quote</v>
      </c>
      <c r="I142" s="1" t="str">
        <f t="shared" si="34"/>
        <v>GBP3L6L60Y_Quote</v>
      </c>
      <c r="J142" s="3"/>
    </row>
  </sheetData>
  <dataValidations count="4">
    <dataValidation type="list" allowBlank="1" showInputMessage="1" showErrorMessage="1" sqref="D97:D103 D106:D142 D58:D94">
      <formula1>"Annual,Semiannual,EveryFourthMonth,Quarterly,Bimonthly,Monthly,Biweekly,Weekly,Daily,Once,NoFrequency"</formula1>
    </dataValidation>
    <dataValidation type="list" allowBlank="1" showInputMessage="1" showErrorMessage="1" sqref="E97:E103 E58:E94 E106:E142">
      <formula1>"Following,Modified Following,Preceding,Modified Preceding,Unadjusted,Half-Month Modified Following"</formula1>
    </dataValidation>
    <dataValidation type="list" allowBlank="1" showInputMessage="1" showErrorMessage="1" sqref="F97:F103 F50 F106:F142 F58:F9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: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11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3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3</v>
      </c>
      <c r="H1" s="53" t="str">
        <f>"_SYNTH"&amp;Tenor</f>
        <v>_SYNTH6M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GBP6M</v>
      </c>
      <c r="W1" s="69"/>
      <c r="X1" s="69"/>
      <c r="Y1" s="72"/>
      <c r="Z1" s="72"/>
      <c r="AA1" s="69"/>
      <c r="AB1" s="69"/>
      <c r="AC1" s="76" t="s">
        <v>141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131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40">
        <f t="array" ref="AC2:AC64">_xll.qlPiecewiseYieldCurveData(YieldCurve_6M,Trigger)</f>
        <v>1</v>
      </c>
      <c r="AF2" s="219" t="s">
        <v>87</v>
      </c>
      <c r="AG2" s="220"/>
      <c r="AH2" s="220"/>
      <c r="AI2" s="220"/>
      <c r="AJ2" s="221"/>
    </row>
    <row r="3" spans="1:38" ht="11.25" customHeight="1" x14ac:dyDescent="0.2">
      <c r="A3" s="111" t="s">
        <v>27</v>
      </c>
      <c r="B3" s="112" t="s">
        <v>74</v>
      </c>
      <c r="C3" s="113" t="s">
        <v>74</v>
      </c>
      <c r="D3" s="125"/>
      <c r="E3" s="125"/>
      <c r="F3" s="125"/>
      <c r="G3" s="114" t="str">
        <f>_xll.qlLibor(,Currency,C3,,Permanent,Trigger,ObjectOverwrite)</f>
        <v>obj_002ae#0001</v>
      </c>
      <c r="H3" s="122" t="str">
        <f t="shared" ref="H3:H12" si="0">Currency&amp;$B3&amp;"D"&amp;$H$1&amp;QuoteSuffix</f>
        <v>GBPSND_SYNTH6M_Quote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253" t="str">
        <f>IFERROR(INDEX($L$3:$L$64,MATCH(X3,$N$3:$N$64,0),1),"")</f>
        <v>Dp</v>
      </c>
      <c r="W3" s="4" t="str">
        <f t="array" ref="W3:W64">_xll.qlRateHelperSelection(_xll.ohFilter(RateHelpers,IncludeFlag),_xll.ohFilter(Priority,IncludeFlag),$AJ$3,$AJ$4,$AJ$5,$AJ$6,_xll.ohFilter(MinDistance,IncludeFlag),Trigger)</f>
        <v>obj_0032f</v>
      </c>
      <c r="X3" s="4" t="str">
        <f>IFERROR(_xll.qlRateHelperQuoteName(W3,Trigger),"")</f>
        <v>GBP1MD_SYNTH6M_Quote</v>
      </c>
      <c r="Y3" s="73">
        <f>IFERROR(_xll.qlRateHelperRate(W3,Trigger),"")</f>
        <v>7.45E-3</v>
      </c>
      <c r="Z3" s="105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42275</v>
      </c>
      <c r="AB3" s="5">
        <f>IFERROR(_xll.qlRateHelperPillarDate(W3,Trigger),"")</f>
        <v>42305</v>
      </c>
      <c r="AC3" s="241">
        <v>0.99938804594994568</v>
      </c>
      <c r="AF3" s="217" t="s">
        <v>88</v>
      </c>
      <c r="AJ3" s="218">
        <v>0</v>
      </c>
    </row>
    <row r="4" spans="1:38" ht="11.25" customHeight="1" x14ac:dyDescent="0.2">
      <c r="A4" s="62" t="s">
        <v>27</v>
      </c>
      <c r="B4" s="63" t="s">
        <v>93</v>
      </c>
      <c r="C4" s="65" t="s">
        <v>38</v>
      </c>
      <c r="D4" s="126"/>
      <c r="E4" s="126"/>
      <c r="F4" s="126"/>
      <c r="G4" s="64" t="str">
        <f>PROPER(Currency)&amp;FamilyName&amp;B4</f>
        <v>GbpLiborSW</v>
      </c>
      <c r="H4" s="123" t="str">
        <f t="shared" si="0"/>
        <v>GBPSWD_SYNTH6M_Quote</v>
      </c>
      <c r="I4" s="126"/>
      <c r="J4" s="67"/>
      <c r="K4" s="51"/>
      <c r="L4" s="10" t="str">
        <f t="shared" ref="L4:L9" si="1">A4</f>
        <v>Dp</v>
      </c>
      <c r="M4" s="95" t="str">
        <f t="shared" ref="M4:M9" si="2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4" t="str">
        <f t="shared" ref="V4:V64" si="3">IFERROR(INDEX($L$3:$L$64,MATCH(X4,$N$3:$N$64,0),1),"")</f>
        <v>Dp</v>
      </c>
      <c r="W4" s="4" t="str">
        <v>obj_00333</v>
      </c>
      <c r="X4" s="4" t="str">
        <f>IFERROR(_xll.qlRateHelperQuoteName(W4,Trigger),"")</f>
        <v>GBP2MD_SYNTH6M_Quote</v>
      </c>
      <c r="Y4" s="73">
        <f>IFERROR(_xll.qlRateHelperRate(W4,Trigger),"")</f>
        <v>7.4419999999999998E-3</v>
      </c>
      <c r="Z4" s="10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42275</v>
      </c>
      <c r="AB4" s="5">
        <f>IFERROR(_xll.qlRateHelperPillarDate(W4,Trigger),"")</f>
        <v>42338</v>
      </c>
      <c r="AC4" s="241">
        <v>0.99871713825897845</v>
      </c>
      <c r="AF4" s="108" t="s">
        <v>89</v>
      </c>
      <c r="AJ4" s="109">
        <v>0</v>
      </c>
    </row>
    <row r="5" spans="1:38" ht="11.25" customHeight="1" x14ac:dyDescent="0.2">
      <c r="A5" s="176" t="s">
        <v>27</v>
      </c>
      <c r="B5" s="177" t="s">
        <v>39</v>
      </c>
      <c r="C5" s="178" t="str">
        <f>B5</f>
        <v>2W</v>
      </c>
      <c r="D5" s="179"/>
      <c r="E5" s="179"/>
      <c r="F5" s="179"/>
      <c r="G5" s="180" t="str">
        <f>_xll.qlLibor(,Currency,C5,,Permanent,Trigger,ObjectOverwrite)</f>
        <v>obj_00319#0001</v>
      </c>
      <c r="H5" s="181" t="str">
        <f t="shared" si="0"/>
        <v>GBP2WD_SYNTH6M_Quote</v>
      </c>
      <c r="I5" s="179"/>
      <c r="J5" s="182"/>
      <c r="K5" s="51"/>
      <c r="L5" s="10" t="str">
        <f t="shared" si="1"/>
        <v>Dp</v>
      </c>
      <c r="M5" s="95" t="str">
        <f t="shared" si="2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4" t="str">
        <f t="shared" si="3"/>
        <v>Dp</v>
      </c>
      <c r="W5" s="4" t="str">
        <v>obj_00331</v>
      </c>
      <c r="X5" s="4" t="str">
        <f>IFERROR(_xll.qlRateHelperQuoteName(W5,Trigger),"")</f>
        <v>GBP3MD_SYNTH6M_Quote</v>
      </c>
      <c r="Y5" s="73">
        <f>IFERROR(_xll.qlRateHelperRate(W5,Trigger),"")</f>
        <v>7.4400000000000004E-3</v>
      </c>
      <c r="Z5" s="105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42275</v>
      </c>
      <c r="AB5" s="5">
        <f>IFERROR(_xll.qlRateHelperPillarDate(W5,Trigger),"")</f>
        <v>42367</v>
      </c>
      <c r="AC5" s="241">
        <v>0.99812822245022259</v>
      </c>
      <c r="AE5" s="81"/>
      <c r="AF5" s="108" t="s">
        <v>90</v>
      </c>
      <c r="AJ5" s="109">
        <v>0</v>
      </c>
    </row>
    <row r="6" spans="1:38" ht="11.25" customHeight="1" x14ac:dyDescent="0.2">
      <c r="A6" s="183" t="s">
        <v>27</v>
      </c>
      <c r="B6" s="184" t="s">
        <v>40</v>
      </c>
      <c r="C6" s="185" t="str">
        <f t="shared" ref="C6:C9" si="4">B6</f>
        <v>3W</v>
      </c>
      <c r="D6" s="186"/>
      <c r="E6" s="186"/>
      <c r="F6" s="186"/>
      <c r="G6" s="187" t="str">
        <f>_xll.qlLibor(,Currency,C6,,Permanent,Trigger,ObjectOverwrite)</f>
        <v>obj_002b6#0001</v>
      </c>
      <c r="H6" s="188" t="str">
        <f t="shared" si="0"/>
        <v>GBP3WD_SYNTH6M_Quote</v>
      </c>
      <c r="I6" s="186"/>
      <c r="J6" s="189"/>
      <c r="K6" s="51"/>
      <c r="L6" s="10" t="str">
        <f t="shared" si="1"/>
        <v>Dp</v>
      </c>
      <c r="M6" s="95" t="str">
        <f t="shared" si="2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4" t="str">
        <f t="shared" si="3"/>
        <v>Dp</v>
      </c>
      <c r="W6" s="4" t="str">
        <v>obj_00336</v>
      </c>
      <c r="X6" s="4" t="str">
        <f>IFERROR(_xll.qlRateHelperQuoteName(W6,Trigger),"")</f>
        <v>GBP4MD_SYNTH6M_Quote</v>
      </c>
      <c r="Y6" s="73">
        <f>IFERROR(_xll.qlRateHelperRate(W6,Trigger),"")</f>
        <v>7.4000000000000003E-3</v>
      </c>
      <c r="Z6" s="105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42275</v>
      </c>
      <c r="AB6" s="5">
        <f>IFERROR(_xll.qlRateHelperPillarDate(W6,Trigger),"")</f>
        <v>42397</v>
      </c>
      <c r="AC6" s="241">
        <v>0.99753267807734736</v>
      </c>
      <c r="AF6" s="108" t="s">
        <v>91</v>
      </c>
      <c r="AJ6" s="110" t="s">
        <v>92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6"/>
      <c r="E7" s="126"/>
      <c r="F7" s="126"/>
      <c r="G7" s="64" t="str">
        <f>PROPER(Currency)&amp;FamilyName&amp;B7</f>
        <v>GbpLibor1M</v>
      </c>
      <c r="H7" s="123" t="str">
        <f t="shared" si="0"/>
        <v>GBP1MD_SYNTH6M_Quote</v>
      </c>
      <c r="I7" s="126"/>
      <c r="J7" s="67" t="str">
        <f>_xll.qlDepositRateHelper(,H7,G7,Permanent,Trigger,ObjectOverwrite)</f>
        <v>obj_0032f#0001</v>
      </c>
      <c r="K7" s="51"/>
      <c r="L7" s="10" t="str">
        <f t="shared" si="1"/>
        <v>Dp</v>
      </c>
      <c r="M7" s="95" t="str">
        <f t="shared" si="2"/>
        <v>obj_0032f#0001</v>
      </c>
      <c r="N7" s="149" t="str">
        <f>IFERROR(_xll.qlRateHelperQuoteName(M7,Trigger),"--")</f>
        <v>GBP1MD_SYNTH6M_Quote</v>
      </c>
      <c r="O7" s="99">
        <f>IFERROR(_xll.qlRateHelperQuoteValue($M7,Trigger),"--")</f>
        <v>7.45E-3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42275</v>
      </c>
      <c r="T7" s="100">
        <f>IFERROR(_xll.qlRateHelperPillarDate(M7,Trigger),"--")</f>
        <v>42305</v>
      </c>
      <c r="V7" s="4" t="str">
        <f t="shared" si="3"/>
        <v>Dp</v>
      </c>
      <c r="W7" s="4" t="str">
        <v>obj_00330</v>
      </c>
      <c r="X7" s="4" t="str">
        <f>IFERROR(_xll.qlRateHelperQuoteName(W7,Trigger),"")</f>
        <v>GBP5MD_SYNTH6M_Quote</v>
      </c>
      <c r="Y7" s="73">
        <f>IFERROR(_xll.qlRateHelperRate(W7,Trigger),"")</f>
        <v>7.4609999999999998E-3</v>
      </c>
      <c r="Z7" s="105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42275</v>
      </c>
      <c r="AB7" s="5">
        <f>IFERROR(_xll.qlRateHelperPillarDate(W7,Trigger),"")</f>
        <v>42429</v>
      </c>
      <c r="AC7" s="241">
        <v>0.99686194959202878</v>
      </c>
    </row>
    <row r="8" spans="1:38" ht="11.25" customHeight="1" x14ac:dyDescent="0.2">
      <c r="A8" s="62" t="s">
        <v>27</v>
      </c>
      <c r="B8" s="63" t="s">
        <v>41</v>
      </c>
      <c r="C8" s="65" t="str">
        <f t="shared" si="4"/>
        <v>2M</v>
      </c>
      <c r="D8" s="126"/>
      <c r="E8" s="126"/>
      <c r="F8" s="126"/>
      <c r="G8" s="64" t="str">
        <f>PROPER(Currency)&amp;FamilyName&amp;B8</f>
        <v>GbpLibor2M</v>
      </c>
      <c r="H8" s="123" t="str">
        <f t="shared" si="0"/>
        <v>GBP2MD_SYNTH6M_Quote</v>
      </c>
      <c r="I8" s="126"/>
      <c r="J8" s="67" t="str">
        <f>_xll.qlDepositRateHelper(,H8,G8,Permanent,Trigger,ObjectOverwrite)</f>
        <v>obj_00333#0001</v>
      </c>
      <c r="K8" s="51"/>
      <c r="L8" s="10" t="str">
        <f t="shared" si="1"/>
        <v>Dp</v>
      </c>
      <c r="M8" s="95" t="str">
        <f t="shared" si="2"/>
        <v>obj_00333#0001</v>
      </c>
      <c r="N8" s="149" t="str">
        <f>IFERROR(_xll.qlRateHelperQuoteName(M8,Trigger),"--")</f>
        <v>GBP2MD_SYNTH6M_Quote</v>
      </c>
      <c r="O8" s="99">
        <f>IFERROR(_xll.qlRateHelperQuoteValue($M8,Trigger),"--")</f>
        <v>7.4419999999999998E-3</v>
      </c>
      <c r="P8" s="98" t="b">
        <v>1</v>
      </c>
      <c r="Q8" s="95">
        <v>10</v>
      </c>
      <c r="R8" s="95">
        <v>1</v>
      </c>
      <c r="S8" s="100">
        <f>IFERROR(_xll.qlRateHelperEarliestDate(M8,Trigger),"--")</f>
        <v>42275</v>
      </c>
      <c r="T8" s="100">
        <f>IFERROR(_xll.qlRateHelperPillarDate(M8,Trigger),"--")</f>
        <v>42338</v>
      </c>
      <c r="V8" s="4" t="str">
        <f t="shared" si="3"/>
        <v>Dp</v>
      </c>
      <c r="W8" s="4" t="str">
        <v>obj_00334</v>
      </c>
      <c r="X8" s="4" t="str">
        <f>IFERROR(_xll.qlRateHelperQuoteName(W8,Trigger),"")</f>
        <v>GBP6MD_SYNTH6M_Quote</v>
      </c>
      <c r="Y8" s="73">
        <f>IFERROR(_xll.qlRateHelperRate(W8,Trigger),"")</f>
        <v>7.4999999999999997E-3</v>
      </c>
      <c r="Z8" s="105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42275</v>
      </c>
      <c r="AB8" s="5">
        <f>IFERROR(_xll.qlRateHelperPillarDate(W8,Trigger),"")</f>
        <v>42458</v>
      </c>
      <c r="AC8" s="241">
        <v>0.99625381271793045</v>
      </c>
    </row>
    <row r="9" spans="1:38" ht="11.25" customHeight="1" x14ac:dyDescent="0.2">
      <c r="A9" s="62" t="s">
        <v>27</v>
      </c>
      <c r="B9" s="63" t="s">
        <v>0</v>
      </c>
      <c r="C9" s="65" t="str">
        <f t="shared" si="4"/>
        <v>3M</v>
      </c>
      <c r="D9" s="126"/>
      <c r="E9" s="126"/>
      <c r="F9" s="126"/>
      <c r="G9" s="64" t="str">
        <f>PROPER(Currency)&amp;FamilyName&amp;B9</f>
        <v>GbpLibor3M</v>
      </c>
      <c r="H9" s="123" t="str">
        <f t="shared" si="0"/>
        <v>GBP3MD_SYNTH6M_Quote</v>
      </c>
      <c r="I9" s="126"/>
      <c r="J9" s="67" t="str">
        <f>_xll.qlDepositRateHelper(,H9,G9,Permanent,Trigger,ObjectOverwrite)</f>
        <v>obj_00331#0001</v>
      </c>
      <c r="K9" s="51"/>
      <c r="L9" s="10" t="str">
        <f t="shared" si="1"/>
        <v>Dp</v>
      </c>
      <c r="M9" s="95" t="str">
        <f t="shared" si="2"/>
        <v>obj_00331#0001</v>
      </c>
      <c r="N9" s="149" t="str">
        <f>IFERROR(_xll.qlRateHelperQuoteName(M9,Trigger),"--")</f>
        <v>GBP3MD_SYNTH6M_Quote</v>
      </c>
      <c r="O9" s="99">
        <f>IFERROR(_xll.qlRateHelperQuoteValue($M9,Trigger),"--")</f>
        <v>7.4400000000000004E-3</v>
      </c>
      <c r="P9" s="98" t="b">
        <v>1</v>
      </c>
      <c r="Q9" s="95">
        <v>10</v>
      </c>
      <c r="R9" s="95">
        <v>1</v>
      </c>
      <c r="S9" s="100">
        <f>IFERROR(_xll.qlRateHelperEarliestDate(M9,Trigger),"--")</f>
        <v>42275</v>
      </c>
      <c r="T9" s="100">
        <f>IFERROR(_xll.qlRateHelperPillarDate(M9,Trigger),"--")</f>
        <v>42367</v>
      </c>
      <c r="V9" s="4" t="str">
        <f t="shared" si="3"/>
        <v>FRA</v>
      </c>
      <c r="W9" s="4" t="str">
        <v>obj_0031e</v>
      </c>
      <c r="X9" s="4" t="str">
        <f>IFERROR(_xll.qlRateHelperQuoteName(W9,Trigger),"")</f>
        <v>GBP1x7F_Quote</v>
      </c>
      <c r="Y9" s="73">
        <f>IFERROR(_xll.qlRateHelperRate(W9,Trigger),"")</f>
        <v>7.5500000000000003E-3</v>
      </c>
      <c r="Z9" s="105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42305</v>
      </c>
      <c r="AB9" s="5">
        <f>IFERROR(_xll.qlRateHelperPillarDate(W9,Trigger),"")</f>
        <v>42488</v>
      </c>
      <c r="AC9" s="241">
        <v>0.99561928598697602</v>
      </c>
      <c r="AG9" s="49" t="s">
        <v>128</v>
      </c>
    </row>
    <row r="10" spans="1:38" ht="11.25" customHeight="1" x14ac:dyDescent="0.2">
      <c r="A10" s="176" t="s">
        <v>27</v>
      </c>
      <c r="B10" s="177" t="s">
        <v>42</v>
      </c>
      <c r="C10" s="178" t="str">
        <f t="shared" ref="C10:C12" si="5">B10</f>
        <v>4M</v>
      </c>
      <c r="D10" s="179"/>
      <c r="E10" s="179"/>
      <c r="F10" s="179"/>
      <c r="G10" s="180" t="str">
        <f>_xll.qlLibor(,Currency,C10,,Permanent,Trigger,ObjectOverwrite)</f>
        <v>obj_002a5#0001</v>
      </c>
      <c r="H10" s="181" t="str">
        <f t="shared" si="0"/>
        <v>GBP4MD_SYNTH6M_Quote</v>
      </c>
      <c r="I10" s="179"/>
      <c r="J10" s="182" t="str">
        <f>_xll.qlDepositRateHelper(,H10,G10,Permanent,Trigger,ObjectOverwrite)</f>
        <v>obj_00336#0001</v>
      </c>
      <c r="K10" s="51"/>
      <c r="L10" s="10" t="str">
        <f t="shared" ref="L10:L12" si="6">A10</f>
        <v>Dp</v>
      </c>
      <c r="M10" s="95" t="str">
        <f t="shared" ref="M10:M12" si="7">IF(ISBLANK(J10),"--",J10)</f>
        <v>obj_00336#0001</v>
      </c>
      <c r="N10" s="149" t="str">
        <f>IFERROR(_xll.qlRateHelperQuoteName(M10,Trigger),"--")</f>
        <v>GBP4MD_SYNTH6M_Quote</v>
      </c>
      <c r="O10" s="99">
        <f>IFERROR(_xll.qlRateHelperQuoteValue($M10,Trigger),"--")</f>
        <v>7.4000000000000003E-3</v>
      </c>
      <c r="P10" s="98" t="b">
        <v>1</v>
      </c>
      <c r="Q10" s="95">
        <v>10</v>
      </c>
      <c r="R10" s="95">
        <v>1</v>
      </c>
      <c r="S10" s="100">
        <f>IFERROR(_xll.qlRateHelperEarliestDate(M10,Trigger),"--")</f>
        <v>42275</v>
      </c>
      <c r="T10" s="100">
        <f>IFERROR(_xll.qlRateHelperPillarDate(M10,Trigger),"--")</f>
        <v>42397</v>
      </c>
      <c r="V10" s="4" t="str">
        <f t="shared" si="3"/>
        <v>FRA</v>
      </c>
      <c r="W10" s="4" t="str">
        <v>obj_00329</v>
      </c>
      <c r="X10" s="4" t="str">
        <f>IFERROR(_xll.qlRateHelperQuoteName(W10,Trigger),"")</f>
        <v>GBP2x8F_Quote</v>
      </c>
      <c r="Y10" s="73">
        <f>IFERROR(_xll.qlRateHelperRate(W10,Trigger),"")</f>
        <v>7.6500000000000005E-3</v>
      </c>
      <c r="Z10" s="105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42338</v>
      </c>
      <c r="AB10" s="5">
        <f>IFERROR(_xll.qlRateHelperPillarDate(W10,Trigger),"")</f>
        <v>42521</v>
      </c>
      <c r="AC10" s="241">
        <v>0.99490121509167007</v>
      </c>
      <c r="AE10" s="77" t="s">
        <v>122</v>
      </c>
      <c r="AF10" s="77" t="s">
        <v>123</v>
      </c>
      <c r="AG10" s="77" t="s">
        <v>124</v>
      </c>
      <c r="AH10" s="77" t="s">
        <v>135</v>
      </c>
      <c r="AI10" s="77" t="s">
        <v>125</v>
      </c>
      <c r="AJ10" s="77" t="s">
        <v>136</v>
      </c>
      <c r="AK10" s="77" t="s">
        <v>126</v>
      </c>
      <c r="AL10" s="77" t="s">
        <v>127</v>
      </c>
    </row>
    <row r="11" spans="1:38" ht="11.25" customHeight="1" x14ac:dyDescent="0.2">
      <c r="A11" s="183" t="s">
        <v>27</v>
      </c>
      <c r="B11" s="184" t="s">
        <v>43</v>
      </c>
      <c r="C11" s="185" t="str">
        <f t="shared" si="5"/>
        <v>5M</v>
      </c>
      <c r="D11" s="186"/>
      <c r="E11" s="186"/>
      <c r="F11" s="186"/>
      <c r="G11" s="187" t="str">
        <f>_xll.qlLibor(,Currency,C11,,Permanent,Trigger,ObjectOverwrite)</f>
        <v>obj_002b9#0001</v>
      </c>
      <c r="H11" s="188" t="str">
        <f t="shared" si="0"/>
        <v>GBP5MD_SYNTH6M_Quote</v>
      </c>
      <c r="I11" s="186"/>
      <c r="J11" s="189" t="str">
        <f>_xll.qlDepositRateHelper(,H11,G11,Permanent,Trigger,ObjectOverwrite)</f>
        <v>obj_00330#0001</v>
      </c>
      <c r="K11" s="51"/>
      <c r="L11" s="10" t="str">
        <f t="shared" si="6"/>
        <v>Dp</v>
      </c>
      <c r="M11" s="95" t="str">
        <f t="shared" si="7"/>
        <v>obj_00330#0001</v>
      </c>
      <c r="N11" s="149" t="str">
        <f>IFERROR(_xll.qlRateHelperQuoteName(M11,Trigger),"--")</f>
        <v>GBP5MD_SYNTH6M_Quote</v>
      </c>
      <c r="O11" s="99">
        <f>IFERROR(_xll.qlRateHelperQuoteValue($M11,Trigger),"--")</f>
        <v>7.4609999999999998E-3</v>
      </c>
      <c r="P11" s="98" t="b">
        <v>1</v>
      </c>
      <c r="Q11" s="95">
        <v>10</v>
      </c>
      <c r="R11" s="95">
        <v>1</v>
      </c>
      <c r="S11" s="100">
        <f>IFERROR(_xll.qlRateHelperEarliestDate(M11,Trigger),"--")</f>
        <v>42275</v>
      </c>
      <c r="T11" s="100">
        <f>IFERROR(_xll.qlRateHelperPillarDate(M11,Trigger),"--")</f>
        <v>42429</v>
      </c>
      <c r="V11" s="4" t="str">
        <f t="shared" si="3"/>
        <v>FRA</v>
      </c>
      <c r="W11" s="4" t="str">
        <v>obj_0031d</v>
      </c>
      <c r="X11" s="4" t="str">
        <f>IFERROR(_xll.qlRateHelperQuoteName(W11,Trigger),"")</f>
        <v>GBP3x9F_Quote</v>
      </c>
      <c r="Y11" s="73">
        <f>IFERROR(_xll.qlRateHelperRate(W11,Trigger),"")</f>
        <v>7.8000000000000005E-3</v>
      </c>
      <c r="Z11" s="105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42367</v>
      </c>
      <c r="AB11" s="5">
        <f>IFERROR(_xll.qlRateHelperPillarDate(W11,Trigger),"")</f>
        <v>42549</v>
      </c>
      <c r="AC11" s="241">
        <v>0.99426231667941323</v>
      </c>
      <c r="AE11" s="160">
        <v>1</v>
      </c>
      <c r="AF11" s="161">
        <f>_xll.qlCalendarEndOfMonth(Calendar,Settlementdate,Trigger)</f>
        <v>42277</v>
      </c>
      <c r="AG11" s="160" t="str">
        <f t="shared" ref="AG11:AG23" si="8">Currency&amp;$AG$9&amp;AE11&amp;JumpSuffix&amp;QuoteSuffix</f>
        <v>GBPJump1_SYNTHON_Quote</v>
      </c>
      <c r="AH11" s="204">
        <f>_xll.qlDayCounterYearFraction("actual/360",AF11,_xll.qlCalendarAdvance(Calendar,AF11,"1D",,,Trigger))</f>
        <v>2.7777777777777779E-3</v>
      </c>
      <c r="AI11" s="162" t="e">
        <f>IF(_xll.qlQuoteIsValid(AG11,Trigger),_xll.qlQuoteValue(AG11,Trigger),1)</f>
        <v>#NUM!</v>
      </c>
      <c r="AJ11" s="207" t="e">
        <f>-LN(AI11)/AH11</f>
        <v>#NUM!</v>
      </c>
      <c r="AK11" s="210"/>
      <c r="AL11" s="162" t="str">
        <f>IF(ISBLANK(AK11),AG11,EXP(-AK11*AH11))</f>
        <v>GBPJump1_SYNTHON_Quote</v>
      </c>
    </row>
    <row r="12" spans="1:38" ht="11.25" customHeight="1" x14ac:dyDescent="0.2">
      <c r="A12" s="1" t="s">
        <v>27</v>
      </c>
      <c r="B12" s="8" t="s">
        <v>3</v>
      </c>
      <c r="C12" s="9" t="str">
        <f t="shared" si="5"/>
        <v>6M</v>
      </c>
      <c r="D12" s="127"/>
      <c r="E12" s="127"/>
      <c r="F12" s="127"/>
      <c r="G12" s="7" t="str">
        <f>PROPER(Currency)&amp;FamilyName&amp;B12</f>
        <v>GbpLibor6M</v>
      </c>
      <c r="H12" s="124" t="str">
        <f t="shared" si="0"/>
        <v>GBP6MD_SYNTH6M_Quote</v>
      </c>
      <c r="I12" s="127"/>
      <c r="J12" s="3" t="str">
        <f>_xll.qlDepositRateHelper(,H12,G12,Permanent,Trigger,ObjectOverwrite)</f>
        <v>obj_00334#0001</v>
      </c>
      <c r="K12" s="51" t="s">
        <v>36</v>
      </c>
      <c r="L12" s="11" t="str">
        <f t="shared" si="6"/>
        <v>Dp</v>
      </c>
      <c r="M12" s="96" t="str">
        <f t="shared" si="7"/>
        <v>obj_00334#0001</v>
      </c>
      <c r="N12" s="150" t="str">
        <f>IFERROR(_xll.qlRateHelperQuoteName(M12,Trigger),"--")</f>
        <v>GBP6MD_SYNTH6M_Quote</v>
      </c>
      <c r="O12" s="102">
        <f>IFERROR(_xll.qlRateHelperQuoteValue($M12,Trigger),"--")</f>
        <v>7.4999999999999997E-3</v>
      </c>
      <c r="P12" s="101" t="b">
        <v>1</v>
      </c>
      <c r="Q12" s="96">
        <v>10</v>
      </c>
      <c r="R12" s="96">
        <v>1</v>
      </c>
      <c r="S12" s="103">
        <f>IFERROR(_xll.qlRateHelperEarliestDate(M12,Trigger),"--")</f>
        <v>42275</v>
      </c>
      <c r="T12" s="103">
        <f>IFERROR(_xll.qlRateHelperPillarDate(M12,Trigger),"--")</f>
        <v>42458</v>
      </c>
      <c r="V12" s="4" t="str">
        <f t="shared" si="3"/>
        <v>FRA</v>
      </c>
      <c r="W12" s="4" t="str">
        <v>obj_00326</v>
      </c>
      <c r="X12" s="4" t="str">
        <f>IFERROR(_xll.qlRateHelperQuoteName(W12,Trigger),"")</f>
        <v>GBP4x10F_Quote</v>
      </c>
      <c r="Y12" s="73">
        <f>IFERROR(_xll.qlRateHelperRate(W12,Trigger),"")</f>
        <v>7.9499999999999987E-3</v>
      </c>
      <c r="Z12" s="105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42397</v>
      </c>
      <c r="AB12" s="5">
        <f>IFERROR(_xll.qlRateHelperPillarDate(W12,Trigger),"")</f>
        <v>42579</v>
      </c>
      <c r="AC12" s="241">
        <v>0.99359396272210743</v>
      </c>
      <c r="AE12" s="163">
        <v>2</v>
      </c>
      <c r="AF12" s="164">
        <f>_xll.qlCalendarEndOfMonth(Calendar,_xll.qlCalendarAdvance(Calendar,AF11,"1m","mf",TRUE),Trigger)</f>
        <v>42307</v>
      </c>
      <c r="AG12" s="163" t="str">
        <f t="shared" si="8"/>
        <v>GBPJump2_SYNTHON_Quote</v>
      </c>
      <c r="AH12" s="205">
        <f>_xll.qlDayCounterYearFraction("actual/360",AF12,_xll.qlCalendarAdvance(Calendar,AF12,"1D",,,Trigger))</f>
        <v>8.3333333333333332E-3</v>
      </c>
      <c r="AI12" s="165" t="e">
        <f>IF(_xll.qlQuoteIsValid(AG12,Trigger),_xll.qlQuoteValue(AG12,Trigger),1)</f>
        <v>#NUM!</v>
      </c>
      <c r="AJ12" s="208" t="e">
        <f t="shared" ref="AJ12:AJ23" si="9">-LN(AI12)/AH12</f>
        <v>#NUM!</v>
      </c>
      <c r="AK12" s="211"/>
      <c r="AL12" s="165" t="str">
        <f t="shared" ref="AL12:AL23" si="10">IF(ISBLANK(AK12),AG12,EXP(-AK12*AH12))</f>
        <v>GBPJump2_SYNTHON_Quote</v>
      </c>
    </row>
    <row r="13" spans="1:38" ht="11.25" customHeight="1" x14ac:dyDescent="0.2">
      <c r="B13" s="49"/>
      <c r="C13" s="49"/>
      <c r="D13" s="49"/>
      <c r="E13" s="49"/>
      <c r="F13" s="49"/>
      <c r="G13" s="49"/>
      <c r="H13" s="49"/>
      <c r="K13" s="51"/>
      <c r="L13" s="71" t="str">
        <f>A15</f>
        <v>FRA</v>
      </c>
      <c r="M13" s="134" t="str">
        <f>IF(ISBLANK(J15),"--",J15)</f>
        <v>obj_0031e#0001</v>
      </c>
      <c r="N13" s="148" t="str">
        <f>IFERROR(_xll.qlRateHelperQuoteName(M13,Trigger),"--")</f>
        <v>GBP1x7F_Quote</v>
      </c>
      <c r="O13" s="136">
        <f>IFERROR(_xll.qlRateHelperQuoteValue($M13,Trigger),"--")</f>
        <v>7.5500000000000003E-3</v>
      </c>
      <c r="P13" s="135" t="b">
        <v>1</v>
      </c>
      <c r="Q13" s="134">
        <v>20</v>
      </c>
      <c r="R13" s="134">
        <v>1</v>
      </c>
      <c r="S13" s="137">
        <f>IFERROR(_xll.qlRateHelperEarliestDate(M13,Trigger),"--")</f>
        <v>42305</v>
      </c>
      <c r="T13" s="137">
        <f>IFERROR(_xll.qlRateHelperPillarDate(M13,Trigger),"--")</f>
        <v>42488</v>
      </c>
      <c r="V13" s="4" t="str">
        <f t="shared" si="3"/>
        <v>FRA</v>
      </c>
      <c r="W13" s="4" t="str">
        <v>obj_00323</v>
      </c>
      <c r="X13" s="4" t="str">
        <f>IFERROR(_xll.qlRateHelperQuoteName(W13,Trigger),"")</f>
        <v>GBP5x11F_Quote</v>
      </c>
      <c r="Y13" s="73">
        <f>IFERROR(_xll.qlRateHelperRate(W13,Trigger),"")</f>
        <v>8.2000000000000007E-3</v>
      </c>
      <c r="Z13" s="105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42429</v>
      </c>
      <c r="AB13" s="5">
        <f>IFERROR(_xll.qlRateHelperPillarDate(W13,Trigger),"")</f>
        <v>42612</v>
      </c>
      <c r="AC13" s="241">
        <v>0.99278178663074246</v>
      </c>
      <c r="AE13" s="163">
        <v>3</v>
      </c>
      <c r="AF13" s="164">
        <f>_xll.qlCalendarEndOfMonth(Calendar,_xll.qlCalendarAdvance(Calendar,AF12,"1m","mf",TRUE),Trigger)</f>
        <v>42338</v>
      </c>
      <c r="AG13" s="163" t="str">
        <f t="shared" si="8"/>
        <v>GBPJump3_SYNTHON_Quote</v>
      </c>
      <c r="AH13" s="205">
        <f>_xll.qlDayCounterYearFraction("actual/360",AF13,_xll.qlCalendarAdvance(Calendar,AF13,"1D",,,Trigger))</f>
        <v>2.7777777777777779E-3</v>
      </c>
      <c r="AI13" s="165" t="e">
        <f>IF(_xll.qlQuoteIsValid(AG13,Trigger),_xll.qlQuoteValue(AG13,Trigger),1)</f>
        <v>#NUM!</v>
      </c>
      <c r="AJ13" s="208" t="e">
        <f t="shared" si="9"/>
        <v>#NUM!</v>
      </c>
      <c r="AK13" s="211"/>
      <c r="AL13" s="165" t="str">
        <f t="shared" si="10"/>
        <v>GBPJump3_SYNTHON_Quote</v>
      </c>
    </row>
    <row r="14" spans="1:38" ht="11.25" customHeight="1" x14ac:dyDescent="0.2">
      <c r="A14" s="68" t="s">
        <v>9</v>
      </c>
      <c r="B14" s="68" t="s">
        <v>95</v>
      </c>
      <c r="C14" s="68" t="s">
        <v>96</v>
      </c>
      <c r="D14" s="68"/>
      <c r="E14" s="68"/>
      <c r="F14" s="68"/>
      <c r="G14" s="68" t="s">
        <v>4</v>
      </c>
      <c r="H14" s="68" t="s">
        <v>1</v>
      </c>
      <c r="I14" s="68"/>
      <c r="J14" s="68" t="s">
        <v>25</v>
      </c>
      <c r="K14" s="51"/>
      <c r="L14" s="10" t="str">
        <f t="shared" ref="L14:L26" si="11">A16</f>
        <v>FRA</v>
      </c>
      <c r="M14" s="95" t="str">
        <f t="shared" ref="M14:M26" si="12">IF(ISBLANK(J16),"--",J16)</f>
        <v>obj_00329#0001</v>
      </c>
      <c r="N14" s="149" t="str">
        <f>IFERROR(_xll.qlRateHelperQuoteName(M14,Trigger),"--")</f>
        <v>GBP2x8F_Quote</v>
      </c>
      <c r="O14" s="99">
        <f>IFERROR(_xll.qlRateHelperQuoteValue($M14,Trigger),"--")</f>
        <v>7.6500000000000005E-3</v>
      </c>
      <c r="P14" s="98" t="b">
        <v>1</v>
      </c>
      <c r="Q14" s="95">
        <v>20</v>
      </c>
      <c r="R14" s="95">
        <v>1</v>
      </c>
      <c r="S14" s="100">
        <f>IFERROR(_xll.qlRateHelperEarliestDate(M14,Trigger),"--")</f>
        <v>42338</v>
      </c>
      <c r="T14" s="100">
        <f>IFERROR(_xll.qlRateHelperPillarDate(M14,Trigger),"--")</f>
        <v>42521</v>
      </c>
      <c r="V14" s="4" t="str">
        <f t="shared" si="3"/>
        <v>FRA</v>
      </c>
      <c r="W14" s="4" t="str">
        <v>obj_0031b</v>
      </c>
      <c r="X14" s="4" t="str">
        <f>IFERROR(_xll.qlRateHelperQuoteName(W14,Trigger),"")</f>
        <v>GBP6x12F_Quote</v>
      </c>
      <c r="Y14" s="73">
        <f>IFERROR(_xll.qlRateHelperRate(W14,Trigger),"")</f>
        <v>8.3000000000000001E-3</v>
      </c>
      <c r="Z14" s="105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42458</v>
      </c>
      <c r="AB14" s="5">
        <f>IFERROR(_xll.qlRateHelperPillarDate(W14,Trigger),"")</f>
        <v>42641</v>
      </c>
      <c r="AC14" s="241">
        <v>0.99212580823655916</v>
      </c>
      <c r="AE14" s="163">
        <v>4</v>
      </c>
      <c r="AF14" s="164">
        <f>_xll.qlCalendarEndOfMonth(Calendar,_xll.qlCalendarAdvance(Calendar,AF13,"1m","mf",TRUE),Trigger)</f>
        <v>42369</v>
      </c>
      <c r="AG14" s="163" t="str">
        <f t="shared" si="8"/>
        <v>GBPJump4_SYNTHON_Quote</v>
      </c>
      <c r="AH14" s="205">
        <f>_xll.qlDayCounterYearFraction("actual/360",AF14,_xll.qlCalendarAdvance(Calendar,AF14,"1D",,,Trigger))</f>
        <v>1.1111111111111112E-2</v>
      </c>
      <c r="AI14" s="165" t="e">
        <f>IF(_xll.qlQuoteIsValid(AG14,Trigger),_xll.qlQuoteValue(AG14,Trigger),1)</f>
        <v>#NUM!</v>
      </c>
      <c r="AJ14" s="208" t="e">
        <f t="shared" si="9"/>
        <v>#NUM!</v>
      </c>
      <c r="AK14" s="211"/>
      <c r="AL14" s="165" t="str">
        <f t="shared" si="10"/>
        <v>GBPJump4_SYNTHON_Quote</v>
      </c>
    </row>
    <row r="15" spans="1:38" ht="11.25" customHeight="1" x14ac:dyDescent="0.2">
      <c r="A15" s="56" t="s">
        <v>97</v>
      </c>
      <c r="B15" s="116">
        <v>1</v>
      </c>
      <c r="C15" s="59" t="str">
        <f t="shared" ref="C15:C32" si="13">"x"&amp;B15+SUBSTITUTE(Tenor,"M","")&amp;"F"</f>
        <v>x7F</v>
      </c>
      <c r="D15" s="132"/>
      <c r="E15" s="132"/>
      <c r="F15" s="132"/>
      <c r="G15" s="58" t="str">
        <f t="shared" ref="G15:G32" si="14">PROPER(Currency)&amp;FamilyName&amp;Tenor</f>
        <v>GbpLibor6M</v>
      </c>
      <c r="H15" s="119" t="str">
        <f t="shared" ref="H15:H24" si="15">Currency&amp;B15&amp;C15&amp;QuoteSuffix</f>
        <v>GBP1x7F_Quote</v>
      </c>
      <c r="I15" s="132"/>
      <c r="J15" s="61" t="str">
        <f>_xll.qlFraRateHelper(,H15,B15&amp;"M",G15,PillarDate,,Permanent,Trigger,ObjectOverwrite)</f>
        <v>obj_0031e#0001</v>
      </c>
      <c r="K15" s="51"/>
      <c r="L15" s="10" t="str">
        <f t="shared" si="11"/>
        <v>FRA</v>
      </c>
      <c r="M15" s="95" t="str">
        <f t="shared" si="12"/>
        <v>obj_0031d#0001</v>
      </c>
      <c r="N15" s="149" t="str">
        <f>IFERROR(_xll.qlRateHelperQuoteName(M15,Trigger),"--")</f>
        <v>GBP3x9F_Quote</v>
      </c>
      <c r="O15" s="99">
        <f>IFERROR(_xll.qlRateHelperQuoteValue($M15,Trigger),"--")</f>
        <v>7.8000000000000005E-3</v>
      </c>
      <c r="P15" s="98" t="b">
        <v>1</v>
      </c>
      <c r="Q15" s="95">
        <v>20</v>
      </c>
      <c r="R15" s="95">
        <v>1</v>
      </c>
      <c r="S15" s="100">
        <f>IFERROR(_xll.qlRateHelperEarliestDate(M15,Trigger),"--")</f>
        <v>42367</v>
      </c>
      <c r="T15" s="100">
        <f>IFERROR(_xll.qlRateHelperPillarDate(M15,Trigger),"--")</f>
        <v>42549</v>
      </c>
      <c r="V15" s="4" t="str">
        <f t="shared" si="3"/>
        <v>FRA</v>
      </c>
      <c r="W15" s="4" t="str">
        <v>obj_00322</v>
      </c>
      <c r="X15" s="4" t="str">
        <f>IFERROR(_xll.qlRateHelperQuoteName(W15,Trigger),"")</f>
        <v>GBP9x15F_Quote</v>
      </c>
      <c r="Y15" s="73">
        <f>IFERROR(_xll.qlRateHelperRate(W15,Trigger),"")</f>
        <v>9.1999999999999998E-3</v>
      </c>
      <c r="Z15" s="105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42549</v>
      </c>
      <c r="AB15" s="5">
        <f>IFERROR(_xll.qlRateHelperPillarDate(W15,Trigger),"")</f>
        <v>42732</v>
      </c>
      <c r="AC15" s="241">
        <v>0.98969723649485775</v>
      </c>
      <c r="AE15" s="163">
        <v>5</v>
      </c>
      <c r="AF15" s="164">
        <f>_xll.qlCalendarEndOfMonth(Calendar,_xll.qlCalendarAdvance(Calendar,AF14,"1m","mf",TRUE),Trigger)</f>
        <v>42398</v>
      </c>
      <c r="AG15" s="163" t="str">
        <f t="shared" si="8"/>
        <v>GBPJump5_SYNTHON_Quote</v>
      </c>
      <c r="AH15" s="205">
        <f>_xll.qlDayCounterYearFraction("actual/360",AF15,_xll.qlCalendarAdvance(Calendar,AF15,"1D",,,Trigger))</f>
        <v>8.3333333333333332E-3</v>
      </c>
      <c r="AI15" s="165" t="e">
        <f>IF(_xll.qlQuoteIsValid(AG15,Trigger),_xll.qlQuoteValue(AG15,Trigger),1)</f>
        <v>#NUM!</v>
      </c>
      <c r="AJ15" s="208" t="e">
        <f t="shared" si="9"/>
        <v>#NUM!</v>
      </c>
      <c r="AK15" s="211"/>
      <c r="AL15" s="165" t="str">
        <f t="shared" si="10"/>
        <v>GBPJump5_SYNTHON_Quote</v>
      </c>
    </row>
    <row r="16" spans="1:38" ht="11.25" customHeight="1" x14ac:dyDescent="0.2">
      <c r="A16" s="62" t="s">
        <v>97</v>
      </c>
      <c r="B16" s="117">
        <v>2</v>
      </c>
      <c r="C16" s="65" t="str">
        <f t="shared" si="13"/>
        <v>x8F</v>
      </c>
      <c r="D16" s="126"/>
      <c r="E16" s="126"/>
      <c r="F16" s="126"/>
      <c r="G16" s="64" t="str">
        <f t="shared" si="14"/>
        <v>GbpLibor6M</v>
      </c>
      <c r="H16" s="120" t="str">
        <f t="shared" si="15"/>
        <v>GBP2x8F_Quote</v>
      </c>
      <c r="I16" s="126"/>
      <c r="J16" s="67" t="str">
        <f>_xll.qlFraRateHelper(,H16,B16&amp;"M",G16,PillarDate,,Permanent,Trigger,ObjectOverwrite)</f>
        <v>obj_00329#0001</v>
      </c>
      <c r="K16" s="51"/>
      <c r="L16" s="10" t="str">
        <f t="shared" si="11"/>
        <v>FRA</v>
      </c>
      <c r="M16" s="95" t="str">
        <f t="shared" si="12"/>
        <v>obj_00326#0001</v>
      </c>
      <c r="N16" s="149" t="str">
        <f>IFERROR(_xll.qlRateHelperQuoteName(M16,Trigger),"--")</f>
        <v>GBP4x10F_Quote</v>
      </c>
      <c r="O16" s="99">
        <f>IFERROR(_xll.qlRateHelperQuoteValue($M16,Trigger),"--")</f>
        <v>7.9499999999999987E-3</v>
      </c>
      <c r="P16" s="98" t="b">
        <v>1</v>
      </c>
      <c r="Q16" s="95">
        <v>20</v>
      </c>
      <c r="R16" s="95">
        <v>1</v>
      </c>
      <c r="S16" s="100">
        <f>IFERROR(_xll.qlRateHelperEarliestDate(M16,Trigger),"--")</f>
        <v>42397</v>
      </c>
      <c r="T16" s="100">
        <f>IFERROR(_xll.qlRateHelperPillarDate(M16,Trigger),"--")</f>
        <v>42579</v>
      </c>
      <c r="V16" s="4" t="str">
        <f t="shared" si="3"/>
        <v>FRA</v>
      </c>
      <c r="W16" s="4" t="str">
        <v>obj_00324</v>
      </c>
      <c r="X16" s="4" t="str">
        <f>IFERROR(_xll.qlRateHelperQuoteName(W16,Trigger),"")</f>
        <v>GBP12x18F_Quote</v>
      </c>
      <c r="Y16" s="73">
        <f>IFERROR(_xll.qlRateHelperRate(W16,Trigger),"")</f>
        <v>1.0249999999999999E-2</v>
      </c>
      <c r="Z16" s="105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42641</v>
      </c>
      <c r="AB16" s="5">
        <f>IFERROR(_xll.qlRateHelperPillarDate(W16,Trigger),"")</f>
        <v>42822</v>
      </c>
      <c r="AC16" s="241">
        <v>0.98710845764465427</v>
      </c>
      <c r="AE16" s="163">
        <v>6</v>
      </c>
      <c r="AF16" s="164">
        <f>_xll.qlCalendarEndOfMonth(Calendar,_xll.qlCalendarAdvance(Calendar,AF15,"1m","mf",TRUE),Trigger)</f>
        <v>42429</v>
      </c>
      <c r="AG16" s="163" t="str">
        <f t="shared" si="8"/>
        <v>GBPJump6_SYNTHON_Quote</v>
      </c>
      <c r="AH16" s="205">
        <f>_xll.qlDayCounterYearFraction("actual/360",AF16,_xll.qlCalendarAdvance(Calendar,AF16,"1D",,,Trigger))</f>
        <v>2.7777777777777779E-3</v>
      </c>
      <c r="AI16" s="165" t="e">
        <f>IF(_xll.qlQuoteIsValid(AG16,Trigger),_xll.qlQuoteValue(AG16,Trigger),1)</f>
        <v>#NUM!</v>
      </c>
      <c r="AJ16" s="208" t="e">
        <f t="shared" si="9"/>
        <v>#NUM!</v>
      </c>
      <c r="AK16" s="211"/>
      <c r="AL16" s="165" t="str">
        <f t="shared" si="10"/>
        <v>GBPJump6_SYNTHON_Quote</v>
      </c>
    </row>
    <row r="17" spans="1:38" ht="11.25" customHeight="1" x14ac:dyDescent="0.2">
      <c r="A17" s="62" t="s">
        <v>97</v>
      </c>
      <c r="B17" s="117">
        <v>3</v>
      </c>
      <c r="C17" s="65" t="str">
        <f t="shared" si="13"/>
        <v>x9F</v>
      </c>
      <c r="D17" s="126"/>
      <c r="E17" s="126"/>
      <c r="F17" s="126"/>
      <c r="G17" s="64" t="str">
        <f t="shared" si="14"/>
        <v>GbpLibor6M</v>
      </c>
      <c r="H17" s="120" t="str">
        <f t="shared" si="15"/>
        <v>GBP3x9F_Quote</v>
      </c>
      <c r="I17" s="126"/>
      <c r="J17" s="67" t="str">
        <f>_xll.qlFraRateHelper(,H17,B17&amp;"M",G17,PillarDate,,Permanent,Trigger,ObjectOverwrite)</f>
        <v>obj_0031d#0001</v>
      </c>
      <c r="K17" s="51"/>
      <c r="L17" s="10" t="str">
        <f t="shared" si="11"/>
        <v>FRA</v>
      </c>
      <c r="M17" s="95" t="str">
        <f t="shared" si="12"/>
        <v>obj_00323#0001</v>
      </c>
      <c r="N17" s="149" t="str">
        <f>IFERROR(_xll.qlRateHelperQuoteName(M17,Trigger),"--")</f>
        <v>GBP5x11F_Quote</v>
      </c>
      <c r="O17" s="99">
        <f>IFERROR(_xll.qlRateHelperQuoteValue($M17,Trigger),"--")</f>
        <v>8.2000000000000007E-3</v>
      </c>
      <c r="P17" s="98" t="b">
        <v>1</v>
      </c>
      <c r="Q17" s="95">
        <v>20</v>
      </c>
      <c r="R17" s="95">
        <v>1</v>
      </c>
      <c r="S17" s="100">
        <f>IFERROR(_xll.qlRateHelperEarliestDate(M17,Trigger),"--")</f>
        <v>42429</v>
      </c>
      <c r="T17" s="100">
        <f>IFERROR(_xll.qlRateHelperPillarDate(M17,Trigger),"--")</f>
        <v>42612</v>
      </c>
      <c r="V17" s="4" t="str">
        <f t="shared" si="3"/>
        <v>Sw</v>
      </c>
      <c r="W17" s="4" t="str">
        <v>obj_002a7</v>
      </c>
      <c r="X17" s="4" t="str">
        <f>IFERROR(_xll.qlRateHelperQuoteName(W17,Trigger),"")</f>
        <v>GBPSB6L2Y_Quote</v>
      </c>
      <c r="Y17" s="73">
        <f>IFERROR(_xll.qlRateHelperRate(W17,Trigger),"")</f>
        <v>9.6200000000000001E-3</v>
      </c>
      <c r="Z17" s="105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42275</v>
      </c>
      <c r="AB17" s="5">
        <f>IFERROR(_xll.qlRateHelperPillarDate(W17,Trigger),"")</f>
        <v>43006</v>
      </c>
      <c r="AC17" s="241">
        <v>0.98094931768471916</v>
      </c>
      <c r="AE17" s="163">
        <v>7</v>
      </c>
      <c r="AF17" s="164">
        <f>_xll.qlCalendarEndOfMonth(Calendar,_xll.qlCalendarAdvance(Calendar,AF16,"1m","mf",TRUE),Trigger)</f>
        <v>42460</v>
      </c>
      <c r="AG17" s="163" t="str">
        <f t="shared" si="8"/>
        <v>GBPJump7_SYNTHON_Quote</v>
      </c>
      <c r="AH17" s="205">
        <f>_xll.qlDayCounterYearFraction("actual/360",AF17,_xll.qlCalendarAdvance(Calendar,AF17,"1D",,,Trigger))</f>
        <v>2.7777777777777779E-3</v>
      </c>
      <c r="AI17" s="165" t="e">
        <f>IF(_xll.qlQuoteIsValid(AG17,Trigger),_xll.qlQuoteValue(AG17,Trigger),1)</f>
        <v>#NUM!</v>
      </c>
      <c r="AJ17" s="208" t="e">
        <f t="shared" si="9"/>
        <v>#NUM!</v>
      </c>
      <c r="AK17" s="211"/>
      <c r="AL17" s="165" t="str">
        <f t="shared" si="10"/>
        <v>GBPJump7_SYNTHON_Quote</v>
      </c>
    </row>
    <row r="18" spans="1:38" ht="11.25" customHeight="1" x14ac:dyDescent="0.2">
      <c r="A18" s="62" t="s">
        <v>97</v>
      </c>
      <c r="B18" s="117">
        <v>4</v>
      </c>
      <c r="C18" s="65" t="str">
        <f t="shared" si="13"/>
        <v>x10F</v>
      </c>
      <c r="D18" s="126"/>
      <c r="E18" s="126"/>
      <c r="F18" s="126"/>
      <c r="G18" s="64" t="str">
        <f t="shared" si="14"/>
        <v>GbpLibor6M</v>
      </c>
      <c r="H18" s="120" t="str">
        <f t="shared" si="15"/>
        <v>GBP4x10F_Quote</v>
      </c>
      <c r="I18" s="126"/>
      <c r="J18" s="67" t="str">
        <f>_xll.qlFraRateHelper(,H18,B18&amp;"M",G18,PillarDate,,Permanent,Trigger,ObjectOverwrite)</f>
        <v>obj_00326#0001</v>
      </c>
      <c r="K18" s="51"/>
      <c r="L18" s="10" t="str">
        <f t="shared" si="11"/>
        <v>FRA</v>
      </c>
      <c r="M18" s="95" t="str">
        <f t="shared" si="12"/>
        <v>obj_0031b#0001</v>
      </c>
      <c r="N18" s="149" t="str">
        <f>IFERROR(_xll.qlRateHelperQuoteName(M18,Trigger),"--")</f>
        <v>GBP6x12F_Quote</v>
      </c>
      <c r="O18" s="99">
        <f>IFERROR(_xll.qlRateHelperQuoteValue($M18,Trigger),"--")</f>
        <v>8.3000000000000001E-3</v>
      </c>
      <c r="P18" s="144" t="b">
        <v>1</v>
      </c>
      <c r="Q18" s="95">
        <v>20</v>
      </c>
      <c r="R18" s="95">
        <v>1</v>
      </c>
      <c r="S18" s="100">
        <f>IFERROR(_xll.qlRateHelperEarliestDate(M18,Trigger),"--")</f>
        <v>42458</v>
      </c>
      <c r="T18" s="100">
        <f>IFERROR(_xll.qlRateHelperPillarDate(M18,Trigger),"--")</f>
        <v>42641</v>
      </c>
      <c r="V18" s="4" t="str">
        <f t="shared" si="3"/>
        <v>Sw</v>
      </c>
      <c r="W18" s="4" t="str">
        <v>obj_002bc</v>
      </c>
      <c r="X18" s="4" t="str">
        <f>IFERROR(_xll.qlRateHelperQuoteName(W18,Trigger),"")</f>
        <v>GBPSB6L3Y_Quote</v>
      </c>
      <c r="Y18" s="73">
        <f>IFERROR(_xll.qlRateHelperRate(W18,Trigger),"")</f>
        <v>1.153E-2</v>
      </c>
      <c r="Z18" s="105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42275</v>
      </c>
      <c r="AB18" s="5">
        <f>IFERROR(_xll.qlRateHelperPillarDate(W18,Trigger),"")</f>
        <v>43371</v>
      </c>
      <c r="AC18" s="241">
        <v>0.96600119934448636</v>
      </c>
      <c r="AE18" s="163">
        <v>8</v>
      </c>
      <c r="AF18" s="164">
        <f>_xll.qlCalendarEndOfMonth(Calendar,_xll.qlCalendarAdvance(Calendar,AF17,"1m","mf",TRUE),Trigger)</f>
        <v>42489</v>
      </c>
      <c r="AG18" s="163" t="str">
        <f t="shared" si="8"/>
        <v>GBPJump8_SYNTHON_Quote</v>
      </c>
      <c r="AH18" s="205">
        <f>_xll.qlDayCounterYearFraction("actual/360",AF18,_xll.qlCalendarAdvance(Calendar,AF18,"1D",,,Trigger))</f>
        <v>1.1111111111111112E-2</v>
      </c>
      <c r="AI18" s="165" t="e">
        <f>IF(_xll.qlQuoteIsValid(AG18,Trigger),_xll.qlQuoteValue(AG18,Trigger),1)</f>
        <v>#NUM!</v>
      </c>
      <c r="AJ18" s="208" t="e">
        <f t="shared" si="9"/>
        <v>#NUM!</v>
      </c>
      <c r="AK18" s="211"/>
      <c r="AL18" s="165" t="str">
        <f t="shared" si="10"/>
        <v>GBPJump8_SYNTHON_Quote</v>
      </c>
    </row>
    <row r="19" spans="1:38" ht="11.25" customHeight="1" x14ac:dyDescent="0.2">
      <c r="A19" s="62" t="s">
        <v>97</v>
      </c>
      <c r="B19" s="117">
        <v>5</v>
      </c>
      <c r="C19" s="65" t="str">
        <f t="shared" si="13"/>
        <v>x11F</v>
      </c>
      <c r="D19" s="126"/>
      <c r="E19" s="126"/>
      <c r="F19" s="126"/>
      <c r="G19" s="64" t="str">
        <f t="shared" si="14"/>
        <v>GbpLibor6M</v>
      </c>
      <c r="H19" s="120" t="str">
        <f t="shared" si="15"/>
        <v>GBP5x11F_Quote</v>
      </c>
      <c r="I19" s="126"/>
      <c r="J19" s="67" t="str">
        <f>_xll.qlFraRateHelper(,H19,B19&amp;"M",G19,PillarDate,,Permanent,Trigger,ObjectOverwrite)</f>
        <v>obj_00323#0001</v>
      </c>
      <c r="K19" s="51"/>
      <c r="L19" s="10" t="str">
        <f t="shared" si="11"/>
        <v>FRA</v>
      </c>
      <c r="M19" s="95" t="str">
        <f t="shared" si="12"/>
        <v>--</v>
      </c>
      <c r="N19" s="149" t="str">
        <f>IFERROR(_xll.qlRateHelperQuoteName(M19,Trigger),"--")</f>
        <v>--</v>
      </c>
      <c r="O19" s="99" t="str">
        <f>IFERROR(_xll.qlRateHelperQuoteValue($M19,Trigger),"--")</f>
        <v>--</v>
      </c>
      <c r="P19" s="144" t="b">
        <v>0</v>
      </c>
      <c r="Q19" s="95">
        <v>20</v>
      </c>
      <c r="R19" s="95">
        <v>1</v>
      </c>
      <c r="S19" s="100" t="str">
        <f>IFERROR(_xll.qlRateHelperEarliestDate(M19,Trigger),"--")</f>
        <v>--</v>
      </c>
      <c r="T19" s="100" t="str">
        <f>IFERROR(_xll.qlRateHelperPillarDate(M19,Trigger),"--")</f>
        <v>--</v>
      </c>
      <c r="V19" s="4" t="str">
        <f t="shared" si="3"/>
        <v>Sw</v>
      </c>
      <c r="W19" s="4" t="str">
        <v>obj_002ab</v>
      </c>
      <c r="X19" s="4" t="str">
        <f>IFERROR(_xll.qlRateHelperQuoteName(W19,Trigger),"")</f>
        <v>GBPSB6L4Y_Quote</v>
      </c>
      <c r="Y19" s="73">
        <f>IFERROR(_xll.qlRateHelperRate(W19,Trigger),"")</f>
        <v>1.3239999999999998E-2</v>
      </c>
      <c r="Z19" s="105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42275</v>
      </c>
      <c r="AB19" s="5">
        <f>IFERROR(_xll.qlRateHelperPillarDate(W19,Trigger),"")</f>
        <v>43738</v>
      </c>
      <c r="AC19" s="241">
        <v>0.94830473479170596</v>
      </c>
      <c r="AE19" s="163">
        <v>9</v>
      </c>
      <c r="AF19" s="164">
        <f>_xll.qlCalendarEndOfMonth(Calendar,_xll.qlCalendarAdvance(Calendar,AF18,"1m","mf",TRUE),Trigger)</f>
        <v>42521</v>
      </c>
      <c r="AG19" s="163" t="str">
        <f t="shared" si="8"/>
        <v>GBPJump9_SYNTHON_Quote</v>
      </c>
      <c r="AH19" s="205">
        <f>_xll.qlDayCounterYearFraction("actual/360",AF19,_xll.qlCalendarAdvance(Calendar,AF19,"1D",,,Trigger))</f>
        <v>2.7777777777777779E-3</v>
      </c>
      <c r="AI19" s="165" t="e">
        <f>IF(_xll.qlQuoteIsValid(AG19,Trigger),_xll.qlQuoteValue(AG19,Trigger),1)</f>
        <v>#NUM!</v>
      </c>
      <c r="AJ19" s="208" t="e">
        <f t="shared" si="9"/>
        <v>#NUM!</v>
      </c>
      <c r="AK19" s="211"/>
      <c r="AL19" s="165" t="str">
        <f t="shared" si="10"/>
        <v>GBPJump9_SYNTHON_Quote</v>
      </c>
    </row>
    <row r="20" spans="1:38" ht="11.25" customHeight="1" x14ac:dyDescent="0.2">
      <c r="A20" s="62" t="s">
        <v>97</v>
      </c>
      <c r="B20" s="117">
        <v>6</v>
      </c>
      <c r="C20" s="65" t="str">
        <f t="shared" si="13"/>
        <v>x12F</v>
      </c>
      <c r="D20" s="126"/>
      <c r="E20" s="126"/>
      <c r="F20" s="126"/>
      <c r="G20" s="64" t="str">
        <f t="shared" si="14"/>
        <v>GbpLibor6M</v>
      </c>
      <c r="H20" s="120" t="str">
        <f t="shared" si="15"/>
        <v>GBP6x12F_Quote</v>
      </c>
      <c r="I20" s="126"/>
      <c r="J20" s="67" t="str">
        <f>_xll.qlFraRateHelper(,H20,B20&amp;"M",G20,PillarDate,,Permanent,Trigger,ObjectOverwrite)</f>
        <v>obj_0031b#0001</v>
      </c>
      <c r="K20" s="51"/>
      <c r="L20" s="10" t="str">
        <f t="shared" si="11"/>
        <v>FRA</v>
      </c>
      <c r="M20" s="95" t="str">
        <f t="shared" si="12"/>
        <v>--</v>
      </c>
      <c r="N20" s="149" t="str">
        <f>IFERROR(_xll.qlRateHelperQuoteName(M20,Trigger),"--")</f>
        <v>--</v>
      </c>
      <c r="O20" s="99" t="str">
        <f>IFERROR(_xll.qlRateHelperQuoteValue($M20,Trigger),"--")</f>
        <v>--</v>
      </c>
      <c r="P20" s="144" t="b">
        <v>0</v>
      </c>
      <c r="Q20" s="95">
        <v>20</v>
      </c>
      <c r="R20" s="95">
        <v>1</v>
      </c>
      <c r="S20" s="100" t="str">
        <f>IFERROR(_xll.qlRateHelperEarliestDate(M20,Trigger),"--")</f>
        <v>--</v>
      </c>
      <c r="T20" s="100" t="str">
        <f>IFERROR(_xll.qlRateHelperPillarDate(M20,Trigger),"--")</f>
        <v>--</v>
      </c>
      <c r="V20" s="4" t="str">
        <f t="shared" si="3"/>
        <v>Sw</v>
      </c>
      <c r="W20" s="4" t="str">
        <v>obj_0029e</v>
      </c>
      <c r="X20" s="4" t="str">
        <f>IFERROR(_xll.qlRateHelperQuoteName(W20,Trigger),"")</f>
        <v>GBPSB6L5Y_Quote</v>
      </c>
      <c r="Y20" s="73">
        <f>IFERROR(_xll.qlRateHelperRate(W20,Trigger),"")</f>
        <v>1.4729999999999998E-2</v>
      </c>
      <c r="Z20" s="105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42275</v>
      </c>
      <c r="AB20" s="5">
        <f>IFERROR(_xll.qlRateHelperPillarDate(W20,Trigger),"")</f>
        <v>44102</v>
      </c>
      <c r="AC20" s="241">
        <v>0.92881479136918055</v>
      </c>
      <c r="AE20" s="163">
        <v>10</v>
      </c>
      <c r="AF20" s="164">
        <f>_xll.qlCalendarEndOfMonth(Calendar,_xll.qlCalendarAdvance(Calendar,AF19,"1m","mf",TRUE),Trigger)</f>
        <v>42551</v>
      </c>
      <c r="AG20" s="163" t="str">
        <f t="shared" si="8"/>
        <v>GBPJump10_SYNTHON_Quote</v>
      </c>
      <c r="AH20" s="205">
        <f>_xll.qlDayCounterYearFraction("actual/360",AF20,_xll.qlCalendarAdvance(Calendar,AF20,"1D",,,Trigger))</f>
        <v>2.7777777777777779E-3</v>
      </c>
      <c r="AI20" s="165" t="e">
        <f>IF(_xll.qlQuoteIsValid(AG20,Trigger),_xll.qlQuoteValue(AG20,Trigger),1)</f>
        <v>#NUM!</v>
      </c>
      <c r="AJ20" s="208" t="e">
        <f t="shared" si="9"/>
        <v>#NUM!</v>
      </c>
      <c r="AK20" s="211"/>
      <c r="AL20" s="165" t="str">
        <f t="shared" si="10"/>
        <v>GBPJump10_SYNTHON_Quote</v>
      </c>
    </row>
    <row r="21" spans="1:38" ht="11.25" customHeight="1" x14ac:dyDescent="0.2">
      <c r="A21" s="62" t="s">
        <v>97</v>
      </c>
      <c r="B21" s="117">
        <v>7</v>
      </c>
      <c r="C21" s="65" t="str">
        <f t="shared" si="13"/>
        <v>x13F</v>
      </c>
      <c r="D21" s="126"/>
      <c r="E21" s="126"/>
      <c r="F21" s="126"/>
      <c r="G21" s="64" t="str">
        <f t="shared" si="14"/>
        <v>GbpLibor6M</v>
      </c>
      <c r="H21" s="120" t="str">
        <f t="shared" si="15"/>
        <v>GBP7x13F_Quote</v>
      </c>
      <c r="I21" s="126"/>
      <c r="J21" s="67"/>
      <c r="K21" s="51"/>
      <c r="L21" s="10" t="str">
        <f t="shared" si="11"/>
        <v>FRA</v>
      </c>
      <c r="M21" s="95" t="str">
        <f t="shared" si="12"/>
        <v>obj_00322#0001</v>
      </c>
      <c r="N21" s="149" t="str">
        <f>IFERROR(_xll.qlRateHelperQuoteName(M21,Trigger),"--")</f>
        <v>GBP9x15F_Quote</v>
      </c>
      <c r="O21" s="99">
        <f>IFERROR(_xll.qlRateHelperQuoteValue($M21,Trigger),"--")</f>
        <v>9.1999999999999998E-3</v>
      </c>
      <c r="P21" s="144" t="b">
        <v>1</v>
      </c>
      <c r="Q21" s="95">
        <v>20</v>
      </c>
      <c r="R21" s="95">
        <v>1</v>
      </c>
      <c r="S21" s="100">
        <f>IFERROR(_xll.qlRateHelperEarliestDate(M21,Trigger),"--")</f>
        <v>42549</v>
      </c>
      <c r="T21" s="100">
        <f>IFERROR(_xll.qlRateHelperPillarDate(M21,Trigger),"--")</f>
        <v>42732</v>
      </c>
      <c r="V21" s="4" t="str">
        <f t="shared" si="3"/>
        <v>Sw</v>
      </c>
      <c r="W21" s="4" t="str">
        <v>obj_002b4</v>
      </c>
      <c r="X21" s="4" t="str">
        <f>IFERROR(_xll.qlRateHelperQuoteName(W21,Trigger),"")</f>
        <v>GBPSB6L6Y_Quote</v>
      </c>
      <c r="Y21" s="73">
        <f>IFERROR(_xll.qlRateHelperRate(W21,Trigger),"")</f>
        <v>1.5939999999999999E-2</v>
      </c>
      <c r="Z21" s="105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42275</v>
      </c>
      <c r="AB21" s="5">
        <f>IFERROR(_xll.qlRateHelperPillarDate(W21,Trigger),"")</f>
        <v>44467</v>
      </c>
      <c r="AC21" s="241">
        <v>0.90845741611244912</v>
      </c>
      <c r="AE21" s="163">
        <v>11</v>
      </c>
      <c r="AF21" s="164">
        <f>_xll.qlCalendarEndOfMonth(Calendar,_xll.qlCalendarAdvance(Calendar,AF20,"1m","mf",TRUE),Trigger)</f>
        <v>42580</v>
      </c>
      <c r="AG21" s="163" t="str">
        <f t="shared" si="8"/>
        <v>GBPJump11_SYNTHON_Quote</v>
      </c>
      <c r="AH21" s="205">
        <f>_xll.qlDayCounterYearFraction("actual/360",AF21,_xll.qlCalendarAdvance(Calendar,AF21,"1D",,,Trigger))</f>
        <v>8.3333333333333332E-3</v>
      </c>
      <c r="AI21" s="165" t="e">
        <f>IF(_xll.qlQuoteIsValid(AG21,Trigger),_xll.qlQuoteValue(AG21,Trigger),1)</f>
        <v>#NUM!</v>
      </c>
      <c r="AJ21" s="208" t="e">
        <f t="shared" si="9"/>
        <v>#NUM!</v>
      </c>
      <c r="AK21" s="211"/>
      <c r="AL21" s="165" t="str">
        <f t="shared" si="10"/>
        <v>GBPJump11_SYNTHON_Quote</v>
      </c>
    </row>
    <row r="22" spans="1:38" ht="11.25" customHeight="1" x14ac:dyDescent="0.2">
      <c r="A22" s="62" t="s">
        <v>97</v>
      </c>
      <c r="B22" s="117">
        <v>8</v>
      </c>
      <c r="C22" s="65" t="str">
        <f t="shared" si="13"/>
        <v>x14F</v>
      </c>
      <c r="D22" s="126"/>
      <c r="E22" s="126"/>
      <c r="F22" s="126"/>
      <c r="G22" s="64" t="str">
        <f t="shared" si="14"/>
        <v>GbpLibor6M</v>
      </c>
      <c r="H22" s="120" t="str">
        <f t="shared" si="15"/>
        <v>GBP8x14F_Quote</v>
      </c>
      <c r="I22" s="126"/>
      <c r="J22" s="67"/>
      <c r="K22" s="51"/>
      <c r="L22" s="10" t="str">
        <f t="shared" si="11"/>
        <v>FRA</v>
      </c>
      <c r="M22" s="95" t="str">
        <f t="shared" si="12"/>
        <v>--</v>
      </c>
      <c r="N22" s="149" t="str">
        <f>IFERROR(_xll.qlRateHelperQuoteName(M22,Trigger),"--")</f>
        <v>--</v>
      </c>
      <c r="O22" s="99" t="str">
        <f>IFERROR(_xll.qlRateHelperQuoteValue($M22,Trigger),"--")</f>
        <v>--</v>
      </c>
      <c r="P22" s="144" t="b">
        <v>0</v>
      </c>
      <c r="Q22" s="95">
        <v>20</v>
      </c>
      <c r="R22" s="95">
        <v>1</v>
      </c>
      <c r="S22" s="100" t="str">
        <f>IFERROR(_xll.qlRateHelperEarliestDate(M22,Trigger),"--")</f>
        <v>--</v>
      </c>
      <c r="T22" s="100" t="str">
        <f>IFERROR(_xll.qlRateHelperPillarDate(M22,Trigger),"--")</f>
        <v>--</v>
      </c>
      <c r="V22" s="4" t="str">
        <f t="shared" si="3"/>
        <v>Sw</v>
      </c>
      <c r="W22" s="4" t="str">
        <v>obj_002b0</v>
      </c>
      <c r="X22" s="4" t="str">
        <f>IFERROR(_xll.qlRateHelperQuoteName(W22,Trigger),"")</f>
        <v>GBPSB6L7Y_Quote</v>
      </c>
      <c r="Y22" s="73">
        <f>IFERROR(_xll.qlRateHelperRate(W22,Trigger),"")</f>
        <v>1.6909999999999998E-2</v>
      </c>
      <c r="Z22" s="105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42275</v>
      </c>
      <c r="AB22" s="5">
        <f>IFERROR(_xll.qlRateHelperPillarDate(W22,Trigger),"")</f>
        <v>44832</v>
      </c>
      <c r="AC22" s="241">
        <v>0.88784379409028935</v>
      </c>
      <c r="AE22" s="163">
        <v>12</v>
      </c>
      <c r="AF22" s="164">
        <f>_xll.qlCalendarEndOfMonth(Calendar,_xll.qlCalendarAdvance(Calendar,AF21,"1m","mf",TRUE),Trigger)</f>
        <v>42613</v>
      </c>
      <c r="AG22" s="163" t="str">
        <f t="shared" si="8"/>
        <v>GBPJump12_SYNTHON_Quote</v>
      </c>
      <c r="AH22" s="205">
        <f>_xll.qlDayCounterYearFraction("actual/360",AF22,_xll.qlCalendarAdvance(Calendar,AF22,"1D",,,Trigger))</f>
        <v>2.7777777777777779E-3</v>
      </c>
      <c r="AI22" s="165" t="e">
        <f>IF(_xll.qlQuoteIsValid(AG22,Trigger),_xll.qlQuoteValue(AG22,Trigger),1)</f>
        <v>#NUM!</v>
      </c>
      <c r="AJ22" s="208" t="e">
        <f t="shared" si="9"/>
        <v>#NUM!</v>
      </c>
      <c r="AK22" s="211"/>
      <c r="AL22" s="165" t="str">
        <f t="shared" si="10"/>
        <v>GBPJump12_SYNTHON_Quote</v>
      </c>
    </row>
    <row r="23" spans="1:38" ht="11.25" customHeight="1" x14ac:dyDescent="0.2">
      <c r="A23" s="62" t="s">
        <v>97</v>
      </c>
      <c r="B23" s="117">
        <v>9</v>
      </c>
      <c r="C23" s="65" t="str">
        <f t="shared" si="13"/>
        <v>x15F</v>
      </c>
      <c r="D23" s="126"/>
      <c r="E23" s="126"/>
      <c r="F23" s="126"/>
      <c r="G23" s="64" t="str">
        <f t="shared" si="14"/>
        <v>GbpLibor6M</v>
      </c>
      <c r="H23" s="120" t="str">
        <f t="shared" si="15"/>
        <v>GBP9x15F_Quote</v>
      </c>
      <c r="I23" s="126"/>
      <c r="J23" s="67" t="str">
        <f>_xll.qlFraRateHelper(,H23,B23&amp;"M",G23,PillarDate,,Permanent,Trigger,ObjectOverwrite)</f>
        <v>obj_00322#0001</v>
      </c>
      <c r="K23" s="51"/>
      <c r="L23" s="10" t="str">
        <f t="shared" si="11"/>
        <v>FRA</v>
      </c>
      <c r="M23" s="95" t="str">
        <f t="shared" si="12"/>
        <v>--</v>
      </c>
      <c r="N23" s="149" t="str">
        <f>IFERROR(_xll.qlRateHelperQuoteName(M23,Trigger),"--")</f>
        <v>--</v>
      </c>
      <c r="O23" s="99" t="str">
        <f>IFERROR(_xll.qlRateHelperQuoteValue($M23,Trigger),"--")</f>
        <v>--</v>
      </c>
      <c r="P23" s="144" t="b">
        <v>0</v>
      </c>
      <c r="Q23" s="95">
        <v>20</v>
      </c>
      <c r="R23" s="95">
        <v>1</v>
      </c>
      <c r="S23" s="100" t="str">
        <f>IFERROR(_xll.qlRateHelperEarliestDate(M23,Trigger),"--")</f>
        <v>--</v>
      </c>
      <c r="T23" s="100" t="str">
        <f>IFERROR(_xll.qlRateHelperPillarDate(M23,Trigger),"--")</f>
        <v>--</v>
      </c>
      <c r="V23" s="4" t="str">
        <f t="shared" si="3"/>
        <v>Sw</v>
      </c>
      <c r="W23" s="4" t="str">
        <v>obj_002c1</v>
      </c>
      <c r="X23" s="4" t="str">
        <f>IFERROR(_xll.qlRateHelperQuoteName(W23,Trigger),"")</f>
        <v>GBPSB6L8Y_Quote</v>
      </c>
      <c r="Y23" s="73">
        <f>IFERROR(_xll.qlRateHelperRate(W23,Trigger),"")</f>
        <v>1.771E-2</v>
      </c>
      <c r="Z23" s="105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42275</v>
      </c>
      <c r="AB23" s="5">
        <f>IFERROR(_xll.qlRateHelperPillarDate(W23,Trigger),"")</f>
        <v>45197</v>
      </c>
      <c r="AC23" s="241">
        <v>0.86715141623088676</v>
      </c>
      <c r="AE23" s="166">
        <v>13</v>
      </c>
      <c r="AF23" s="167">
        <f>_xll.qlCalendarAdjust(Calendar,DATE(YEAR(AF11)+1,12,31),"preceding",Trigger)</f>
        <v>42734</v>
      </c>
      <c r="AG23" s="166" t="str">
        <f t="shared" si="8"/>
        <v>GBPJump13_SYNTHON_Quote</v>
      </c>
      <c r="AH23" s="206">
        <f>_xll.qlDayCounterYearFraction("actual/360",AF23,_xll.qlCalendarAdvance(Calendar,AF23,"1D",,,Trigger))</f>
        <v>1.1111111111111112E-2</v>
      </c>
      <c r="AI23" s="168" t="e">
        <f>IF(_xll.qlQuoteIsValid(AG23,Trigger),_xll.qlQuoteValue(AG23,Trigger),1)</f>
        <v>#NUM!</v>
      </c>
      <c r="AJ23" s="209" t="e">
        <f t="shared" si="9"/>
        <v>#NUM!</v>
      </c>
      <c r="AK23" s="212"/>
      <c r="AL23" s="168" t="str">
        <f t="shared" si="10"/>
        <v>GBPJump13_SYNTHON_Quote</v>
      </c>
    </row>
    <row r="24" spans="1:38" ht="11.25" customHeight="1" x14ac:dyDescent="0.2">
      <c r="A24" s="62" t="s">
        <v>97</v>
      </c>
      <c r="B24" s="117">
        <v>10</v>
      </c>
      <c r="C24" s="65" t="str">
        <f t="shared" si="13"/>
        <v>x16F</v>
      </c>
      <c r="D24" s="126"/>
      <c r="E24" s="126"/>
      <c r="F24" s="126"/>
      <c r="G24" s="64" t="str">
        <f t="shared" si="14"/>
        <v>GbpLibor6M</v>
      </c>
      <c r="H24" s="120" t="str">
        <f t="shared" si="15"/>
        <v>GBP10x16F_Quote</v>
      </c>
      <c r="I24" s="126"/>
      <c r="J24" s="67"/>
      <c r="K24" s="51"/>
      <c r="L24" s="10" t="str">
        <f t="shared" si="11"/>
        <v>FRA</v>
      </c>
      <c r="M24" s="95" t="str">
        <f t="shared" si="12"/>
        <v>obj_00324#0001</v>
      </c>
      <c r="N24" s="149" t="str">
        <f>IFERROR(_xll.qlRateHelperQuoteName(M24,Trigger),"--")</f>
        <v>GBP12x18F_Quote</v>
      </c>
      <c r="O24" s="99">
        <f>IFERROR(_xll.qlRateHelperQuoteValue($M24,Trigger),"--")</f>
        <v>1.0249999999999999E-2</v>
      </c>
      <c r="P24" s="144" t="b">
        <v>1</v>
      </c>
      <c r="Q24" s="95">
        <v>20</v>
      </c>
      <c r="R24" s="95">
        <v>1</v>
      </c>
      <c r="S24" s="100">
        <f>IFERROR(_xll.qlRateHelperEarliestDate(M24,Trigger),"--")</f>
        <v>42641</v>
      </c>
      <c r="T24" s="100">
        <f>IFERROR(_xll.qlRateHelperPillarDate(M24,Trigger),"--")</f>
        <v>42822</v>
      </c>
      <c r="V24" s="4" t="str">
        <f t="shared" si="3"/>
        <v>Sw</v>
      </c>
      <c r="W24" s="4" t="str">
        <v>obj_002af</v>
      </c>
      <c r="X24" s="4" t="str">
        <f>IFERROR(_xll.qlRateHelperQuoteName(W24,Trigger),"")</f>
        <v>GBPSB6L9Y_Quote</v>
      </c>
      <c r="Y24" s="73">
        <f>IFERROR(_xll.qlRateHelperRate(W24,Trigger),"")</f>
        <v>1.839E-2</v>
      </c>
      <c r="Z24" s="105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42275</v>
      </c>
      <c r="AB24" s="5">
        <f>IFERROR(_xll.qlRateHelperPillarDate(W24,Trigger),"")</f>
        <v>45565</v>
      </c>
      <c r="AC24" s="241">
        <v>0.84632949678609448</v>
      </c>
    </row>
    <row r="25" spans="1:38" ht="11.25" customHeight="1" x14ac:dyDescent="0.2">
      <c r="A25" s="62" t="s">
        <v>97</v>
      </c>
      <c r="B25" s="117">
        <v>11</v>
      </c>
      <c r="C25" s="65" t="str">
        <f t="shared" si="13"/>
        <v>x17F</v>
      </c>
      <c r="D25" s="126"/>
      <c r="E25" s="126"/>
      <c r="F25" s="126"/>
      <c r="G25" s="64" t="str">
        <f t="shared" si="14"/>
        <v>GbpLibor6M</v>
      </c>
      <c r="H25" s="120" t="str">
        <f t="shared" ref="H25:H32" si="16">Currency&amp;B25&amp;C25&amp;QuoteSuffix</f>
        <v>GBP11x17F_Quote</v>
      </c>
      <c r="I25" s="126"/>
      <c r="J25" s="67"/>
      <c r="K25" s="51"/>
      <c r="L25" s="10" t="str">
        <f t="shared" si="11"/>
        <v>FRA</v>
      </c>
      <c r="M25" s="95" t="str">
        <f t="shared" si="12"/>
        <v>--</v>
      </c>
      <c r="N25" s="149" t="str">
        <f>IFERROR(_xll.qlRateHelperQuoteName(M25,Trigger),"--")</f>
        <v>--</v>
      </c>
      <c r="O25" s="99" t="str">
        <f>IFERROR(_xll.qlRateHelperQuoteValue($M25,Trigger),"--")</f>
        <v>--</v>
      </c>
      <c r="P25" s="144" t="b">
        <v>0</v>
      </c>
      <c r="Q25" s="95">
        <v>20</v>
      </c>
      <c r="R25" s="95">
        <v>1</v>
      </c>
      <c r="S25" s="100" t="str">
        <f>IFERROR(_xll.qlRateHelperEarliestDate(M25,Trigger),"--")</f>
        <v>--</v>
      </c>
      <c r="T25" s="100" t="str">
        <f>IFERROR(_xll.qlRateHelperPillarDate(M25,Trigger),"--")</f>
        <v>--</v>
      </c>
      <c r="V25" s="4" t="str">
        <f t="shared" si="3"/>
        <v>Sw</v>
      </c>
      <c r="W25" s="4" t="str">
        <v>obj_002bd</v>
      </c>
      <c r="X25" s="4" t="str">
        <f>IFERROR(_xll.qlRateHelperQuoteName(W25,Trigger),"")</f>
        <v>GBPSB6L10Y_Quote</v>
      </c>
      <c r="Y25" s="73">
        <f>IFERROR(_xll.qlRateHelperRate(W25,Trigger),"")</f>
        <v>1.8970000000000001E-2</v>
      </c>
      <c r="Z25" s="105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42275</v>
      </c>
      <c r="AB25" s="5">
        <f>IFERROR(_xll.qlRateHelperPillarDate(W25,Trigger),"")</f>
        <v>45929</v>
      </c>
      <c r="AC25" s="241">
        <v>0.82583263205766833</v>
      </c>
    </row>
    <row r="26" spans="1:38" ht="11.25" customHeight="1" x14ac:dyDescent="0.2">
      <c r="A26" s="62" t="s">
        <v>97</v>
      </c>
      <c r="B26" s="117">
        <v>12</v>
      </c>
      <c r="C26" s="65" t="str">
        <f t="shared" si="13"/>
        <v>x18F</v>
      </c>
      <c r="D26" s="126"/>
      <c r="E26" s="126"/>
      <c r="F26" s="126"/>
      <c r="G26" s="64" t="str">
        <f t="shared" si="14"/>
        <v>GbpLibor6M</v>
      </c>
      <c r="H26" s="120" t="str">
        <f t="shared" si="16"/>
        <v>GBP12x18F_Quote</v>
      </c>
      <c r="I26" s="126"/>
      <c r="J26" s="67" t="str">
        <f>_xll.qlFraRateHelper(,H26,B26&amp;"M",G26,PillarDate,,Permanent,Trigger,ObjectOverwrite)</f>
        <v>obj_00324#0001</v>
      </c>
      <c r="K26" s="51"/>
      <c r="L26" s="10" t="str">
        <f t="shared" si="11"/>
        <v>FRA</v>
      </c>
      <c r="M26" s="95" t="str">
        <f t="shared" si="12"/>
        <v>--</v>
      </c>
      <c r="N26" s="149" t="str">
        <f>IFERROR(_xll.qlRateHelperQuoteName(M26,Trigger),"--")</f>
        <v>--</v>
      </c>
      <c r="O26" s="99" t="str">
        <f>IFERROR(_xll.qlRateHelperQuoteValue($M26,Trigger),"--")</f>
        <v>--</v>
      </c>
      <c r="P26" s="144" t="b">
        <v>0</v>
      </c>
      <c r="Q26" s="95">
        <v>20</v>
      </c>
      <c r="R26" s="95">
        <v>1</v>
      </c>
      <c r="S26" s="100" t="str">
        <f>IFERROR(_xll.qlRateHelperEarliestDate(M26,Trigger),"--")</f>
        <v>--</v>
      </c>
      <c r="T26" s="100" t="str">
        <f>IFERROR(_xll.qlRateHelperPillarDate(M26,Trigger),"--")</f>
        <v>--</v>
      </c>
      <c r="V26" s="4" t="str">
        <f t="shared" si="3"/>
        <v>Sw</v>
      </c>
      <c r="W26" s="4" t="str">
        <v>obj_002a1</v>
      </c>
      <c r="X26" s="4" t="str">
        <f>IFERROR(_xll.qlRateHelperQuoteName(W26,Trigger),"")</f>
        <v>GBPSB6L11Y_Quote</v>
      </c>
      <c r="Y26" s="73">
        <f>IFERROR(_xll.qlRateHelperRate(W26,Trigger),"")</f>
        <v>1.9460000000000002E-2</v>
      </c>
      <c r="Z26" s="105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42275</v>
      </c>
      <c r="AB26" s="5">
        <f>IFERROR(_xll.qlRateHelperPillarDate(W26,Trigger),"")</f>
        <v>46293</v>
      </c>
      <c r="AC26" s="241">
        <v>0.80566856195391046</v>
      </c>
    </row>
    <row r="27" spans="1:38" ht="11.25" customHeight="1" x14ac:dyDescent="0.2">
      <c r="A27" s="62" t="s">
        <v>97</v>
      </c>
      <c r="B27" s="117">
        <v>13</v>
      </c>
      <c r="C27" s="65" t="str">
        <f t="shared" si="13"/>
        <v>x19F</v>
      </c>
      <c r="D27" s="126"/>
      <c r="E27" s="126"/>
      <c r="F27" s="126"/>
      <c r="G27" s="64" t="str">
        <f t="shared" si="14"/>
        <v>GbpLibor6M</v>
      </c>
      <c r="H27" s="120" t="str">
        <f t="shared" si="16"/>
        <v>GBP13x19F_Quote</v>
      </c>
      <c r="I27" s="126"/>
      <c r="J27" s="67"/>
      <c r="K27" s="51"/>
      <c r="L27" s="10" t="str">
        <f>A29</f>
        <v>FRA</v>
      </c>
      <c r="M27" s="95" t="str">
        <f>IF(ISBLANK(J29),"--",J29)</f>
        <v>--</v>
      </c>
      <c r="N27" s="149" t="str">
        <f>IFERROR(_xll.qlRateHelperQuoteName(M27,Trigger),"--")</f>
        <v>--</v>
      </c>
      <c r="O27" s="99" t="str">
        <f>IFERROR(_xll.qlRateHelperQuoteValue($M27,Trigger),"--")</f>
        <v>--</v>
      </c>
      <c r="P27" s="144" t="b">
        <v>0</v>
      </c>
      <c r="Q27" s="95">
        <v>20</v>
      </c>
      <c r="R27" s="95">
        <v>1</v>
      </c>
      <c r="S27" s="100" t="str">
        <f>IFERROR(_xll.qlRateHelperEarliestDate(M27,Trigger),"--")</f>
        <v>--</v>
      </c>
      <c r="T27" s="100" t="str">
        <f>IFERROR(_xll.qlRateHelperPillarDate(M27,Trigger),"--")</f>
        <v>--</v>
      </c>
      <c r="V27" s="4" t="str">
        <f t="shared" si="3"/>
        <v>Sw</v>
      </c>
      <c r="W27" s="4" t="str">
        <v>obj_002a3</v>
      </c>
      <c r="X27" s="4" t="str">
        <f>IFERROR(_xll.qlRateHelperQuoteName(W27,Trigger),"")</f>
        <v>GBPSB6L12Y_Quote</v>
      </c>
      <c r="Y27" s="73">
        <f>IFERROR(_xll.qlRateHelperRate(W27,Trigger),"")</f>
        <v>1.9889999999999998E-2</v>
      </c>
      <c r="Z27" s="105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42275</v>
      </c>
      <c r="AB27" s="5">
        <f>IFERROR(_xll.qlRateHelperPillarDate(W27,Trigger),"")</f>
        <v>46658</v>
      </c>
      <c r="AC27" s="241">
        <v>0.78571466215246932</v>
      </c>
    </row>
    <row r="28" spans="1:38" ht="11.25" customHeight="1" x14ac:dyDescent="0.2">
      <c r="A28" s="62" t="s">
        <v>97</v>
      </c>
      <c r="B28" s="117">
        <v>14</v>
      </c>
      <c r="C28" s="65" t="str">
        <f t="shared" si="13"/>
        <v>x20F</v>
      </c>
      <c r="D28" s="126"/>
      <c r="E28" s="126"/>
      <c r="F28" s="126"/>
      <c r="G28" s="64" t="str">
        <f t="shared" si="14"/>
        <v>GbpLibor6M</v>
      </c>
      <c r="H28" s="120" t="str">
        <f t="shared" si="16"/>
        <v>GBP14x20F_Quote</v>
      </c>
      <c r="I28" s="126"/>
      <c r="J28" s="67"/>
      <c r="K28" s="51"/>
      <c r="L28" s="10" t="str">
        <f t="shared" ref="L28:L29" si="17">A30</f>
        <v>FRA</v>
      </c>
      <c r="M28" s="95" t="str">
        <f t="shared" ref="M28:M29" si="18">IF(ISBLANK(J30),"--",J30)</f>
        <v>--</v>
      </c>
      <c r="N28" s="149" t="str">
        <f>IFERROR(_xll.qlRateHelperQuoteName(M28,Trigger),"--")</f>
        <v>--</v>
      </c>
      <c r="O28" s="99" t="str">
        <f>IFERROR(_xll.qlRateHelperQuoteValue($M28,Trigger),"--")</f>
        <v>--</v>
      </c>
      <c r="P28" s="98" t="b">
        <v>0</v>
      </c>
      <c r="Q28" s="95">
        <v>20</v>
      </c>
      <c r="R28" s="95">
        <v>1</v>
      </c>
      <c r="S28" s="100" t="str">
        <f>IFERROR(_xll.qlRateHelperEarliestDate(M28,Trigger),"--")</f>
        <v>--</v>
      </c>
      <c r="T28" s="100" t="str">
        <f>IFERROR(_xll.qlRateHelperPillarDate(M28,Trigger),"--")</f>
        <v>--</v>
      </c>
      <c r="V28" s="4" t="str">
        <f t="shared" si="3"/>
        <v>Sw</v>
      </c>
      <c r="W28" s="4" t="str">
        <v>obj_002b8</v>
      </c>
      <c r="X28" s="4" t="str">
        <f>IFERROR(_xll.qlRateHelperQuoteName(W28,Trigger),"")</f>
        <v>GBPSB6L15Y_Quote</v>
      </c>
      <c r="Y28" s="73">
        <f>IFERROR(_xll.qlRateHelperRate(W28,Trigger),"")</f>
        <v>2.0789999999999996E-2</v>
      </c>
      <c r="Z28" s="105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42275</v>
      </c>
      <c r="AB28" s="5">
        <f>IFERROR(_xll.qlRateHelperPillarDate(W28,Trigger),"")</f>
        <v>47756</v>
      </c>
      <c r="AC28" s="241">
        <v>0.72913998050297824</v>
      </c>
    </row>
    <row r="29" spans="1:38" ht="11.25" customHeight="1" x14ac:dyDescent="0.2">
      <c r="A29" s="62" t="s">
        <v>97</v>
      </c>
      <c r="B29" s="117">
        <v>15</v>
      </c>
      <c r="C29" s="65" t="str">
        <f t="shared" si="13"/>
        <v>x21F</v>
      </c>
      <c r="D29" s="126"/>
      <c r="E29" s="126"/>
      <c r="F29" s="126"/>
      <c r="G29" s="64" t="str">
        <f t="shared" si="14"/>
        <v>GbpLibor6M</v>
      </c>
      <c r="H29" s="120" t="str">
        <f t="shared" si="16"/>
        <v>GBP15x21F_Quote</v>
      </c>
      <c r="I29" s="126"/>
      <c r="J29" s="67"/>
      <c r="K29" s="51"/>
      <c r="L29" s="10" t="str">
        <f t="shared" si="17"/>
        <v>FRA</v>
      </c>
      <c r="M29" s="95" t="str">
        <f t="shared" si="18"/>
        <v>--</v>
      </c>
      <c r="N29" s="149" t="str">
        <f>IFERROR(_xll.qlRateHelperQuoteName(M29,Trigger),"--")</f>
        <v>--</v>
      </c>
      <c r="O29" s="99" t="str">
        <f>IFERROR(_xll.qlRateHelperQuoteValue($M29,Trigger),"--")</f>
        <v>--</v>
      </c>
      <c r="P29" s="98" t="b">
        <v>0</v>
      </c>
      <c r="Q29" s="95">
        <v>20</v>
      </c>
      <c r="R29" s="95">
        <v>1</v>
      </c>
      <c r="S29" s="100" t="str">
        <f>IFERROR(_xll.qlRateHelperEarliestDate(M29,Trigger),"--")</f>
        <v>--</v>
      </c>
      <c r="T29" s="100" t="str">
        <f>IFERROR(_xll.qlRateHelperPillarDate(M29,Trigger),"--")</f>
        <v>--</v>
      </c>
      <c r="V29" s="4" t="str">
        <f t="shared" si="3"/>
        <v>Sw</v>
      </c>
      <c r="W29" s="4" t="str">
        <v>obj_002c0</v>
      </c>
      <c r="X29" s="4" t="str">
        <f>IFERROR(_xll.qlRateHelperQuoteName(W29,Trigger),"")</f>
        <v>GBPSB6L20Y_Quote</v>
      </c>
      <c r="Y29" s="73">
        <f>IFERROR(_xll.qlRateHelperRate(W29,Trigger),"")</f>
        <v>2.1440000000000001E-2</v>
      </c>
      <c r="Z29" s="105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42275</v>
      </c>
      <c r="AB29" s="5">
        <f>IFERROR(_xll.qlRateHelperPillarDate(W29,Trigger),"")</f>
        <v>49580</v>
      </c>
      <c r="AC29" s="241">
        <v>0.64765326927505773</v>
      </c>
    </row>
    <row r="30" spans="1:38" ht="11.25" customHeight="1" x14ac:dyDescent="0.2">
      <c r="A30" s="62" t="s">
        <v>97</v>
      </c>
      <c r="B30" s="117">
        <v>16</v>
      </c>
      <c r="C30" s="65" t="str">
        <f t="shared" si="13"/>
        <v>x22F</v>
      </c>
      <c r="D30" s="126"/>
      <c r="E30" s="126"/>
      <c r="F30" s="126"/>
      <c r="G30" s="64" t="str">
        <f t="shared" si="14"/>
        <v>GbpLibor6M</v>
      </c>
      <c r="H30" s="120" t="str">
        <f t="shared" si="16"/>
        <v>GBP16x22F_Quote</v>
      </c>
      <c r="I30" s="126"/>
      <c r="J30" s="67"/>
      <c r="K30" s="51"/>
      <c r="L30" s="11" t="str">
        <f>A32</f>
        <v>FRA</v>
      </c>
      <c r="M30" s="96" t="str">
        <f>IF(ISBLANK(J32),"--",J32)</f>
        <v>--</v>
      </c>
      <c r="N30" s="150" t="str">
        <f>IFERROR(_xll.qlRateHelperQuoteName(M30,Trigger),"--")</f>
        <v>--</v>
      </c>
      <c r="O30" s="102" t="str">
        <f>IFERROR(_xll.qlRateHelperQuoteValue($M30,Trigger),"--")</f>
        <v>--</v>
      </c>
      <c r="P30" s="101" t="b">
        <v>0</v>
      </c>
      <c r="Q30" s="96">
        <v>20</v>
      </c>
      <c r="R30" s="96">
        <v>1</v>
      </c>
      <c r="S30" s="103" t="str">
        <f>IFERROR(_xll.qlRateHelperEarliestDate(M30,Trigger),"--")</f>
        <v>--</v>
      </c>
      <c r="T30" s="103" t="str">
        <f>IFERROR(_xll.qlRateHelperPillarDate(M30,Trigger),"--")</f>
        <v>--</v>
      </c>
      <c r="V30" s="4" t="str">
        <f t="shared" si="3"/>
        <v>Sw</v>
      </c>
      <c r="W30" s="4" t="str">
        <v>obj_002be</v>
      </c>
      <c r="X30" s="4" t="str">
        <f>IFERROR(_xll.qlRateHelperQuoteName(W30,Trigger),"")</f>
        <v>GBPSB6L25Y_Quote</v>
      </c>
      <c r="Y30" s="73">
        <f>IFERROR(_xll.qlRateHelperRate(W30,Trigger),"")</f>
        <v>2.1499999999999998E-2</v>
      </c>
      <c r="Z30" s="105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42275</v>
      </c>
      <c r="AB30" s="5">
        <f>IFERROR(_xll.qlRateHelperPillarDate(W30,Trigger),"")</f>
        <v>51407</v>
      </c>
      <c r="AC30" s="241">
        <v>0.58102948863541881</v>
      </c>
    </row>
    <row r="31" spans="1:38" ht="11.25" customHeight="1" x14ac:dyDescent="0.2">
      <c r="A31" s="62" t="s">
        <v>97</v>
      </c>
      <c r="B31" s="117">
        <v>17</v>
      </c>
      <c r="C31" s="65" t="str">
        <f t="shared" si="13"/>
        <v>x23F</v>
      </c>
      <c r="D31" s="126"/>
      <c r="E31" s="126"/>
      <c r="F31" s="126"/>
      <c r="G31" s="64" t="str">
        <f t="shared" si="14"/>
        <v>GbpLibor6M</v>
      </c>
      <c r="H31" s="120" t="str">
        <f t="shared" si="16"/>
        <v>GBP17x23F_Quote</v>
      </c>
      <c r="I31" s="126"/>
      <c r="J31" s="67"/>
      <c r="K31" s="51"/>
      <c r="L31" s="10" t="str">
        <f>A35</f>
        <v>Sw</v>
      </c>
      <c r="M31" s="95" t="str">
        <f>IF(ISBLANK(J35),"--",J35)</f>
        <v>--</v>
      </c>
      <c r="N31" s="149" t="str">
        <f>IFERROR(_xll.qlRateHelperQuoteName(M31,Trigger),"--")</f>
        <v>--</v>
      </c>
      <c r="O31" s="99" t="str">
        <f>IFERROR(_xll.qlRateHelperQuoteValue($M31,Trigger),"--")</f>
        <v>--</v>
      </c>
      <c r="P31" s="98" t="b">
        <v>0</v>
      </c>
      <c r="Q31" s="95">
        <v>50</v>
      </c>
      <c r="R31" s="95">
        <v>1</v>
      </c>
      <c r="S31" s="100" t="str">
        <f>IFERROR(_xll.qlRateHelperEarliestDate(M31,Trigger),"--")</f>
        <v>--</v>
      </c>
      <c r="T31" s="100" t="str">
        <f>IFERROR(_xll.qlRateHelperPillarDate(M31,Trigger),"--")</f>
        <v>--</v>
      </c>
      <c r="V31" s="4" t="str">
        <f t="shared" si="3"/>
        <v>Sw</v>
      </c>
      <c r="W31" s="4" t="str">
        <v>obj_002a9</v>
      </c>
      <c r="X31" s="4" t="str">
        <f>IFERROR(_xll.qlRateHelperQuoteName(W31,Trigger),"")</f>
        <v>GBPSB6L30Y_Quote</v>
      </c>
      <c r="Y31" s="73">
        <f>IFERROR(_xll.qlRateHelperRate(W31,Trigger),"")</f>
        <v>2.145E-2</v>
      </c>
      <c r="Z31" s="105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42275</v>
      </c>
      <c r="AB31" s="5">
        <f>IFERROR(_xll.qlRateHelperPillarDate(W31,Trigger),"")</f>
        <v>53233</v>
      </c>
      <c r="AC31" s="241">
        <v>0.52312839199683636</v>
      </c>
    </row>
    <row r="32" spans="1:38" ht="11.25" customHeight="1" x14ac:dyDescent="0.2">
      <c r="A32" s="1" t="s">
        <v>97</v>
      </c>
      <c r="B32" s="118">
        <v>18</v>
      </c>
      <c r="C32" s="9" t="str">
        <f t="shared" si="13"/>
        <v>x24F</v>
      </c>
      <c r="D32" s="127"/>
      <c r="E32" s="127"/>
      <c r="F32" s="127"/>
      <c r="G32" s="7" t="str">
        <f t="shared" si="14"/>
        <v>GbpLibor6M</v>
      </c>
      <c r="H32" s="121" t="str">
        <f t="shared" si="16"/>
        <v>GBP18x24F_Quote</v>
      </c>
      <c r="I32" s="127"/>
      <c r="J32" s="3"/>
      <c r="K32" s="51"/>
      <c r="L32" s="10" t="str">
        <f t="shared" ref="L32:L64" si="19">A39</f>
        <v>Sw</v>
      </c>
      <c r="M32" s="95" t="str">
        <f t="shared" ref="M32:M64" si="20">IF(ISBLANK(J39),"--",J39)</f>
        <v>obj_002a7#0001</v>
      </c>
      <c r="N32" s="149" t="str">
        <f>IFERROR(_xll.qlRateHelperQuoteName(M32,Trigger),"--")</f>
        <v>GBPSB6L2Y_Quote</v>
      </c>
      <c r="O32" s="99">
        <f>IFERROR(_xll.qlRateHelperQuoteValue($M32,Trigger),"--")</f>
        <v>9.6200000000000001E-3</v>
      </c>
      <c r="P32" s="98" t="b">
        <v>1</v>
      </c>
      <c r="Q32" s="95">
        <v>50</v>
      </c>
      <c r="R32" s="95">
        <v>1</v>
      </c>
      <c r="S32" s="100">
        <f>IFERROR(_xll.qlRateHelperEarliestDate(M32,Trigger),"--")</f>
        <v>42275</v>
      </c>
      <c r="T32" s="100">
        <f>IFERROR(_xll.qlRateHelperPillarDate(M32,Trigger),"--")</f>
        <v>43006</v>
      </c>
      <c r="V32" s="4" t="str">
        <f t="shared" si="3"/>
        <v>Sw</v>
      </c>
      <c r="W32" s="4" t="str">
        <v>obj_002bb</v>
      </c>
      <c r="X32" s="4" t="str">
        <f>IFERROR(_xll.qlRateHelperQuoteName(W32,Trigger),"")</f>
        <v>GBPSB6L40Y_Quote</v>
      </c>
      <c r="Y32" s="73">
        <f>IFERROR(_xll.qlRateHelperRate(W32,Trigger),"")</f>
        <v>2.0959999999999999E-2</v>
      </c>
      <c r="Z32" s="105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42275</v>
      </c>
      <c r="AB32" s="5">
        <f>IFERROR(_xll.qlRateHelperPillarDate(W32,Trigger),"")</f>
        <v>56885</v>
      </c>
      <c r="AC32" s="241">
        <v>0.43434738053742145</v>
      </c>
    </row>
    <row r="33" spans="1:29" ht="11.25" customHeight="1" x14ac:dyDescent="0.2">
      <c r="B33" s="49"/>
      <c r="C33" s="49"/>
      <c r="D33" s="49"/>
      <c r="E33" s="49"/>
      <c r="F33" s="49"/>
      <c r="G33" s="49" t="s">
        <v>150</v>
      </c>
      <c r="H33" s="49" t="s">
        <v>151</v>
      </c>
      <c r="K33" s="51"/>
      <c r="L33" s="10" t="str">
        <f t="shared" si="19"/>
        <v>Sw</v>
      </c>
      <c r="M33" s="95" t="str">
        <f t="shared" si="20"/>
        <v>obj_002bc#0001</v>
      </c>
      <c r="N33" s="149" t="str">
        <f>IFERROR(_xll.qlRateHelperQuoteName(M33,Trigger),"--")</f>
        <v>GBPSB6L3Y_Quote</v>
      </c>
      <c r="O33" s="99">
        <f>IFERROR(_xll.qlRateHelperQuoteValue($M33,Trigger),"--")</f>
        <v>1.153E-2</v>
      </c>
      <c r="P33" s="98" t="b">
        <v>1</v>
      </c>
      <c r="Q33" s="95">
        <v>50</v>
      </c>
      <c r="R33" s="95">
        <v>1</v>
      </c>
      <c r="S33" s="100">
        <f>IFERROR(_xll.qlRateHelperEarliestDate(M33,Trigger),"--")</f>
        <v>42275</v>
      </c>
      <c r="T33" s="100">
        <f>IFERROR(_xll.qlRateHelperPillarDate(M33,Trigger),"--")</f>
        <v>43371</v>
      </c>
      <c r="V33" s="4" t="str">
        <f t="shared" si="3"/>
        <v>Sw</v>
      </c>
      <c r="W33" s="4" t="str">
        <v>obj_002ac</v>
      </c>
      <c r="X33" s="4" t="str">
        <f>IFERROR(_xll.qlRateHelperQuoteName(W33,Trigger),"")</f>
        <v>GBPSB6L50Y_Quote</v>
      </c>
      <c r="Y33" s="73">
        <f>IFERROR(_xll.qlRateHelperRate(W33,Trigger),"")</f>
        <v>2.051E-2</v>
      </c>
      <c r="Z33" s="105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42275</v>
      </c>
      <c r="AB33" s="5">
        <f>IFERROR(_xll.qlRateHelperPillarDate(W33,Trigger),"")</f>
        <v>60538</v>
      </c>
      <c r="AC33" s="241">
        <v>0.36463315568274685</v>
      </c>
    </row>
    <row r="34" spans="1:29" ht="11.25" customHeight="1" x14ac:dyDescent="0.2">
      <c r="A34" s="68" t="s">
        <v>9</v>
      </c>
      <c r="B34" s="68" t="s">
        <v>30</v>
      </c>
      <c r="C34" s="68" t="s">
        <v>133</v>
      </c>
      <c r="D34" s="68" t="s">
        <v>5</v>
      </c>
      <c r="E34" s="68" t="s">
        <v>34</v>
      </c>
      <c r="F34" s="68" t="s">
        <v>118</v>
      </c>
      <c r="G34" s="68" t="s">
        <v>4</v>
      </c>
      <c r="H34" s="68" t="s">
        <v>1</v>
      </c>
      <c r="I34" s="68" t="s">
        <v>117</v>
      </c>
      <c r="J34" s="68" t="s">
        <v>25</v>
      </c>
      <c r="K34" s="51"/>
      <c r="L34" s="10" t="str">
        <f t="shared" si="19"/>
        <v>Sw</v>
      </c>
      <c r="M34" s="95" t="str">
        <f t="shared" si="20"/>
        <v>obj_002ab#0001</v>
      </c>
      <c r="N34" s="149" t="str">
        <f>IFERROR(_xll.qlRateHelperQuoteName(M34,Trigger),"--")</f>
        <v>GBPSB6L4Y_Quote</v>
      </c>
      <c r="O34" s="99">
        <f>IFERROR(_xll.qlRateHelperQuoteValue($M34,Trigger),"--")</f>
        <v>1.3239999999999998E-2</v>
      </c>
      <c r="P34" s="98" t="b">
        <v>1</v>
      </c>
      <c r="Q34" s="95">
        <v>50</v>
      </c>
      <c r="R34" s="95">
        <v>1</v>
      </c>
      <c r="S34" s="100">
        <f>IFERROR(_xll.qlRateHelperEarliestDate(M34,Trigger),"--")</f>
        <v>42275</v>
      </c>
      <c r="T34" s="100">
        <f>IFERROR(_xll.qlRateHelperPillarDate(M34,Trigger),"--")</f>
        <v>43738</v>
      </c>
      <c r="V34" s="4" t="str">
        <f t="shared" si="3"/>
        <v>Sw</v>
      </c>
      <c r="W34" s="4" t="str">
        <v>obj_002a0</v>
      </c>
      <c r="X34" s="4" t="str">
        <f>IFERROR(_xll.qlRateHelperQuoteName(W34,Trigger),"")</f>
        <v>GBPSB6L60Y_Quote</v>
      </c>
      <c r="Y34" s="73">
        <f>IFERROR(_xll.qlRateHelperRate(W34,Trigger),"")</f>
        <v>2.0449999999999999E-2</v>
      </c>
      <c r="Z34" s="105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42275</v>
      </c>
      <c r="AB34" s="5">
        <f>IFERROR(_xll.qlRateHelperPillarDate(W34,Trigger),"")</f>
        <v>64192</v>
      </c>
      <c r="AC34" s="241">
        <v>0.29895534163135562</v>
      </c>
    </row>
    <row r="35" spans="1:29" ht="11.25" customHeight="1" x14ac:dyDescent="0.2">
      <c r="A35" s="56" t="s">
        <v>26</v>
      </c>
      <c r="B35" s="57" t="s">
        <v>29</v>
      </c>
      <c r="C35" s="58" t="s">
        <v>6</v>
      </c>
      <c r="D35" s="58" t="s">
        <v>147</v>
      </c>
      <c r="E35" s="58" t="s">
        <v>7</v>
      </c>
      <c r="F35" s="58" t="s">
        <v>148</v>
      </c>
      <c r="G35" s="58" t="str">
        <f t="shared" ref="G35:G71" si="21">PROPER(Currency)&amp;FamilyName&amp;Tenor</f>
        <v>GbpLibor6M</v>
      </c>
      <c r="H35" s="56" t="str">
        <f t="shared" ref="H35:H71" si="22">Currency&amp;$G$33&amp;$H$33&amp;B35&amp;QuoteSuffix</f>
        <v>GBPSB6L1Y_Quote</v>
      </c>
      <c r="I35" s="129">
        <v>0</v>
      </c>
      <c r="J35" s="67"/>
      <c r="K35" s="51"/>
      <c r="L35" s="10" t="str">
        <f t="shared" si="19"/>
        <v>Sw</v>
      </c>
      <c r="M35" s="95" t="str">
        <f t="shared" si="20"/>
        <v>obj_0029e#0001</v>
      </c>
      <c r="N35" s="149" t="str">
        <f>IFERROR(_xll.qlRateHelperQuoteName(M35,Trigger),"--")</f>
        <v>GBPSB6L5Y_Quote</v>
      </c>
      <c r="O35" s="99">
        <f>IFERROR(_xll.qlRateHelperQuoteValue($M35,Trigger),"--")</f>
        <v>1.4729999999999998E-2</v>
      </c>
      <c r="P35" s="98" t="b">
        <v>1</v>
      </c>
      <c r="Q35" s="95">
        <v>50</v>
      </c>
      <c r="R35" s="95">
        <v>1</v>
      </c>
      <c r="S35" s="100">
        <f>IFERROR(_xll.qlRateHelperEarliestDate(M35,Trigger),"--")</f>
        <v>42275</v>
      </c>
      <c r="T35" s="100">
        <f>IFERROR(_xll.qlRateHelperPillarDate(M35,Trigger),"--")</f>
        <v>44102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5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241" t="e">
        <v>#N/A</v>
      </c>
    </row>
    <row r="36" spans="1:29" ht="11.25" customHeight="1" x14ac:dyDescent="0.2">
      <c r="A36" s="62" t="s">
        <v>26</v>
      </c>
      <c r="B36" s="63" t="s">
        <v>49</v>
      </c>
      <c r="C36" s="64" t="s">
        <v>6</v>
      </c>
      <c r="D36" s="64" t="s">
        <v>147</v>
      </c>
      <c r="E36" s="64" t="s">
        <v>7</v>
      </c>
      <c r="F36" s="64" t="s">
        <v>148</v>
      </c>
      <c r="G36" s="64" t="str">
        <f t="shared" si="21"/>
        <v>GbpLibor6M</v>
      </c>
      <c r="H36" s="62" t="str">
        <f t="shared" si="22"/>
        <v>GBPSB6L15M_Quote</v>
      </c>
      <c r="I36" s="130">
        <v>0</v>
      </c>
      <c r="J36" s="67"/>
      <c r="K36" s="51"/>
      <c r="L36" s="10" t="str">
        <f t="shared" si="19"/>
        <v>Sw</v>
      </c>
      <c r="M36" s="95" t="str">
        <f t="shared" si="20"/>
        <v>obj_002b4#0001</v>
      </c>
      <c r="N36" s="149" t="str">
        <f>IFERROR(_xll.qlRateHelperQuoteName(M36,Trigger),"--")</f>
        <v>GBPSB6L6Y_Quote</v>
      </c>
      <c r="O36" s="99">
        <f>IFERROR(_xll.qlRateHelperQuoteValue($M36,Trigger),"--")</f>
        <v>1.5939999999999999E-2</v>
      </c>
      <c r="P36" s="98" t="b">
        <v>1</v>
      </c>
      <c r="Q36" s="95">
        <v>50</v>
      </c>
      <c r="R36" s="95">
        <v>1</v>
      </c>
      <c r="S36" s="100">
        <f>IFERROR(_xll.qlRateHelperEarliestDate(M36,Trigger),"--")</f>
        <v>42275</v>
      </c>
      <c r="T36" s="100">
        <f>IFERROR(_xll.qlRateHelperPillarDate(M36,Trigger),"--")</f>
        <v>44467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5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241" t="e">
        <v>#N/A</v>
      </c>
    </row>
    <row r="37" spans="1:29" ht="11.25" customHeight="1" x14ac:dyDescent="0.2">
      <c r="A37" s="62" t="s">
        <v>26</v>
      </c>
      <c r="B37" s="63" t="s">
        <v>50</v>
      </c>
      <c r="C37" s="64" t="s">
        <v>6</v>
      </c>
      <c r="D37" s="64" t="s">
        <v>147</v>
      </c>
      <c r="E37" s="64" t="s">
        <v>7</v>
      </c>
      <c r="F37" s="64" t="s">
        <v>148</v>
      </c>
      <c r="G37" s="64" t="str">
        <f t="shared" si="21"/>
        <v>GbpLibor6M</v>
      </c>
      <c r="H37" s="62" t="str">
        <f t="shared" si="22"/>
        <v>GBPSB6L18M_Quote</v>
      </c>
      <c r="I37" s="130">
        <v>0</v>
      </c>
      <c r="J37" s="67"/>
      <c r="K37" s="51"/>
      <c r="L37" s="10" t="str">
        <f t="shared" si="19"/>
        <v>Sw</v>
      </c>
      <c r="M37" s="95" t="str">
        <f t="shared" si="20"/>
        <v>obj_002b0#0001</v>
      </c>
      <c r="N37" s="149" t="str">
        <f>IFERROR(_xll.qlRateHelperQuoteName(M37,Trigger),"--")</f>
        <v>GBPSB6L7Y_Quote</v>
      </c>
      <c r="O37" s="99">
        <f>IFERROR(_xll.qlRateHelperQuoteValue($M37,Trigger),"--")</f>
        <v>1.6909999999999998E-2</v>
      </c>
      <c r="P37" s="98" t="b">
        <v>1</v>
      </c>
      <c r="Q37" s="95">
        <v>50</v>
      </c>
      <c r="R37" s="95">
        <v>1</v>
      </c>
      <c r="S37" s="100">
        <f>IFERROR(_xll.qlRateHelperEarliestDate(M37,Trigger),"--")</f>
        <v>42275</v>
      </c>
      <c r="T37" s="100">
        <f>IFERROR(_xll.qlRateHelperPillarDate(M37,Trigger),"--")</f>
        <v>44832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5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241" t="e">
        <v>#N/A</v>
      </c>
    </row>
    <row r="38" spans="1:29" ht="11.25" customHeight="1" x14ac:dyDescent="0.2">
      <c r="A38" s="62" t="s">
        <v>26</v>
      </c>
      <c r="B38" s="63" t="s">
        <v>51</v>
      </c>
      <c r="C38" s="64" t="s">
        <v>6</v>
      </c>
      <c r="D38" s="64" t="s">
        <v>147</v>
      </c>
      <c r="E38" s="64" t="s">
        <v>7</v>
      </c>
      <c r="F38" s="64" t="s">
        <v>148</v>
      </c>
      <c r="G38" s="64" t="str">
        <f t="shared" si="21"/>
        <v>GbpLibor6M</v>
      </c>
      <c r="H38" s="62" t="str">
        <f t="shared" si="22"/>
        <v>GBPSB6L21M_Quote</v>
      </c>
      <c r="I38" s="130">
        <v>0</v>
      </c>
      <c r="J38" s="67"/>
      <c r="K38" s="51"/>
      <c r="L38" s="10" t="str">
        <f t="shared" si="19"/>
        <v>Sw</v>
      </c>
      <c r="M38" s="95" t="str">
        <f t="shared" si="20"/>
        <v>obj_002c1#0001</v>
      </c>
      <c r="N38" s="149" t="str">
        <f>IFERROR(_xll.qlRateHelperQuoteName(M38,Trigger),"--")</f>
        <v>GBPSB6L8Y_Quote</v>
      </c>
      <c r="O38" s="99">
        <f>IFERROR(_xll.qlRateHelperQuoteValue($M38,Trigger),"--")</f>
        <v>1.771E-2</v>
      </c>
      <c r="P38" s="98" t="b">
        <v>1</v>
      </c>
      <c r="Q38" s="95">
        <v>50</v>
      </c>
      <c r="R38" s="95">
        <v>1</v>
      </c>
      <c r="S38" s="100">
        <f>IFERROR(_xll.qlRateHelperEarliestDate(M38,Trigger),"--")</f>
        <v>42275</v>
      </c>
      <c r="T38" s="100">
        <f>IFERROR(_xll.qlRateHelperPillarDate(M38,Trigger),"--")</f>
        <v>45197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5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241" t="e">
        <v>#N/A</v>
      </c>
    </row>
    <row r="39" spans="1:29" ht="11.25" customHeight="1" x14ac:dyDescent="0.2">
      <c r="A39" s="62" t="s">
        <v>26</v>
      </c>
      <c r="B39" s="63" t="s">
        <v>52</v>
      </c>
      <c r="C39" s="64" t="s">
        <v>6</v>
      </c>
      <c r="D39" s="64" t="s">
        <v>147</v>
      </c>
      <c r="E39" s="64" t="s">
        <v>7</v>
      </c>
      <c r="F39" s="64" t="s">
        <v>148</v>
      </c>
      <c r="G39" s="64" t="str">
        <f t="shared" si="21"/>
        <v>GbpLibor6M</v>
      </c>
      <c r="H39" s="62" t="str">
        <f t="shared" si="22"/>
        <v>GBPSB6L2Y_Quote</v>
      </c>
      <c r="I39" s="130">
        <v>0</v>
      </c>
      <c r="J39" s="67" t="str">
        <f>_xll.qlSwapRateHelper2(,H39,0,B39,Calendar,D39,E39,F39,G39,I39,C39,Discounting,PillarDate,,Permanent,Trigger,ObjectOverwrite)</f>
        <v>obj_002a7#0001</v>
      </c>
      <c r="K39" s="51"/>
      <c r="L39" s="10" t="str">
        <f t="shared" si="19"/>
        <v>Sw</v>
      </c>
      <c r="M39" s="95" t="str">
        <f t="shared" si="20"/>
        <v>obj_002af#0001</v>
      </c>
      <c r="N39" s="149" t="str">
        <f>IFERROR(_xll.qlRateHelperQuoteName(M39,Trigger),"--")</f>
        <v>GBPSB6L9Y_Quote</v>
      </c>
      <c r="O39" s="99">
        <f>IFERROR(_xll.qlRateHelperQuoteValue($M39,Trigger),"--")</f>
        <v>1.839E-2</v>
      </c>
      <c r="P39" s="98" t="b">
        <v>1</v>
      </c>
      <c r="Q39" s="95">
        <v>50</v>
      </c>
      <c r="R39" s="95">
        <v>1</v>
      </c>
      <c r="S39" s="100">
        <f>IFERROR(_xll.qlRateHelperEarliestDate(M39,Trigger),"--")</f>
        <v>42275</v>
      </c>
      <c r="T39" s="100">
        <f>IFERROR(_xll.qlRateHelperPillarDate(M39,Trigger),"--")</f>
        <v>45565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5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241" t="e">
        <v>#N/A</v>
      </c>
    </row>
    <row r="40" spans="1:29" ht="11.25" customHeight="1" x14ac:dyDescent="0.2">
      <c r="A40" s="62" t="s">
        <v>26</v>
      </c>
      <c r="B40" s="63" t="s">
        <v>53</v>
      </c>
      <c r="C40" s="64" t="s">
        <v>6</v>
      </c>
      <c r="D40" s="64" t="s">
        <v>147</v>
      </c>
      <c r="E40" s="64" t="s">
        <v>7</v>
      </c>
      <c r="F40" s="64" t="s">
        <v>148</v>
      </c>
      <c r="G40" s="64" t="str">
        <f t="shared" si="21"/>
        <v>GbpLibor6M</v>
      </c>
      <c r="H40" s="62" t="str">
        <f t="shared" si="22"/>
        <v>GBPSB6L3Y_Quote</v>
      </c>
      <c r="I40" s="130">
        <v>0</v>
      </c>
      <c r="J40" s="67" t="str">
        <f>_xll.qlSwapRateHelper2(,H40,0,B40,Calendar,D40,E40,F40,G40,I40,C40,Discounting,PillarDate,,Permanent,Trigger,ObjectOverwrite)</f>
        <v>obj_002bc#0001</v>
      </c>
      <c r="K40" s="51"/>
      <c r="L40" s="10" t="str">
        <f t="shared" si="19"/>
        <v>Sw</v>
      </c>
      <c r="M40" s="95" t="str">
        <f t="shared" si="20"/>
        <v>obj_002bd#0001</v>
      </c>
      <c r="N40" s="149" t="str">
        <f>IFERROR(_xll.qlRateHelperQuoteName(M40,Trigger),"--")</f>
        <v>GBPSB6L10Y_Quote</v>
      </c>
      <c r="O40" s="99">
        <f>IFERROR(_xll.qlRateHelperQuoteValue($M40,Trigger),"--")</f>
        <v>1.8970000000000001E-2</v>
      </c>
      <c r="P40" s="98" t="b">
        <v>1</v>
      </c>
      <c r="Q40" s="95">
        <v>50</v>
      </c>
      <c r="R40" s="95">
        <v>1</v>
      </c>
      <c r="S40" s="100">
        <f>IFERROR(_xll.qlRateHelperEarliestDate(M40,Trigger),"--")</f>
        <v>42275</v>
      </c>
      <c r="T40" s="100">
        <f>IFERROR(_xll.qlRateHelperPillarDate(M40,Trigger),"--")</f>
        <v>45929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5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241" t="e">
        <v>#N/A</v>
      </c>
    </row>
    <row r="41" spans="1:29" ht="11.25" customHeight="1" x14ac:dyDescent="0.2">
      <c r="A41" s="62" t="s">
        <v>26</v>
      </c>
      <c r="B41" s="63" t="s">
        <v>54</v>
      </c>
      <c r="C41" s="64" t="s">
        <v>6</v>
      </c>
      <c r="D41" s="64" t="s">
        <v>147</v>
      </c>
      <c r="E41" s="64" t="s">
        <v>7</v>
      </c>
      <c r="F41" s="64" t="s">
        <v>148</v>
      </c>
      <c r="G41" s="64" t="str">
        <f t="shared" si="21"/>
        <v>GbpLibor6M</v>
      </c>
      <c r="H41" s="62" t="str">
        <f t="shared" si="22"/>
        <v>GBPSB6L4Y_Quote</v>
      </c>
      <c r="I41" s="130">
        <v>0</v>
      </c>
      <c r="J41" s="67" t="str">
        <f>_xll.qlSwapRateHelper2(,H41,0,B41,Calendar,D41,E41,F41,G41,I41,C41,Discounting,PillarDate,,Permanent,Trigger,ObjectOverwrite)</f>
        <v>obj_002ab#0001</v>
      </c>
      <c r="L41" s="10" t="str">
        <f t="shared" si="19"/>
        <v>Sw</v>
      </c>
      <c r="M41" s="95" t="str">
        <f t="shared" si="20"/>
        <v>obj_002a1#0001</v>
      </c>
      <c r="N41" s="149" t="str">
        <f>IFERROR(_xll.qlRateHelperQuoteName(M41,Trigger),"--")</f>
        <v>GBPSB6L11Y_Quote</v>
      </c>
      <c r="O41" s="99">
        <f>IFERROR(_xll.qlRateHelperQuoteValue($M41,Trigger),"--")</f>
        <v>1.9460000000000002E-2</v>
      </c>
      <c r="P41" s="98" t="b">
        <v>1</v>
      </c>
      <c r="Q41" s="95">
        <v>50</v>
      </c>
      <c r="R41" s="95">
        <v>1</v>
      </c>
      <c r="S41" s="100">
        <f>IFERROR(_xll.qlRateHelperEarliestDate(M41,Trigger),"--")</f>
        <v>42275</v>
      </c>
      <c r="T41" s="100">
        <f>IFERROR(_xll.qlRateHelperPillarDate(M41,Trigger),"--")</f>
        <v>46293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5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241" t="e">
        <v>#N/A</v>
      </c>
    </row>
    <row r="42" spans="1:29" ht="11.25" customHeight="1" x14ac:dyDescent="0.2">
      <c r="A42" s="62" t="s">
        <v>26</v>
      </c>
      <c r="B42" s="63" t="s">
        <v>55</v>
      </c>
      <c r="C42" s="64" t="s">
        <v>6</v>
      </c>
      <c r="D42" s="64" t="s">
        <v>147</v>
      </c>
      <c r="E42" s="64" t="s">
        <v>7</v>
      </c>
      <c r="F42" s="64" t="s">
        <v>148</v>
      </c>
      <c r="G42" s="64" t="str">
        <f t="shared" si="21"/>
        <v>GbpLibor6M</v>
      </c>
      <c r="H42" s="62" t="str">
        <f t="shared" si="22"/>
        <v>GBPSB6L5Y_Quote</v>
      </c>
      <c r="I42" s="130">
        <v>0</v>
      </c>
      <c r="J42" s="67" t="str">
        <f>_xll.qlSwapRateHelper2(,H42,0,B42,Calendar,D42,E42,F42,G42,I42,C42,Discounting,PillarDate,,Permanent,Trigger,ObjectOverwrite)</f>
        <v>obj_0029e#0001</v>
      </c>
      <c r="L42" s="10" t="str">
        <f t="shared" si="19"/>
        <v>Sw</v>
      </c>
      <c r="M42" s="95" t="str">
        <f t="shared" si="20"/>
        <v>obj_002a3#0001</v>
      </c>
      <c r="N42" s="149" t="str">
        <f>IFERROR(_xll.qlRateHelperQuoteName(M42,Trigger),"--")</f>
        <v>GBPSB6L12Y_Quote</v>
      </c>
      <c r="O42" s="99">
        <f>IFERROR(_xll.qlRateHelperQuoteValue($M42,Trigger),"--")</f>
        <v>1.9889999999999998E-2</v>
      </c>
      <c r="P42" s="98" t="b">
        <v>1</v>
      </c>
      <c r="Q42" s="95">
        <v>50</v>
      </c>
      <c r="R42" s="95">
        <v>1</v>
      </c>
      <c r="S42" s="100">
        <f>IFERROR(_xll.qlRateHelperEarliestDate(M42,Trigger),"--")</f>
        <v>42275</v>
      </c>
      <c r="T42" s="100">
        <f>IFERROR(_xll.qlRateHelperPillarDate(M42,Trigger),"--")</f>
        <v>46658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5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241" t="e">
        <v>#N/A</v>
      </c>
    </row>
    <row r="43" spans="1:29" ht="11.25" customHeight="1" x14ac:dyDescent="0.2">
      <c r="A43" s="62" t="s">
        <v>26</v>
      </c>
      <c r="B43" s="63" t="s">
        <v>56</v>
      </c>
      <c r="C43" s="64" t="s">
        <v>6</v>
      </c>
      <c r="D43" s="64" t="s">
        <v>147</v>
      </c>
      <c r="E43" s="64" t="s">
        <v>7</v>
      </c>
      <c r="F43" s="64" t="s">
        <v>148</v>
      </c>
      <c r="G43" s="64" t="str">
        <f t="shared" si="21"/>
        <v>GbpLibor6M</v>
      </c>
      <c r="H43" s="62" t="str">
        <f t="shared" si="22"/>
        <v>GBPSB6L6Y_Quote</v>
      </c>
      <c r="I43" s="130">
        <v>0</v>
      </c>
      <c r="J43" s="67" t="str">
        <f>_xll.qlSwapRateHelper2(,H43,0,B43,Calendar,D43,E43,F43,G43,I43,C43,Discounting,PillarDate,,Permanent,Trigger,ObjectOverwrite)</f>
        <v>obj_002b4#0001</v>
      </c>
      <c r="L43" s="10" t="str">
        <f t="shared" si="19"/>
        <v>Sw</v>
      </c>
      <c r="M43" s="95" t="str">
        <f t="shared" si="20"/>
        <v>--</v>
      </c>
      <c r="N43" s="149" t="str">
        <f>IFERROR(_xll.qlRateHelperQuoteName(M43,Trigger),"--")</f>
        <v>--</v>
      </c>
      <c r="O43" s="99" t="str">
        <f>IFERROR(_xll.qlRateHelperQuoteValue($M43,Trigger),"--")</f>
        <v>--</v>
      </c>
      <c r="P43" s="98" t="b">
        <v>0</v>
      </c>
      <c r="Q43" s="95">
        <v>50</v>
      </c>
      <c r="R43" s="95">
        <v>1</v>
      </c>
      <c r="S43" s="100" t="str">
        <f>IFERROR(_xll.qlRateHelperEarliestDate(M43,Trigger),"--")</f>
        <v>--</v>
      </c>
      <c r="T43" s="100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5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241" t="e">
        <v>#N/A</v>
      </c>
    </row>
    <row r="44" spans="1:29" ht="11.25" customHeight="1" x14ac:dyDescent="0.2">
      <c r="A44" s="62" t="s">
        <v>26</v>
      </c>
      <c r="B44" s="63" t="s">
        <v>57</v>
      </c>
      <c r="C44" s="64" t="s">
        <v>6</v>
      </c>
      <c r="D44" s="64" t="s">
        <v>147</v>
      </c>
      <c r="E44" s="64" t="s">
        <v>7</v>
      </c>
      <c r="F44" s="64" t="s">
        <v>148</v>
      </c>
      <c r="G44" s="64" t="str">
        <f t="shared" si="21"/>
        <v>GbpLibor6M</v>
      </c>
      <c r="H44" s="62" t="str">
        <f t="shared" si="22"/>
        <v>GBPSB6L7Y_Quote</v>
      </c>
      <c r="I44" s="130">
        <v>0</v>
      </c>
      <c r="J44" s="67" t="str">
        <f>_xll.qlSwapRateHelper2(,H44,0,B44,Calendar,D44,E44,F44,G44,I44,C44,Discounting,PillarDate,,Permanent,Trigger,ObjectOverwrite)</f>
        <v>obj_002b0#0001</v>
      </c>
      <c r="L44" s="10" t="str">
        <f t="shared" si="19"/>
        <v>Sw</v>
      </c>
      <c r="M44" s="95" t="str">
        <f t="shared" si="20"/>
        <v>--</v>
      </c>
      <c r="N44" s="149" t="str">
        <f>IFERROR(_xll.qlRateHelperQuoteName(M44,Trigger),"--")</f>
        <v>--</v>
      </c>
      <c r="O44" s="99" t="str">
        <f>IFERROR(_xll.qlRateHelperQuoteValue($M44,Trigger),"--")</f>
        <v>--</v>
      </c>
      <c r="P44" s="98" t="b">
        <v>0</v>
      </c>
      <c r="Q44" s="95">
        <v>50</v>
      </c>
      <c r="R44" s="95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5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241" t="e">
        <v>#N/A</v>
      </c>
    </row>
    <row r="45" spans="1:29" ht="11.25" customHeight="1" x14ac:dyDescent="0.2">
      <c r="A45" s="62" t="s">
        <v>26</v>
      </c>
      <c r="B45" s="63" t="s">
        <v>58</v>
      </c>
      <c r="C45" s="64" t="s">
        <v>6</v>
      </c>
      <c r="D45" s="64" t="s">
        <v>147</v>
      </c>
      <c r="E45" s="64" t="s">
        <v>7</v>
      </c>
      <c r="F45" s="64" t="s">
        <v>148</v>
      </c>
      <c r="G45" s="64" t="str">
        <f t="shared" si="21"/>
        <v>GbpLibor6M</v>
      </c>
      <c r="H45" s="62" t="str">
        <f t="shared" si="22"/>
        <v>GBPSB6L8Y_Quote</v>
      </c>
      <c r="I45" s="130">
        <v>0</v>
      </c>
      <c r="J45" s="67" t="str">
        <f>_xll.qlSwapRateHelper2(,H45,0,B45,Calendar,D45,E45,F45,G45,I45,C45,Discounting,PillarDate,,Permanent,Trigger,ObjectOverwrite)</f>
        <v>obj_002c1#0001</v>
      </c>
      <c r="L45" s="10" t="str">
        <f t="shared" si="19"/>
        <v>Sw</v>
      </c>
      <c r="M45" s="95" t="str">
        <f t="shared" si="20"/>
        <v>obj_002b8#0001</v>
      </c>
      <c r="N45" s="149" t="str">
        <f>IFERROR(_xll.qlRateHelperQuoteName(M45,Trigger),"--")</f>
        <v>GBPSB6L15Y_Quote</v>
      </c>
      <c r="O45" s="99">
        <f>IFERROR(_xll.qlRateHelperQuoteValue($M45,Trigger),"--")</f>
        <v>2.0789999999999996E-2</v>
      </c>
      <c r="P45" s="98" t="b">
        <v>1</v>
      </c>
      <c r="Q45" s="95">
        <v>50</v>
      </c>
      <c r="R45" s="95">
        <v>1</v>
      </c>
      <c r="S45" s="100">
        <f>IFERROR(_xll.qlRateHelperEarliestDate(M45,Trigger),"--")</f>
        <v>42275</v>
      </c>
      <c r="T45" s="100">
        <f>IFERROR(_xll.qlRateHelperPillarDate(M45,Trigger),"--")</f>
        <v>47756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5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241" t="e">
        <v>#N/A</v>
      </c>
    </row>
    <row r="46" spans="1:29" ht="11.25" customHeight="1" x14ac:dyDescent="0.2">
      <c r="A46" s="62" t="s">
        <v>26</v>
      </c>
      <c r="B46" s="63" t="s">
        <v>59</v>
      </c>
      <c r="C46" s="64" t="s">
        <v>6</v>
      </c>
      <c r="D46" s="64" t="s">
        <v>147</v>
      </c>
      <c r="E46" s="64" t="s">
        <v>7</v>
      </c>
      <c r="F46" s="64" t="s">
        <v>148</v>
      </c>
      <c r="G46" s="64" t="str">
        <f t="shared" si="21"/>
        <v>GbpLibor6M</v>
      </c>
      <c r="H46" s="62" t="str">
        <f t="shared" si="22"/>
        <v>GBPSB6L9Y_Quote</v>
      </c>
      <c r="I46" s="130">
        <v>0</v>
      </c>
      <c r="J46" s="67" t="str">
        <f>_xll.qlSwapRateHelper2(,H46,0,B46,Calendar,D46,E46,F46,G46,I46,C46,Discounting,PillarDate,,Permanent,Trigger,ObjectOverwrite)</f>
        <v>obj_002af#0001</v>
      </c>
      <c r="L46" s="10" t="str">
        <f t="shared" si="19"/>
        <v>Sw</v>
      </c>
      <c r="M46" s="95" t="str">
        <f t="shared" si="20"/>
        <v>--</v>
      </c>
      <c r="N46" s="149" t="str">
        <f>IFERROR(_xll.qlRateHelperQuoteName(M46,Trigger),"--")</f>
        <v>--</v>
      </c>
      <c r="O46" s="99" t="str">
        <f>IFERROR(_xll.qlRateHelperQuoteValue($M46,Trigger),"--")</f>
        <v>--</v>
      </c>
      <c r="P46" s="98" t="b">
        <v>0</v>
      </c>
      <c r="Q46" s="95">
        <v>50</v>
      </c>
      <c r="R46" s="95">
        <v>1</v>
      </c>
      <c r="S46" s="100" t="str">
        <f>IFERROR(_xll.qlRateHelperEarliestDate(M46,Trigger),"--")</f>
        <v>--</v>
      </c>
      <c r="T46" s="100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241" t="e">
        <v>#N/A</v>
      </c>
    </row>
    <row r="47" spans="1:29" ht="11.25" customHeight="1" x14ac:dyDescent="0.2">
      <c r="A47" s="62" t="s">
        <v>26</v>
      </c>
      <c r="B47" s="63" t="s">
        <v>60</v>
      </c>
      <c r="C47" s="64" t="s">
        <v>6</v>
      </c>
      <c r="D47" s="64" t="s">
        <v>147</v>
      </c>
      <c r="E47" s="64" t="s">
        <v>7</v>
      </c>
      <c r="F47" s="64" t="s">
        <v>148</v>
      </c>
      <c r="G47" s="64" t="str">
        <f t="shared" si="21"/>
        <v>GbpLibor6M</v>
      </c>
      <c r="H47" s="62" t="str">
        <f t="shared" si="22"/>
        <v>GBPSB6L10Y_Quote</v>
      </c>
      <c r="I47" s="130">
        <v>0</v>
      </c>
      <c r="J47" s="67" t="str">
        <f>_xll.qlSwapRateHelper2(,H47,0,B47,Calendar,D47,E47,F47,G47,I47,C47,Discounting,PillarDate,,Permanent,Trigger,ObjectOverwrite)</f>
        <v>obj_002bd#0001</v>
      </c>
      <c r="L47" s="10" t="str">
        <f t="shared" si="19"/>
        <v>Sw</v>
      </c>
      <c r="M47" s="95" t="str">
        <f t="shared" si="20"/>
        <v>--</v>
      </c>
      <c r="N47" s="149" t="str">
        <f>IFERROR(_xll.qlRateHelperQuoteName(M47,Trigger),"--")</f>
        <v>--</v>
      </c>
      <c r="O47" s="99" t="str">
        <f>IFERROR(_xll.qlRateHelperQuoteValue($M47,Trigger),"--")</f>
        <v>--</v>
      </c>
      <c r="P47" s="98" t="b">
        <v>0</v>
      </c>
      <c r="Q47" s="95">
        <v>50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241" t="e">
        <v>#N/A</v>
      </c>
    </row>
    <row r="48" spans="1:29" ht="11.25" customHeight="1" x14ac:dyDescent="0.2">
      <c r="A48" s="62" t="s">
        <v>26</v>
      </c>
      <c r="B48" s="63" t="s">
        <v>102</v>
      </c>
      <c r="C48" s="64" t="s">
        <v>6</v>
      </c>
      <c r="D48" s="64" t="s">
        <v>147</v>
      </c>
      <c r="E48" s="64" t="s">
        <v>7</v>
      </c>
      <c r="F48" s="64" t="s">
        <v>148</v>
      </c>
      <c r="G48" s="64" t="str">
        <f t="shared" si="21"/>
        <v>GbpLibor6M</v>
      </c>
      <c r="H48" s="62" t="str">
        <f t="shared" si="22"/>
        <v>GBPSB6L11Y_Quote</v>
      </c>
      <c r="I48" s="130">
        <v>0</v>
      </c>
      <c r="J48" s="67" t="str">
        <f>_xll.qlSwapRateHelper2(,H48,0,B48,Calendar,D48,E48,F48,G48,I48,C48,Discounting,PillarDate,,Permanent,Trigger,ObjectOverwrite)</f>
        <v>obj_002a1#0001</v>
      </c>
      <c r="L48" s="10" t="str">
        <f t="shared" si="19"/>
        <v>Sw</v>
      </c>
      <c r="M48" s="95" t="str">
        <f t="shared" si="20"/>
        <v>--</v>
      </c>
      <c r="N48" s="149" t="str">
        <f>IFERROR(_xll.qlRateHelperQuoteName(M48,Trigger),"--")</f>
        <v>--</v>
      </c>
      <c r="O48" s="99" t="str">
        <f>IFERROR(_xll.qlRateHelperQuoteValue($M48,Trigger),"--")</f>
        <v>--</v>
      </c>
      <c r="P48" s="98" t="b">
        <v>0</v>
      </c>
      <c r="Q48" s="95">
        <v>50</v>
      </c>
      <c r="R48" s="95">
        <v>1</v>
      </c>
      <c r="S48" s="100" t="str">
        <f>IFERROR(_xll.qlRateHelperEarliestDate(M48,Trigger),"--")</f>
        <v>--</v>
      </c>
      <c r="T48" s="100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241" t="e">
        <v>#N/A</v>
      </c>
    </row>
    <row r="49" spans="1:29" ht="11.25" customHeight="1" x14ac:dyDescent="0.2">
      <c r="A49" s="62" t="s">
        <v>26</v>
      </c>
      <c r="B49" s="63" t="s">
        <v>61</v>
      </c>
      <c r="C49" s="64" t="s">
        <v>6</v>
      </c>
      <c r="D49" s="64" t="s">
        <v>147</v>
      </c>
      <c r="E49" s="64" t="s">
        <v>7</v>
      </c>
      <c r="F49" s="64" t="s">
        <v>148</v>
      </c>
      <c r="G49" s="64" t="str">
        <f t="shared" si="21"/>
        <v>GbpLibor6M</v>
      </c>
      <c r="H49" s="62" t="str">
        <f t="shared" si="22"/>
        <v>GBPSB6L12Y_Quote</v>
      </c>
      <c r="I49" s="130">
        <v>0</v>
      </c>
      <c r="J49" s="67" t="str">
        <f>_xll.qlSwapRateHelper2(,H49,0,B49,Calendar,D49,E49,F49,G49,I49,C49,Discounting,PillarDate,,Permanent,Trigger,ObjectOverwrite)</f>
        <v>obj_002a3#0001</v>
      </c>
      <c r="L49" s="10" t="str">
        <f t="shared" si="19"/>
        <v>Sw</v>
      </c>
      <c r="M49" s="95" t="str">
        <f t="shared" si="20"/>
        <v>--</v>
      </c>
      <c r="N49" s="149" t="str">
        <f>IFERROR(_xll.qlRateHelperQuoteName(M49,Trigger),"--")</f>
        <v>--</v>
      </c>
      <c r="O49" s="99" t="str">
        <f>IFERROR(_xll.qlRateHelperQuoteValue($M49,Trigger),"--")</f>
        <v>--</v>
      </c>
      <c r="P49" s="98" t="b">
        <v>0</v>
      </c>
      <c r="Q49" s="95">
        <v>50</v>
      </c>
      <c r="R49" s="95">
        <v>1</v>
      </c>
      <c r="S49" s="100" t="str">
        <f>IFERROR(_xll.qlRateHelperEarliestDate(M49,Trigger),"--")</f>
        <v>--</v>
      </c>
      <c r="T49" s="100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241" t="e">
        <v>#N/A</v>
      </c>
    </row>
    <row r="50" spans="1:29" ht="11.25" customHeight="1" x14ac:dyDescent="0.2">
      <c r="A50" s="62" t="s">
        <v>26</v>
      </c>
      <c r="B50" s="63" t="s">
        <v>103</v>
      </c>
      <c r="C50" s="64" t="s">
        <v>6</v>
      </c>
      <c r="D50" s="64" t="s">
        <v>147</v>
      </c>
      <c r="E50" s="64" t="s">
        <v>7</v>
      </c>
      <c r="F50" s="64" t="s">
        <v>148</v>
      </c>
      <c r="G50" s="64" t="str">
        <f t="shared" si="21"/>
        <v>GbpLibor6M</v>
      </c>
      <c r="H50" s="62" t="str">
        <f t="shared" si="22"/>
        <v>GBPSB6L13Y_Quote</v>
      </c>
      <c r="I50" s="130">
        <v>0</v>
      </c>
      <c r="J50" s="67"/>
      <c r="L50" s="10" t="str">
        <f t="shared" si="19"/>
        <v>Sw</v>
      </c>
      <c r="M50" s="95" t="str">
        <f t="shared" si="20"/>
        <v>obj_002c0#0001</v>
      </c>
      <c r="N50" s="149" t="str">
        <f>IFERROR(_xll.qlRateHelperQuoteName(M50,Trigger),"--")</f>
        <v>GBPSB6L20Y_Quote</v>
      </c>
      <c r="O50" s="99">
        <f>IFERROR(_xll.qlRateHelperQuoteValue($M50,Trigger),"--")</f>
        <v>2.1440000000000001E-2</v>
      </c>
      <c r="P50" s="98" t="b">
        <v>1</v>
      </c>
      <c r="Q50" s="95">
        <v>50</v>
      </c>
      <c r="R50" s="95">
        <v>1</v>
      </c>
      <c r="S50" s="100">
        <f>IFERROR(_xll.qlRateHelperEarliestDate(M50,Trigger),"--")</f>
        <v>42275</v>
      </c>
      <c r="T50" s="100">
        <f>IFERROR(_xll.qlRateHelperPillarDate(M50,Trigger),"--")</f>
        <v>49580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241" t="e">
        <v>#N/A</v>
      </c>
    </row>
    <row r="51" spans="1:29" ht="11.25" customHeight="1" x14ac:dyDescent="0.2">
      <c r="A51" s="62" t="s">
        <v>26</v>
      </c>
      <c r="B51" s="63" t="s">
        <v>104</v>
      </c>
      <c r="C51" s="64" t="s">
        <v>6</v>
      </c>
      <c r="D51" s="64" t="s">
        <v>147</v>
      </c>
      <c r="E51" s="64" t="s">
        <v>7</v>
      </c>
      <c r="F51" s="64" t="s">
        <v>148</v>
      </c>
      <c r="G51" s="64" t="str">
        <f t="shared" si="21"/>
        <v>GbpLibor6M</v>
      </c>
      <c r="H51" s="62" t="str">
        <f t="shared" si="22"/>
        <v>GBPSB6L14Y_Quote</v>
      </c>
      <c r="I51" s="130">
        <v>0</v>
      </c>
      <c r="J51" s="67"/>
      <c r="L51" s="10" t="str">
        <f t="shared" si="19"/>
        <v>Sw</v>
      </c>
      <c r="M51" s="95" t="str">
        <f t="shared" si="20"/>
        <v>--</v>
      </c>
      <c r="N51" s="149" t="str">
        <f>IFERROR(_xll.qlRateHelperQuoteName(M51,Trigger),"--")</f>
        <v>--</v>
      </c>
      <c r="O51" s="99" t="str">
        <f>IFERROR(_xll.qlRateHelperQuoteValue($M51,Trigger),"--")</f>
        <v>--</v>
      </c>
      <c r="P51" s="98" t="b">
        <v>0</v>
      </c>
      <c r="Q51" s="95">
        <v>50</v>
      </c>
      <c r="R51" s="95">
        <v>1</v>
      </c>
      <c r="S51" s="100" t="str">
        <f>IFERROR(_xll.qlRateHelperEarliestDate(M51,Trigger),"--")</f>
        <v>--</v>
      </c>
      <c r="T51" s="100" t="str">
        <f>IFERROR(_xll.qlRateHelperPillarDate(M51,Trigger),"--")</f>
        <v>--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241" t="e">
        <v>#N/A</v>
      </c>
    </row>
    <row r="52" spans="1:29" ht="11.25" customHeight="1" x14ac:dyDescent="0.2">
      <c r="A52" s="62" t="s">
        <v>26</v>
      </c>
      <c r="B52" s="63" t="s">
        <v>62</v>
      </c>
      <c r="C52" s="64" t="s">
        <v>6</v>
      </c>
      <c r="D52" s="64" t="s">
        <v>147</v>
      </c>
      <c r="E52" s="64" t="s">
        <v>7</v>
      </c>
      <c r="F52" s="64" t="s">
        <v>148</v>
      </c>
      <c r="G52" s="64" t="str">
        <f t="shared" si="21"/>
        <v>GbpLibor6M</v>
      </c>
      <c r="H52" s="62" t="str">
        <f t="shared" si="22"/>
        <v>GBPSB6L15Y_Quote</v>
      </c>
      <c r="I52" s="130">
        <v>0</v>
      </c>
      <c r="J52" s="67" t="str">
        <f>_xll.qlSwapRateHelper2(,H52,0,B52,Calendar,D52,E52,F52,G52,I52,C52,Discounting,PillarDate,,Permanent,Trigger,ObjectOverwrite)</f>
        <v>obj_002b8#0001</v>
      </c>
      <c r="L52" s="10" t="str">
        <f t="shared" si="19"/>
        <v>Sw</v>
      </c>
      <c r="M52" s="95" t="str">
        <f t="shared" si="20"/>
        <v>--</v>
      </c>
      <c r="N52" s="149" t="str">
        <f>IFERROR(_xll.qlRateHelperQuoteName(M52,Trigger),"--")</f>
        <v>--</v>
      </c>
      <c r="O52" s="99" t="str">
        <f>IFERROR(_xll.qlRateHelperQuoteValue($M52,Trigger),"--")</f>
        <v>--</v>
      </c>
      <c r="P52" s="98" t="b">
        <v>0</v>
      </c>
      <c r="Q52" s="95">
        <v>50</v>
      </c>
      <c r="R52" s="95">
        <v>1</v>
      </c>
      <c r="S52" s="100" t="str">
        <f>IFERROR(_xll.qlRateHelperEarliestDate(M52,Trigger),"--")</f>
        <v>--</v>
      </c>
      <c r="T52" s="100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241" t="e">
        <v>#N/A</v>
      </c>
    </row>
    <row r="53" spans="1:29" ht="11.25" customHeight="1" x14ac:dyDescent="0.2">
      <c r="A53" s="62" t="s">
        <v>26</v>
      </c>
      <c r="B53" s="63" t="s">
        <v>105</v>
      </c>
      <c r="C53" s="64" t="s">
        <v>6</v>
      </c>
      <c r="D53" s="64" t="s">
        <v>147</v>
      </c>
      <c r="E53" s="64" t="s">
        <v>7</v>
      </c>
      <c r="F53" s="64" t="s">
        <v>148</v>
      </c>
      <c r="G53" s="64" t="str">
        <f t="shared" si="21"/>
        <v>GbpLibor6M</v>
      </c>
      <c r="H53" s="62" t="str">
        <f t="shared" si="22"/>
        <v>GBPSB6L16Y_Quote</v>
      </c>
      <c r="I53" s="130">
        <v>0</v>
      </c>
      <c r="J53" s="67"/>
      <c r="L53" s="10" t="str">
        <f t="shared" si="19"/>
        <v>Sw</v>
      </c>
      <c r="M53" s="95" t="str">
        <f t="shared" si="20"/>
        <v>--</v>
      </c>
      <c r="N53" s="149" t="str">
        <f>IFERROR(_xll.qlRateHelperQuoteName(M53,Trigger),"--")</f>
        <v>--</v>
      </c>
      <c r="O53" s="99" t="str">
        <f>IFERROR(_xll.qlRateHelperQuoteValue($M53,Trigger),"--")</f>
        <v>--</v>
      </c>
      <c r="P53" s="98" t="b">
        <v>0</v>
      </c>
      <c r="Q53" s="95">
        <v>50</v>
      </c>
      <c r="R53" s="95">
        <v>1</v>
      </c>
      <c r="S53" s="100" t="str">
        <f>IFERROR(_xll.qlRateHelperEarliestDate(M53,Trigger),"--")</f>
        <v>--</v>
      </c>
      <c r="T53" s="100" t="str">
        <f>IFERROR(_xll.qlRateHelperPillarDate(M53,Trigger),"--")</f>
        <v>--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241" t="e">
        <v>#N/A</v>
      </c>
    </row>
    <row r="54" spans="1:29" ht="11.25" customHeight="1" x14ac:dyDescent="0.2">
      <c r="A54" s="62" t="s">
        <v>26</v>
      </c>
      <c r="B54" s="63" t="s">
        <v>106</v>
      </c>
      <c r="C54" s="64" t="s">
        <v>6</v>
      </c>
      <c r="D54" s="64" t="s">
        <v>147</v>
      </c>
      <c r="E54" s="64" t="s">
        <v>7</v>
      </c>
      <c r="F54" s="64" t="s">
        <v>148</v>
      </c>
      <c r="G54" s="64" t="str">
        <f t="shared" si="21"/>
        <v>GbpLibor6M</v>
      </c>
      <c r="H54" s="62" t="str">
        <f t="shared" si="22"/>
        <v>GBPSB6L17Y_Quote</v>
      </c>
      <c r="I54" s="130">
        <v>0</v>
      </c>
      <c r="J54" s="67"/>
      <c r="L54" s="10" t="str">
        <f t="shared" si="19"/>
        <v>Sw</v>
      </c>
      <c r="M54" s="95" t="str">
        <f t="shared" si="20"/>
        <v>--</v>
      </c>
      <c r="N54" s="149" t="str">
        <f>IFERROR(_xll.qlRateHelperQuoteName(M54,Trigger),"--")</f>
        <v>--</v>
      </c>
      <c r="O54" s="99" t="str">
        <f>IFERROR(_xll.qlRateHelperQuoteValue($M54,Trigger),"--")</f>
        <v>--</v>
      </c>
      <c r="P54" s="98" t="b">
        <v>0</v>
      </c>
      <c r="Q54" s="95">
        <v>50</v>
      </c>
      <c r="R54" s="95">
        <v>1</v>
      </c>
      <c r="S54" s="100" t="str">
        <f>IFERROR(_xll.qlRateHelperEarliestDate(M54,Trigger),"--")</f>
        <v>--</v>
      </c>
      <c r="T54" s="100" t="str">
        <f>IFERROR(_xll.qlRateHelperPillarDate(M54,Trigger),"--")</f>
        <v>--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241" t="e">
        <v>#N/A</v>
      </c>
    </row>
    <row r="55" spans="1:29" ht="11.25" customHeight="1" x14ac:dyDescent="0.2">
      <c r="A55" s="62" t="s">
        <v>26</v>
      </c>
      <c r="B55" s="63" t="s">
        <v>107</v>
      </c>
      <c r="C55" s="64" t="s">
        <v>6</v>
      </c>
      <c r="D55" s="64" t="s">
        <v>147</v>
      </c>
      <c r="E55" s="64" t="s">
        <v>7</v>
      </c>
      <c r="F55" s="64" t="s">
        <v>148</v>
      </c>
      <c r="G55" s="64" t="str">
        <f t="shared" si="21"/>
        <v>GbpLibor6M</v>
      </c>
      <c r="H55" s="62" t="str">
        <f t="shared" si="22"/>
        <v>GBPSB6L18Y_Quote</v>
      </c>
      <c r="I55" s="130">
        <v>0</v>
      </c>
      <c r="J55" s="67"/>
      <c r="L55" s="10" t="str">
        <f t="shared" si="19"/>
        <v>Sw</v>
      </c>
      <c r="M55" s="95" t="str">
        <f t="shared" si="20"/>
        <v>obj_002be#0001</v>
      </c>
      <c r="N55" s="149" t="str">
        <f>IFERROR(_xll.qlRateHelperQuoteName(M55,Trigger),"--")</f>
        <v>GBPSB6L25Y_Quote</v>
      </c>
      <c r="O55" s="99">
        <f>IFERROR(_xll.qlRateHelperQuoteValue($M55,Trigger),"--")</f>
        <v>2.1499999999999998E-2</v>
      </c>
      <c r="P55" s="98" t="b">
        <v>1</v>
      </c>
      <c r="Q55" s="95">
        <v>50</v>
      </c>
      <c r="R55" s="95">
        <v>1</v>
      </c>
      <c r="S55" s="100">
        <f>IFERROR(_xll.qlRateHelperEarliestDate(M55,Trigger),"--")</f>
        <v>42275</v>
      </c>
      <c r="T55" s="100">
        <f>IFERROR(_xll.qlRateHelperPillarDate(M55,Trigger),"--")</f>
        <v>51407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5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241" t="e">
        <v>#N/A</v>
      </c>
    </row>
    <row r="56" spans="1:29" ht="11.25" customHeight="1" x14ac:dyDescent="0.2">
      <c r="A56" s="62" t="s">
        <v>26</v>
      </c>
      <c r="B56" s="63" t="s">
        <v>108</v>
      </c>
      <c r="C56" s="64" t="s">
        <v>6</v>
      </c>
      <c r="D56" s="64" t="s">
        <v>147</v>
      </c>
      <c r="E56" s="64" t="s">
        <v>7</v>
      </c>
      <c r="F56" s="64" t="s">
        <v>148</v>
      </c>
      <c r="G56" s="64" t="str">
        <f t="shared" si="21"/>
        <v>GbpLibor6M</v>
      </c>
      <c r="H56" s="62" t="str">
        <f t="shared" si="22"/>
        <v>GBPSB6L19Y_Quote</v>
      </c>
      <c r="I56" s="130">
        <v>0</v>
      </c>
      <c r="J56" s="67"/>
      <c r="L56" s="10" t="str">
        <f t="shared" si="19"/>
        <v>Sw</v>
      </c>
      <c r="M56" s="95" t="str">
        <f t="shared" si="20"/>
        <v>--</v>
      </c>
      <c r="N56" s="149" t="str">
        <f>IFERROR(_xll.qlRateHelperQuoteName(M56,Trigger),"--")</f>
        <v>--</v>
      </c>
      <c r="O56" s="99" t="str">
        <f>IFERROR(_xll.qlRateHelperQuoteValue($M56,Trigger),"--")</f>
        <v>--</v>
      </c>
      <c r="P56" s="98" t="b">
        <v>0</v>
      </c>
      <c r="Q56" s="95">
        <v>50</v>
      </c>
      <c r="R56" s="95">
        <v>1</v>
      </c>
      <c r="S56" s="100" t="str">
        <f>IFERROR(_xll.qlRateHelperEarliestDate(M56,Trigger),"--")</f>
        <v>--</v>
      </c>
      <c r="T56" s="100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5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241" t="e">
        <v>#N/A</v>
      </c>
    </row>
    <row r="57" spans="1:29" ht="11.25" customHeight="1" x14ac:dyDescent="0.2">
      <c r="A57" s="62" t="s">
        <v>26</v>
      </c>
      <c r="B57" s="63" t="s">
        <v>63</v>
      </c>
      <c r="C57" s="64" t="s">
        <v>6</v>
      </c>
      <c r="D57" s="64" t="s">
        <v>147</v>
      </c>
      <c r="E57" s="64" t="s">
        <v>7</v>
      </c>
      <c r="F57" s="64" t="s">
        <v>148</v>
      </c>
      <c r="G57" s="64" t="str">
        <f t="shared" si="21"/>
        <v>GbpLibor6M</v>
      </c>
      <c r="H57" s="62" t="str">
        <f t="shared" si="22"/>
        <v>GBPSB6L20Y_Quote</v>
      </c>
      <c r="I57" s="130">
        <v>0</v>
      </c>
      <c r="J57" s="67" t="str">
        <f>_xll.qlSwapRateHelper2(,H57,0,B57,Calendar,D57,E57,F57,G57,I57,C57,Discounting,PillarDate,,Permanent,Trigger,ObjectOverwrite)</f>
        <v>obj_002c0#0001</v>
      </c>
      <c r="L57" s="10" t="str">
        <f t="shared" si="19"/>
        <v>Sw</v>
      </c>
      <c r="M57" s="95" t="str">
        <f t="shared" si="20"/>
        <v>--</v>
      </c>
      <c r="N57" s="149" t="str">
        <f>IFERROR(_xll.qlRateHelperQuoteName(M57,Trigger),"--")</f>
        <v>--</v>
      </c>
      <c r="O57" s="99" t="str">
        <f>IFERROR(_xll.qlRateHelperQuoteValue($M57,Trigger),"--")</f>
        <v>--</v>
      </c>
      <c r="P57" s="98" t="b">
        <v>0</v>
      </c>
      <c r="Q57" s="95">
        <v>50</v>
      </c>
      <c r="R57" s="95">
        <v>1</v>
      </c>
      <c r="S57" s="100" t="str">
        <f>IFERROR(_xll.qlRateHelperEarliestDate(M57,Trigger),"--")</f>
        <v>--</v>
      </c>
      <c r="T57" s="100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5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241" t="e">
        <v>#N/A</v>
      </c>
    </row>
    <row r="58" spans="1:29" ht="11.25" customHeight="1" x14ac:dyDescent="0.2">
      <c r="A58" s="62" t="s">
        <v>26</v>
      </c>
      <c r="B58" s="63" t="s">
        <v>109</v>
      </c>
      <c r="C58" s="64" t="s">
        <v>6</v>
      </c>
      <c r="D58" s="64" t="s">
        <v>147</v>
      </c>
      <c r="E58" s="64" t="s">
        <v>7</v>
      </c>
      <c r="F58" s="64" t="s">
        <v>148</v>
      </c>
      <c r="G58" s="64" t="str">
        <f t="shared" si="21"/>
        <v>GbpLibor6M</v>
      </c>
      <c r="H58" s="62" t="str">
        <f t="shared" si="22"/>
        <v>GBPSB6L21Y_Quote</v>
      </c>
      <c r="I58" s="130">
        <v>0</v>
      </c>
      <c r="J58" s="67"/>
      <c r="L58" s="10" t="str">
        <f t="shared" si="19"/>
        <v>Sw</v>
      </c>
      <c r="M58" s="95" t="str">
        <f t="shared" si="20"/>
        <v>--</v>
      </c>
      <c r="N58" s="149" t="str">
        <f>IFERROR(_xll.qlRateHelperQuoteName(M58,Trigger),"--")</f>
        <v>--</v>
      </c>
      <c r="O58" s="99" t="str">
        <f>IFERROR(_xll.qlRateHelperQuoteValue($M58,Trigger),"--")</f>
        <v>--</v>
      </c>
      <c r="P58" s="98" t="b">
        <v>0</v>
      </c>
      <c r="Q58" s="95">
        <v>50</v>
      </c>
      <c r="R58" s="95">
        <v>1</v>
      </c>
      <c r="S58" s="100" t="str">
        <f>IFERROR(_xll.qlRateHelperEarliestDate(M58,Trigger),"--")</f>
        <v>--</v>
      </c>
      <c r="T58" s="100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5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241" t="e">
        <v>#N/A</v>
      </c>
    </row>
    <row r="59" spans="1:29" ht="11.25" customHeight="1" x14ac:dyDescent="0.2">
      <c r="A59" s="62" t="s">
        <v>26</v>
      </c>
      <c r="B59" s="63" t="s">
        <v>110</v>
      </c>
      <c r="C59" s="64" t="s">
        <v>6</v>
      </c>
      <c r="D59" s="64" t="s">
        <v>147</v>
      </c>
      <c r="E59" s="64" t="s">
        <v>7</v>
      </c>
      <c r="F59" s="64" t="s">
        <v>148</v>
      </c>
      <c r="G59" s="64" t="str">
        <f t="shared" si="21"/>
        <v>GbpLibor6M</v>
      </c>
      <c r="H59" s="62" t="str">
        <f t="shared" si="22"/>
        <v>GBPSB6L22Y_Quote</v>
      </c>
      <c r="I59" s="130">
        <v>0</v>
      </c>
      <c r="J59" s="67"/>
      <c r="L59" s="10" t="str">
        <f t="shared" si="19"/>
        <v>Sw</v>
      </c>
      <c r="M59" s="95" t="str">
        <f t="shared" si="20"/>
        <v>--</v>
      </c>
      <c r="N59" s="149" t="str">
        <f>IFERROR(_xll.qlRateHelperQuoteName(M59,Trigger),"--")</f>
        <v>--</v>
      </c>
      <c r="O59" s="99" t="str">
        <f>IFERROR(_xll.qlRateHelperQuoteValue($M59,Trigger),"--")</f>
        <v>--</v>
      </c>
      <c r="P59" s="98" t="b">
        <v>0</v>
      </c>
      <c r="Q59" s="95">
        <v>50</v>
      </c>
      <c r="R59" s="95">
        <v>1</v>
      </c>
      <c r="S59" s="100" t="str">
        <f>IFERROR(_xll.qlRateHelperEarliestDate(M59,Trigger),"--")</f>
        <v>--</v>
      </c>
      <c r="T59" s="100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5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241" t="e">
        <v>#N/A</v>
      </c>
    </row>
    <row r="60" spans="1:29" ht="11.25" customHeight="1" x14ac:dyDescent="0.2">
      <c r="A60" s="62" t="s">
        <v>26</v>
      </c>
      <c r="B60" s="63" t="s">
        <v>111</v>
      </c>
      <c r="C60" s="64" t="s">
        <v>6</v>
      </c>
      <c r="D60" s="64" t="s">
        <v>147</v>
      </c>
      <c r="E60" s="64" t="s">
        <v>7</v>
      </c>
      <c r="F60" s="64" t="s">
        <v>148</v>
      </c>
      <c r="G60" s="64" t="str">
        <f t="shared" si="21"/>
        <v>GbpLibor6M</v>
      </c>
      <c r="H60" s="62" t="str">
        <f t="shared" si="22"/>
        <v>GBPSB6L23Y_Quote</v>
      </c>
      <c r="I60" s="130">
        <v>0</v>
      </c>
      <c r="J60" s="67"/>
      <c r="L60" s="10" t="str">
        <f t="shared" si="19"/>
        <v>Sw</v>
      </c>
      <c r="M60" s="95" t="str">
        <f t="shared" si="20"/>
        <v>obj_002a9#0001</v>
      </c>
      <c r="N60" s="149" t="str">
        <f>IFERROR(_xll.qlRateHelperQuoteName(M60,Trigger),"--")</f>
        <v>GBPSB6L30Y_Quote</v>
      </c>
      <c r="O60" s="99">
        <f>IFERROR(_xll.qlRateHelperQuoteValue($M60,Trigger),"--")</f>
        <v>2.145E-2</v>
      </c>
      <c r="P60" s="98" t="b">
        <v>1</v>
      </c>
      <c r="Q60" s="95">
        <v>50</v>
      </c>
      <c r="R60" s="95">
        <v>1</v>
      </c>
      <c r="S60" s="100">
        <f>IFERROR(_xll.qlRateHelperEarliestDate(M60,Trigger),"--")</f>
        <v>42275</v>
      </c>
      <c r="T60" s="100">
        <f>IFERROR(_xll.qlRateHelperPillarDate(M60,Trigger),"--")</f>
        <v>53233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5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241" t="e">
        <v>#N/A</v>
      </c>
    </row>
    <row r="61" spans="1:29" ht="11.25" customHeight="1" x14ac:dyDescent="0.2">
      <c r="A61" s="62" t="s">
        <v>26</v>
      </c>
      <c r="B61" s="63" t="s">
        <v>112</v>
      </c>
      <c r="C61" s="64" t="s">
        <v>6</v>
      </c>
      <c r="D61" s="64" t="s">
        <v>147</v>
      </c>
      <c r="E61" s="64" t="s">
        <v>7</v>
      </c>
      <c r="F61" s="64" t="s">
        <v>148</v>
      </c>
      <c r="G61" s="64" t="str">
        <f t="shared" si="21"/>
        <v>GbpLibor6M</v>
      </c>
      <c r="H61" s="62" t="str">
        <f t="shared" si="22"/>
        <v>GBPSB6L24Y_Quote</v>
      </c>
      <c r="I61" s="130">
        <v>0</v>
      </c>
      <c r="J61" s="67"/>
      <c r="L61" s="10" t="str">
        <f t="shared" si="19"/>
        <v>Sw</v>
      </c>
      <c r="M61" s="95" t="str">
        <f t="shared" si="20"/>
        <v>--</v>
      </c>
      <c r="N61" s="149" t="str">
        <f>IFERROR(_xll.qlRateHelperQuoteName(M61,Trigger),"--")</f>
        <v>--</v>
      </c>
      <c r="O61" s="99" t="str">
        <f>IFERROR(_xll.qlRateHelperQuoteValue($M61,Trigger),"--")</f>
        <v>--</v>
      </c>
      <c r="P61" s="98" t="b">
        <v>0</v>
      </c>
      <c r="Q61" s="95">
        <v>50</v>
      </c>
      <c r="R61" s="95">
        <v>1</v>
      </c>
      <c r="S61" s="100" t="str">
        <f>IFERROR(_xll.qlRateHelperEarliestDate(M61,Trigger),"--")</f>
        <v>--</v>
      </c>
      <c r="T61" s="100" t="str">
        <f>IFERROR(_xll.qlRateHelperPillarDate(M61,Trigger),"--")</f>
        <v>--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5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241" t="e">
        <v>#N/A</v>
      </c>
    </row>
    <row r="62" spans="1:29" ht="11.25" customHeight="1" x14ac:dyDescent="0.2">
      <c r="A62" s="62" t="s">
        <v>26</v>
      </c>
      <c r="B62" s="63" t="s">
        <v>64</v>
      </c>
      <c r="C62" s="64" t="s">
        <v>6</v>
      </c>
      <c r="D62" s="64" t="s">
        <v>147</v>
      </c>
      <c r="E62" s="64" t="s">
        <v>7</v>
      </c>
      <c r="F62" s="64" t="s">
        <v>148</v>
      </c>
      <c r="G62" s="64" t="str">
        <f t="shared" si="21"/>
        <v>GbpLibor6M</v>
      </c>
      <c r="H62" s="62" t="str">
        <f t="shared" si="22"/>
        <v>GBPSB6L25Y_Quote</v>
      </c>
      <c r="I62" s="130">
        <v>0</v>
      </c>
      <c r="J62" s="67" t="str">
        <f>_xll.qlSwapRateHelper2(,H62,0,B62,Calendar,D62,E62,F62,G62,I62,C62,Discounting,PillarDate,,Permanent,Trigger,ObjectOverwrite)</f>
        <v>obj_002be#0001</v>
      </c>
      <c r="L62" s="10" t="str">
        <f t="shared" si="19"/>
        <v>Sw</v>
      </c>
      <c r="M62" s="95" t="str">
        <f t="shared" si="20"/>
        <v>obj_002bb#0001</v>
      </c>
      <c r="N62" s="149" t="str">
        <f>IFERROR(_xll.qlRateHelperQuoteName(M62,Trigger),"--")</f>
        <v>GBPSB6L40Y_Quote</v>
      </c>
      <c r="O62" s="99">
        <f>IFERROR(_xll.qlRateHelperQuoteValue($M62,Trigger),"--")</f>
        <v>2.0959999999999999E-2</v>
      </c>
      <c r="P62" s="98" t="b">
        <v>1</v>
      </c>
      <c r="Q62" s="95">
        <v>50</v>
      </c>
      <c r="R62" s="95">
        <v>1</v>
      </c>
      <c r="S62" s="100">
        <f>IFERROR(_xll.qlRateHelperEarliestDate(M62,Trigger),"--")</f>
        <v>42275</v>
      </c>
      <c r="T62" s="100">
        <f>IFERROR(_xll.qlRateHelperPillarDate(M62,Trigger),"--")</f>
        <v>56885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5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241" t="e">
        <v>#N/A</v>
      </c>
    </row>
    <row r="63" spans="1:29" ht="11.25" customHeight="1" x14ac:dyDescent="0.2">
      <c r="A63" s="62" t="s">
        <v>26</v>
      </c>
      <c r="B63" s="63" t="s">
        <v>113</v>
      </c>
      <c r="C63" s="64" t="s">
        <v>6</v>
      </c>
      <c r="D63" s="64" t="s">
        <v>147</v>
      </c>
      <c r="E63" s="64" t="s">
        <v>7</v>
      </c>
      <c r="F63" s="64" t="s">
        <v>148</v>
      </c>
      <c r="G63" s="64" t="str">
        <f t="shared" si="21"/>
        <v>GbpLibor6M</v>
      </c>
      <c r="H63" s="62" t="str">
        <f t="shared" si="22"/>
        <v>GBPSB6L26Y_Quote</v>
      </c>
      <c r="I63" s="130">
        <v>0</v>
      </c>
      <c r="J63" s="67"/>
      <c r="L63" s="10" t="str">
        <f t="shared" si="19"/>
        <v>Sw</v>
      </c>
      <c r="M63" s="95" t="str">
        <f t="shared" si="20"/>
        <v>obj_002ac#0001</v>
      </c>
      <c r="N63" s="149" t="str">
        <f>IFERROR(_xll.qlRateHelperQuoteName(M63,Trigger),"--")</f>
        <v>GBPSB6L50Y_Quote</v>
      </c>
      <c r="O63" s="99">
        <f>IFERROR(_xll.qlRateHelperQuoteValue($M63,Trigger),"--")</f>
        <v>2.051E-2</v>
      </c>
      <c r="P63" s="98" t="b">
        <v>1</v>
      </c>
      <c r="Q63" s="95">
        <v>50</v>
      </c>
      <c r="R63" s="95">
        <v>1</v>
      </c>
      <c r="S63" s="100">
        <f>IFERROR(_xll.qlRateHelperEarliestDate(M63,Trigger),"--")</f>
        <v>42275</v>
      </c>
      <c r="T63" s="100">
        <f>IFERROR(_xll.qlRateHelperPillarDate(M63,Trigger),"--")</f>
        <v>60538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5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241" t="e">
        <v>#N/A</v>
      </c>
    </row>
    <row r="64" spans="1:29" ht="11.25" customHeight="1" x14ac:dyDescent="0.2">
      <c r="A64" s="62" t="s">
        <v>26</v>
      </c>
      <c r="B64" s="63" t="s">
        <v>65</v>
      </c>
      <c r="C64" s="64" t="s">
        <v>6</v>
      </c>
      <c r="D64" s="64" t="s">
        <v>147</v>
      </c>
      <c r="E64" s="64" t="s">
        <v>7</v>
      </c>
      <c r="F64" s="64" t="s">
        <v>148</v>
      </c>
      <c r="G64" s="64" t="str">
        <f t="shared" si="21"/>
        <v>GbpLibor6M</v>
      </c>
      <c r="H64" s="62" t="str">
        <f t="shared" si="22"/>
        <v>GBPSB6L27Y_Quote</v>
      </c>
      <c r="I64" s="130">
        <v>0</v>
      </c>
      <c r="J64" s="67"/>
      <c r="L64" s="11" t="str">
        <f t="shared" si="19"/>
        <v>Sw</v>
      </c>
      <c r="M64" s="96" t="str">
        <f t="shared" si="20"/>
        <v>obj_002a0#0001</v>
      </c>
      <c r="N64" s="150" t="str">
        <f>IFERROR(_xll.qlRateHelperQuoteName(M64,Trigger),"--")</f>
        <v>GBPSB6L60Y_Quote</v>
      </c>
      <c r="O64" s="102">
        <f>IFERROR(_xll.qlRateHelperQuoteValue($M64,Trigger),"--")</f>
        <v>2.0449999999999999E-2</v>
      </c>
      <c r="P64" s="101" t="b">
        <v>1</v>
      </c>
      <c r="Q64" s="96">
        <v>50</v>
      </c>
      <c r="R64" s="96">
        <v>1</v>
      </c>
      <c r="S64" s="103">
        <f>IFERROR(_xll.qlRateHelperEarliestDate(M64,Trigger),"--")</f>
        <v>42275</v>
      </c>
      <c r="T64" s="103">
        <f>IFERROR(_xll.qlRateHelperPillarDate(M64,Trigger),"--")</f>
        <v>64192</v>
      </c>
      <c r="V64" s="6" t="str">
        <f t="shared" si="3"/>
        <v/>
      </c>
      <c r="W64" s="6" t="e">
        <v>#N/A</v>
      </c>
      <c r="X64" s="6" t="str">
        <f>IFERROR(_xll.qlRateHelperQuoteName(W64,Trigger),"")</f>
        <v/>
      </c>
      <c r="Y64" s="80" t="str">
        <f>IFERROR(_xll.qlRateHelperRate(W64,Trigger),"")</f>
        <v/>
      </c>
      <c r="Z64" s="106" t="str">
        <f>IF(ISERROR(_xll.qlSwapRateHelperSpread($W64)),IF(ISERROR(_xll.qlFuturesRateHelperConvexityAdjustment($W64)),"",_xll.qlFuturesRateHelperConvexityAdjustment($W64)),_xll.qlSwapRateHelperSpread($W64))</f>
        <v/>
      </c>
      <c r="AA64" s="12" t="str">
        <f>IFERROR(_xll.qlRateHelperEarliestDate(W64,Trigger),"")</f>
        <v/>
      </c>
      <c r="AB64" s="12" t="str">
        <f>IFERROR(_xll.qlRateHelperPillarDate(W64,Trigger),"")</f>
        <v/>
      </c>
      <c r="AC64" s="242" t="e">
        <v>#N/A</v>
      </c>
    </row>
    <row r="65" spans="1:10" ht="11.25" customHeight="1" x14ac:dyDescent="0.2">
      <c r="A65" s="62" t="s">
        <v>26</v>
      </c>
      <c r="B65" s="63" t="s">
        <v>114</v>
      </c>
      <c r="C65" s="64" t="s">
        <v>6</v>
      </c>
      <c r="D65" s="64" t="s">
        <v>147</v>
      </c>
      <c r="E65" s="64" t="s">
        <v>7</v>
      </c>
      <c r="F65" s="64" t="s">
        <v>148</v>
      </c>
      <c r="G65" s="64" t="str">
        <f t="shared" si="21"/>
        <v>GbpLibor6M</v>
      </c>
      <c r="H65" s="62" t="str">
        <f t="shared" si="22"/>
        <v>GBPSB6L28Y_Quote</v>
      </c>
      <c r="I65" s="130">
        <v>0</v>
      </c>
      <c r="J65" s="67"/>
    </row>
    <row r="66" spans="1:10" ht="11.25" customHeight="1" x14ac:dyDescent="0.2">
      <c r="A66" s="62" t="s">
        <v>26</v>
      </c>
      <c r="B66" s="63" t="s">
        <v>115</v>
      </c>
      <c r="C66" s="64" t="s">
        <v>6</v>
      </c>
      <c r="D66" s="64" t="s">
        <v>147</v>
      </c>
      <c r="E66" s="64" t="s">
        <v>7</v>
      </c>
      <c r="F66" s="64" t="s">
        <v>148</v>
      </c>
      <c r="G66" s="64" t="str">
        <f t="shared" si="21"/>
        <v>GbpLibor6M</v>
      </c>
      <c r="H66" s="62" t="str">
        <f t="shared" si="22"/>
        <v>GBPSB6L29Y_Quote</v>
      </c>
      <c r="I66" s="130">
        <v>0</v>
      </c>
      <c r="J66" s="67"/>
    </row>
    <row r="67" spans="1:10" ht="11.25" customHeight="1" x14ac:dyDescent="0.2">
      <c r="A67" s="62" t="s">
        <v>26</v>
      </c>
      <c r="B67" s="63" t="s">
        <v>66</v>
      </c>
      <c r="C67" s="64" t="s">
        <v>6</v>
      </c>
      <c r="D67" s="64" t="s">
        <v>147</v>
      </c>
      <c r="E67" s="64" t="s">
        <v>7</v>
      </c>
      <c r="F67" s="64" t="s">
        <v>148</v>
      </c>
      <c r="G67" s="64" t="str">
        <f t="shared" si="21"/>
        <v>GbpLibor6M</v>
      </c>
      <c r="H67" s="62" t="str">
        <f t="shared" si="22"/>
        <v>GBPSB6L30Y_Quote</v>
      </c>
      <c r="I67" s="130">
        <v>0</v>
      </c>
      <c r="J67" s="67" t="str">
        <f>_xll.qlSwapRateHelper2(,H67,0,B67,Calendar,D67,E67,F67,G67,I67,C67,Discounting,PillarDate,,Permanent,Trigger,ObjectOverwrite)</f>
        <v>obj_002a9#0001</v>
      </c>
    </row>
    <row r="68" spans="1:10" ht="11.25" customHeight="1" x14ac:dyDescent="0.2">
      <c r="A68" s="62" t="s">
        <v>26</v>
      </c>
      <c r="B68" s="63" t="s">
        <v>67</v>
      </c>
      <c r="C68" s="64" t="s">
        <v>6</v>
      </c>
      <c r="D68" s="64" t="s">
        <v>147</v>
      </c>
      <c r="E68" s="64" t="s">
        <v>7</v>
      </c>
      <c r="F68" s="64" t="s">
        <v>148</v>
      </c>
      <c r="G68" s="64" t="str">
        <f t="shared" si="21"/>
        <v>GbpLibor6M</v>
      </c>
      <c r="H68" s="62" t="str">
        <f t="shared" si="22"/>
        <v>GBPSB6L35Y_Quote</v>
      </c>
      <c r="I68" s="130">
        <v>0</v>
      </c>
      <c r="J68" s="67"/>
    </row>
    <row r="69" spans="1:10" ht="11.25" customHeight="1" x14ac:dyDescent="0.2">
      <c r="A69" s="62" t="s">
        <v>26</v>
      </c>
      <c r="B69" s="63" t="s">
        <v>68</v>
      </c>
      <c r="C69" s="64" t="s">
        <v>6</v>
      </c>
      <c r="D69" s="64" t="s">
        <v>147</v>
      </c>
      <c r="E69" s="64" t="s">
        <v>7</v>
      </c>
      <c r="F69" s="64" t="s">
        <v>148</v>
      </c>
      <c r="G69" s="64" t="str">
        <f t="shared" si="21"/>
        <v>GbpLibor6M</v>
      </c>
      <c r="H69" s="62" t="str">
        <f t="shared" si="22"/>
        <v>GBPSB6L40Y_Quote</v>
      </c>
      <c r="I69" s="130">
        <v>0</v>
      </c>
      <c r="J69" s="67" t="str">
        <f>_xll.qlSwapRateHelper2(,H69,0,B69,Calendar,D69,E69,F69,G69,I69,C69,Discounting,PillarDate,,Permanent,Trigger,ObjectOverwrite)</f>
        <v>obj_002bb#0001</v>
      </c>
    </row>
    <row r="70" spans="1:10" ht="11.25" customHeight="1" x14ac:dyDescent="0.2">
      <c r="A70" s="62" t="s">
        <v>26</v>
      </c>
      <c r="B70" s="63" t="s">
        <v>69</v>
      </c>
      <c r="C70" s="64" t="s">
        <v>6</v>
      </c>
      <c r="D70" s="64" t="s">
        <v>147</v>
      </c>
      <c r="E70" s="64" t="s">
        <v>7</v>
      </c>
      <c r="F70" s="64" t="s">
        <v>148</v>
      </c>
      <c r="G70" s="64" t="str">
        <f t="shared" si="21"/>
        <v>GbpLibor6M</v>
      </c>
      <c r="H70" s="62" t="str">
        <f t="shared" si="22"/>
        <v>GBPSB6L50Y_Quote</v>
      </c>
      <c r="I70" s="130">
        <v>0</v>
      </c>
      <c r="J70" s="67" t="str">
        <f>_xll.qlSwapRateHelper2(,H70,0,B70,Calendar,D70,E70,F70,G70,I70,C70,Discounting,PillarDate,,Permanent,Trigger,ObjectOverwrite)</f>
        <v>obj_002ac#0001</v>
      </c>
    </row>
    <row r="71" spans="1:10" ht="11.25" customHeight="1" x14ac:dyDescent="0.2">
      <c r="A71" s="1" t="s">
        <v>26</v>
      </c>
      <c r="B71" s="8" t="s">
        <v>116</v>
      </c>
      <c r="C71" s="7" t="s">
        <v>6</v>
      </c>
      <c r="D71" s="7" t="s">
        <v>147</v>
      </c>
      <c r="E71" s="7" t="s">
        <v>7</v>
      </c>
      <c r="F71" s="7" t="s">
        <v>148</v>
      </c>
      <c r="G71" s="7" t="str">
        <f t="shared" si="21"/>
        <v>GbpLibor6M</v>
      </c>
      <c r="H71" s="1" t="str">
        <f t="shared" si="22"/>
        <v>GBPSB6L60Y_Quote</v>
      </c>
      <c r="I71" s="131">
        <v>0</v>
      </c>
      <c r="J71" s="3" t="str">
        <f>_xll.qlSwapRateHelper2(,H71,0,B71,Calendar,D71,E71,F71,G71,I71,C71,Discounting,PillarDate,,Permanent,Trigger,ObjectOverwrite)</f>
        <v>obj_002a0#0001</v>
      </c>
    </row>
    <row r="72" spans="1:10" ht="11.25" customHeight="1" x14ac:dyDescent="0.2"/>
    <row r="73" spans="1:10" ht="11.25" customHeight="1" x14ac:dyDescent="0.2"/>
    <row r="74" spans="1:10" ht="11.25" customHeight="1" x14ac:dyDescent="0.2"/>
    <row r="75" spans="1:10" ht="11.25" customHeight="1" x14ac:dyDescent="0.2"/>
    <row r="76" spans="1:10" ht="11.25" customHeight="1" x14ac:dyDescent="0.2"/>
    <row r="77" spans="1:10" ht="11.25" customHeight="1" x14ac:dyDescent="0.2"/>
    <row r="78" spans="1:10" ht="11.25" customHeight="1" x14ac:dyDescent="0.2"/>
    <row r="79" spans="1:10" ht="11.25" customHeight="1" x14ac:dyDescent="0.2"/>
    <row r="80" spans="1:10" ht="11.25" customHeight="1" x14ac:dyDescent="0.2"/>
    <row r="90" spans="11:11" x14ac:dyDescent="0.2">
      <c r="K90" s="49" t="s">
        <v>36</v>
      </c>
    </row>
  </sheetData>
  <dataValidations count="4">
    <dataValidation type="list" allowBlank="1" showInputMessage="1" showErrorMessage="1" sqref="F35:F7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5:E71">
      <formula1>"Following,Modified Following,Preceding,Modified Preceding,Unadjusted,Half-Month Modified Following"</formula1>
    </dataValidation>
    <dataValidation type="list" allowBlank="1" showInputMessage="1" showErrorMessage="1" sqref="D35:D71">
      <formula1>"Annual,Semiannual,EveryFourthMonth,Quarterly,Bimonthly,Monthly,Biweekly,Weekly,Daily,Once,NoFrequency"</formula1>
    </dataValidation>
    <dataValidation type="list" allowBlank="1" showInputMessage="1" showErrorMessage="1" sqref="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3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140625" style="53" hidden="1" customWidth="1" outlineLevel="1"/>
    <col min="4" max="4" width="11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1.42578125" style="55" hidden="1" customWidth="1" outlineLevel="1"/>
    <col min="9" max="9" width="17.285156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2</v>
      </c>
      <c r="H1" s="53" t="str">
        <f>"_SYNTH"&amp;Tenor</f>
        <v>_SYNTH1M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GBP1M</v>
      </c>
      <c r="W1" s="69"/>
      <c r="X1" s="69"/>
      <c r="Y1" s="72"/>
      <c r="Z1" s="72"/>
      <c r="AA1" s="69"/>
      <c r="AB1" s="69"/>
      <c r="AC1" s="76" t="s">
        <v>141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131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40">
        <f t="array" ref="AC2:AC55">_xll.qlPiecewiseYieldCurveData(YieldCurve_1M,Trigger)</f>
        <v>1</v>
      </c>
      <c r="AD2" s="81"/>
      <c r="AF2" s="219" t="s">
        <v>87</v>
      </c>
      <c r="AG2" s="220"/>
      <c r="AH2" s="220"/>
      <c r="AI2" s="220"/>
      <c r="AJ2" s="221"/>
    </row>
    <row r="3" spans="1:38" ht="11.25" customHeight="1" x14ac:dyDescent="0.2">
      <c r="A3" s="111" t="s">
        <v>27</v>
      </c>
      <c r="B3" s="112" t="s">
        <v>74</v>
      </c>
      <c r="C3" s="113" t="s">
        <v>74</v>
      </c>
      <c r="D3" s="132"/>
      <c r="E3" s="132"/>
      <c r="F3" s="132"/>
      <c r="G3" s="114" t="str">
        <f>_xll.qlLibor(,Currency,C3,,Permanent,Trigger,ObjectOverwrite)</f>
        <v>obj_0029f#0001</v>
      </c>
      <c r="H3" s="122" t="str">
        <f t="shared" ref="H3:H7" si="0">Currency&amp;$B3&amp;"D"&amp;$H$1&amp;QuoteSuffix</f>
        <v>GBPSND_SYNTH1M_Quote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163" t="str">
        <f>IFERROR(INDEX($L$3:$L$55,MATCH(X3,$N$3:$N$55,0),1),"")</f>
        <v>Dp</v>
      </c>
      <c r="W3" s="163" t="str">
        <f t="array" ref="W3:W55">_xll.qlRateHelperSelection(_xll.ohFilter(RateHelpers,IncludeFlag),_xll.ohFilter(Priority,IncludeFlag),$AJ$3,$AJ$4,$AJ$5,$AJ$6,_xll.ohFilter(MinDistance,IncludeFlag),Trigger)</f>
        <v>obj_002d3</v>
      </c>
      <c r="X3" s="163" t="str">
        <f>IFERROR(_xll.qlRateHelperQuoteName(W3,Trigger),"")</f>
        <v>GBP1MD_SYNTH1M_Quote</v>
      </c>
      <c r="Y3" s="197">
        <f>IFERROR(_xll.qlRateHelperRate(W3,Trigger),"")</f>
        <v>5.0939999999999996E-3</v>
      </c>
      <c r="Z3" s="198" t="str">
        <f>IF(ISERROR(_xll.qlSwapRateHelperSpread($W3)),IF(ISERROR(_xll.qlFuturesRateHelperConvexityAdjustment($W3)),"",_xll.qlFuturesRateHelperConvexityAdjustment($W3)),_xll.qlSwapRateHelperSpread($W3))</f>
        <v/>
      </c>
      <c r="AA3" s="164">
        <f>IFERROR(_xll.qlRateHelperEarliestDate(W3,Trigger),"")</f>
        <v>42275</v>
      </c>
      <c r="AB3" s="164">
        <f>IFERROR(_xll.qlRateHelperPillarDate(W3,Trigger),"")</f>
        <v>42305</v>
      </c>
      <c r="AC3" s="257">
        <v>0.99958149029220156</v>
      </c>
      <c r="AD3" s="81"/>
      <c r="AF3" s="217" t="s">
        <v>88</v>
      </c>
      <c r="AJ3" s="218">
        <v>0</v>
      </c>
    </row>
    <row r="4" spans="1:38" ht="11.25" customHeight="1" x14ac:dyDescent="0.2">
      <c r="A4" s="56" t="s">
        <v>27</v>
      </c>
      <c r="B4" s="57" t="s">
        <v>93</v>
      </c>
      <c r="C4" s="59" t="s">
        <v>38</v>
      </c>
      <c r="D4" s="132"/>
      <c r="E4" s="132"/>
      <c r="F4" s="132"/>
      <c r="G4" s="58" t="str">
        <f>PROPER(Currency)&amp;FamilyName&amp;B4</f>
        <v>GbpLiborSW</v>
      </c>
      <c r="H4" s="159" t="str">
        <f t="shared" si="0"/>
        <v>GBPSWD_SYNTH1M_Quote</v>
      </c>
      <c r="I4" s="132"/>
      <c r="J4" s="61"/>
      <c r="K4" s="51"/>
      <c r="L4" s="10" t="str">
        <f t="shared" ref="L4:L7" si="1">A4</f>
        <v>Dp</v>
      </c>
      <c r="M4" s="95" t="str">
        <f t="shared" ref="M4:M7" si="2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163" t="str">
        <f t="shared" ref="V4:V55" si="3">IFERROR(INDEX($L$3:$L$55,MATCH(X4,$N$3:$N$55,0),1),"")</f>
        <v>Sw</v>
      </c>
      <c r="W4" s="163" t="str">
        <v>obj_002e0</v>
      </c>
      <c r="X4" s="163" t="str">
        <f>IFERROR(_xll.qlRateHelperQuoteName(W4,Trigger),"")</f>
        <v>GBP2X1S_Quote</v>
      </c>
      <c r="Y4" s="197">
        <f>IFERROR(_xll.qlRateHelperRate(W4,Trigger),"")</f>
        <v>5.1749999999999999E-3</v>
      </c>
      <c r="Z4" s="198">
        <f>IF(ISERROR(_xll.qlSwapRateHelperSpread($W4)),IF(ISERROR(_xll.qlFuturesRateHelperConvexityAdjustment($W4)),"",_xll.qlFuturesRateHelperConvexityAdjustment($W4)),_xll.qlSwapRateHelperSpread($W4))</f>
        <v>0</v>
      </c>
      <c r="AA4" s="164">
        <f>IFERROR(_xll.qlRateHelperEarliestDate(W4,Trigger),"")</f>
        <v>42275</v>
      </c>
      <c r="AB4" s="164">
        <f>IFERROR(_xll.qlRateHelperPillarDate(W4,Trigger),"")</f>
        <v>42338</v>
      </c>
      <c r="AC4" s="257">
        <v>0.99910755572364651</v>
      </c>
      <c r="AD4" s="81"/>
      <c r="AF4" s="108" t="s">
        <v>89</v>
      </c>
      <c r="AJ4" s="109">
        <v>0</v>
      </c>
    </row>
    <row r="5" spans="1:38" ht="11.25" customHeight="1" x14ac:dyDescent="0.2">
      <c r="A5" s="176" t="s">
        <v>27</v>
      </c>
      <c r="B5" s="177" t="s">
        <v>39</v>
      </c>
      <c r="C5" s="178" t="str">
        <f>B5</f>
        <v>2W</v>
      </c>
      <c r="D5" s="179"/>
      <c r="E5" s="179"/>
      <c r="F5" s="179"/>
      <c r="G5" s="180" t="str">
        <f>_xll.qlLibor(,Currency,C5,,Permanent,Trigger,ObjectOverwrite)</f>
        <v>obj_002d4#0001</v>
      </c>
      <c r="H5" s="181" t="str">
        <f t="shared" si="0"/>
        <v>GBP2WD_SYNTH1M_Quote</v>
      </c>
      <c r="I5" s="179"/>
      <c r="J5" s="182"/>
      <c r="K5" s="51"/>
      <c r="L5" s="10" t="str">
        <f t="shared" si="1"/>
        <v>Dp</v>
      </c>
      <c r="M5" s="95" t="str">
        <f t="shared" si="2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163" t="str">
        <f t="shared" si="3"/>
        <v>Sw</v>
      </c>
      <c r="W5" s="163" t="str">
        <v>obj_002df</v>
      </c>
      <c r="X5" s="163" t="str">
        <f>IFERROR(_xll.qlRateHelperQuoteName(W5,Trigger),"")</f>
        <v>GBP3X1S_Quote</v>
      </c>
      <c r="Y5" s="197">
        <f>IFERROR(_xll.qlRateHelperRate(W5,Trigger),"")</f>
        <v>5.2125000000000001E-3</v>
      </c>
      <c r="Z5" s="198">
        <f>IF(ISERROR(_xll.qlSwapRateHelperSpread($W5)),IF(ISERROR(_xll.qlFuturesRateHelperConvexityAdjustment($W5)),"",_xll.qlFuturesRateHelperConvexityAdjustment($W5)),_xll.qlSwapRateHelperSpread($W5))</f>
        <v>0</v>
      </c>
      <c r="AA5" s="164">
        <f>IFERROR(_xll.qlRateHelperEarliestDate(W5,Trigger),"")</f>
        <v>42275</v>
      </c>
      <c r="AB5" s="164">
        <f>IFERROR(_xll.qlRateHelperPillarDate(W5,Trigger),"")</f>
        <v>42367</v>
      </c>
      <c r="AC5" s="257">
        <v>0.99868782524401944</v>
      </c>
      <c r="AD5" s="81"/>
      <c r="AE5" s="81"/>
      <c r="AF5" s="108" t="s">
        <v>90</v>
      </c>
      <c r="AJ5" s="109">
        <v>0</v>
      </c>
    </row>
    <row r="6" spans="1:38" ht="11.25" customHeight="1" x14ac:dyDescent="0.2">
      <c r="A6" s="183" t="s">
        <v>27</v>
      </c>
      <c r="B6" s="184" t="s">
        <v>40</v>
      </c>
      <c r="C6" s="185" t="str">
        <f t="shared" ref="C6:C7" si="4">B6</f>
        <v>3W</v>
      </c>
      <c r="D6" s="186"/>
      <c r="E6" s="186"/>
      <c r="F6" s="186"/>
      <c r="G6" s="187" t="str">
        <f>_xll.qlLibor(,Currency,C6,,Permanent,Trigger,ObjectOverwrite)</f>
        <v>obj_002dd#0001</v>
      </c>
      <c r="H6" s="188" t="str">
        <f t="shared" si="0"/>
        <v>GBP3WD_SYNTH1M_Quote</v>
      </c>
      <c r="I6" s="186"/>
      <c r="J6" s="189"/>
      <c r="K6" s="51"/>
      <c r="L6" s="10" t="str">
        <f t="shared" si="1"/>
        <v>Dp</v>
      </c>
      <c r="M6" s="95" t="str">
        <f t="shared" si="2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163" t="str">
        <f t="shared" si="3"/>
        <v>Sw</v>
      </c>
      <c r="W6" s="163" t="str">
        <v>obj_002e1</v>
      </c>
      <c r="X6" s="163" t="str">
        <f>IFERROR(_xll.qlRateHelperQuoteName(W6,Trigger),"")</f>
        <v>GBP4X1S_Quote</v>
      </c>
      <c r="Y6" s="197">
        <f>IFERROR(_xll.qlRateHelperRate(W6,Trigger),"")</f>
        <v>5.2374999999999991E-3</v>
      </c>
      <c r="Z6" s="198">
        <f>IF(ISERROR(_xll.qlSwapRateHelperSpread($W6)),IF(ISERROR(_xll.qlFuturesRateHelperConvexityAdjustment($W6)),"",_xll.qlFuturesRateHelperConvexityAdjustment($W6)),_xll.qlSwapRateHelperSpread($W6))</f>
        <v>0</v>
      </c>
      <c r="AA6" s="164">
        <f>IFERROR(_xll.qlRateHelperEarliestDate(W6,Trigger),"")</f>
        <v>42275</v>
      </c>
      <c r="AB6" s="164">
        <f>IFERROR(_xll.qlRateHelperPillarDate(W6,Trigger),"")</f>
        <v>42397</v>
      </c>
      <c r="AC6" s="257">
        <v>0.99825230432594902</v>
      </c>
      <c r="AD6" s="81"/>
      <c r="AF6" s="108" t="s">
        <v>91</v>
      </c>
      <c r="AJ6" s="110" t="s">
        <v>92</v>
      </c>
    </row>
    <row r="7" spans="1:38" ht="11.25" customHeight="1" x14ac:dyDescent="0.2">
      <c r="A7" s="1" t="s">
        <v>27</v>
      </c>
      <c r="B7" s="8" t="s">
        <v>2</v>
      </c>
      <c r="C7" s="9" t="str">
        <f t="shared" si="4"/>
        <v>1M</v>
      </c>
      <c r="D7" s="127"/>
      <c r="E7" s="127"/>
      <c r="F7" s="127"/>
      <c r="G7" s="7" t="str">
        <f>PROPER(Currency)&amp;FamilyName&amp;B7</f>
        <v>GbpLibor1M</v>
      </c>
      <c r="H7" s="124" t="str">
        <f t="shared" si="0"/>
        <v>GBP1MD_SYNTH1M_Quote</v>
      </c>
      <c r="I7" s="127"/>
      <c r="J7" s="3" t="str">
        <f>_xll.qlDepositRateHelper(,H7,G7,Permanent,Trigger,ObjectOverwrite)</f>
        <v>obj_002d3#0001</v>
      </c>
      <c r="K7" s="51"/>
      <c r="L7" s="10" t="str">
        <f t="shared" si="1"/>
        <v>Dp</v>
      </c>
      <c r="M7" s="95" t="str">
        <f t="shared" si="2"/>
        <v>obj_002d3#0001</v>
      </c>
      <c r="N7" s="149" t="str">
        <f>IFERROR(_xll.qlRateHelperQuoteName(M7,Trigger),"--")</f>
        <v>GBP1MD_SYNTH1M_Quote</v>
      </c>
      <c r="O7" s="99">
        <f>IFERROR(_xll.qlRateHelperQuoteValue($M7,Trigger),"--")</f>
        <v>5.0939999999999996E-3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42275</v>
      </c>
      <c r="T7" s="100">
        <f>IFERROR(_xll.qlRateHelperPillarDate(M7,Trigger),"--")</f>
        <v>42305</v>
      </c>
      <c r="V7" s="163" t="str">
        <f t="shared" si="3"/>
        <v>Sw</v>
      </c>
      <c r="W7" s="163" t="str">
        <v>obj_002e5</v>
      </c>
      <c r="X7" s="163" t="str">
        <f>IFERROR(_xll.qlRateHelperQuoteName(W7,Trigger),"")</f>
        <v>GBP5X1S_Quote</v>
      </c>
      <c r="Y7" s="197">
        <f>IFERROR(_xll.qlRateHelperRate(W7,Trigger),"")</f>
        <v>5.2624999999999998E-3</v>
      </c>
      <c r="Z7" s="198">
        <f>IF(ISERROR(_xll.qlSwapRateHelperSpread($W7)),IF(ISERROR(_xll.qlFuturesRateHelperConvexityAdjustment($W7)),"",_xll.qlFuturesRateHelperConvexityAdjustment($W7)),_xll.qlSwapRateHelperSpread($W7))</f>
        <v>0</v>
      </c>
      <c r="AA7" s="164">
        <f>IFERROR(_xll.qlRateHelperEarliestDate(W7,Trigger),"")</f>
        <v>42275</v>
      </c>
      <c r="AB7" s="164">
        <f>IFERROR(_xll.qlRateHelperPillarDate(W7,Trigger),"")</f>
        <v>42429</v>
      </c>
      <c r="AC7" s="257">
        <v>0.99778439440140598</v>
      </c>
      <c r="AD7" s="81"/>
    </row>
    <row r="8" spans="1:38" ht="11.25" customHeight="1" x14ac:dyDescent="0.2">
      <c r="B8" s="49"/>
      <c r="C8" s="49"/>
      <c r="D8" s="49"/>
      <c r="E8" s="49"/>
      <c r="G8" s="49" t="s">
        <v>134</v>
      </c>
      <c r="H8" s="49" t="str">
        <f>G8&amp;SUBSTITUTE(Tenor,"M","S")</f>
        <v>X1S</v>
      </c>
      <c r="K8" s="51"/>
      <c r="L8" s="71" t="str">
        <f>A10</f>
        <v>Sw</v>
      </c>
      <c r="M8" s="134" t="str">
        <f>IF(ISBLANK(J10),"--",J10)</f>
        <v>obj_002e0#0001</v>
      </c>
      <c r="N8" s="148" t="str">
        <f>IFERROR(_xll.qlRateHelperQuoteName(M8,Trigger),"--")</f>
        <v>GBP2X1S_Quote</v>
      </c>
      <c r="O8" s="136">
        <f>IFERROR(_xll.qlRateHelperQuoteValue($M8,Trigger),"--")</f>
        <v>5.1749999999999999E-3</v>
      </c>
      <c r="P8" s="140" t="b">
        <v>1</v>
      </c>
      <c r="Q8" s="134">
        <v>40</v>
      </c>
      <c r="R8" s="134">
        <v>1</v>
      </c>
      <c r="S8" s="137">
        <f>IFERROR(_xll.qlRateHelperEarliestDate(M8,Trigger),"--")</f>
        <v>42275</v>
      </c>
      <c r="T8" s="137">
        <f>IFERROR(_xll.qlRateHelperPillarDate(M8,Trigger),"--")</f>
        <v>42338</v>
      </c>
      <c r="V8" s="163" t="str">
        <f t="shared" si="3"/>
        <v>Sw</v>
      </c>
      <c r="W8" s="163" t="str">
        <v>obj_002e3</v>
      </c>
      <c r="X8" s="163" t="str">
        <f>IFERROR(_xll.qlRateHelperQuoteName(W8,Trigger),"")</f>
        <v>GBP6X1S_Quote</v>
      </c>
      <c r="Y8" s="197">
        <f>IFERROR(_xll.qlRateHelperRate(W8,Trigger),"")</f>
        <v>5.2874999999999997E-3</v>
      </c>
      <c r="Z8" s="198">
        <f>IF(ISERROR(_xll.qlSwapRateHelperSpread($W8)),IF(ISERROR(_xll.qlFuturesRateHelperConvexityAdjustment($W8)),"",_xll.qlFuturesRateHelperConvexityAdjustment($W8)),_xll.qlSwapRateHelperSpread($W8))</f>
        <v>0</v>
      </c>
      <c r="AA8" s="164">
        <f>IFERROR(_xll.qlRateHelperEarliestDate(W8,Trigger),"")</f>
        <v>42275</v>
      </c>
      <c r="AB8" s="164">
        <f>IFERROR(_xll.qlRateHelperPillarDate(W8,Trigger),"")</f>
        <v>42458</v>
      </c>
      <c r="AC8" s="257">
        <v>0.99735578357684573</v>
      </c>
      <c r="AD8" s="81"/>
    </row>
    <row r="9" spans="1:38" ht="11.25" customHeight="1" x14ac:dyDescent="0.2">
      <c r="A9" s="68" t="s">
        <v>9</v>
      </c>
      <c r="B9" s="68" t="s">
        <v>30</v>
      </c>
      <c r="C9" s="68" t="s">
        <v>133</v>
      </c>
      <c r="D9" s="68" t="s">
        <v>5</v>
      </c>
      <c r="E9" s="68" t="s">
        <v>34</v>
      </c>
      <c r="F9" s="68" t="s">
        <v>118</v>
      </c>
      <c r="G9" s="68" t="s">
        <v>4</v>
      </c>
      <c r="H9" s="68" t="s">
        <v>1</v>
      </c>
      <c r="I9" s="68" t="s">
        <v>117</v>
      </c>
      <c r="J9" s="68" t="s">
        <v>25</v>
      </c>
      <c r="K9" s="51"/>
      <c r="L9" s="10" t="str">
        <f t="shared" ref="L9:L18" si="5">A11</f>
        <v>Sw</v>
      </c>
      <c r="M9" s="95" t="str">
        <f t="shared" ref="M9:M18" si="6">IF(ISBLANK(J11),"--",J11)</f>
        <v>obj_002df#0001</v>
      </c>
      <c r="N9" s="149" t="str">
        <f>IFERROR(_xll.qlRateHelperQuoteName(M9,Trigger),"--")</f>
        <v>GBP3X1S_Quote</v>
      </c>
      <c r="O9" s="99">
        <f>IFERROR(_xll.qlRateHelperQuoteValue($M9,Trigger),"--")</f>
        <v>5.2125000000000001E-3</v>
      </c>
      <c r="P9" s="144" t="b">
        <v>1</v>
      </c>
      <c r="Q9" s="95">
        <v>40</v>
      </c>
      <c r="R9" s="95">
        <v>1</v>
      </c>
      <c r="S9" s="100">
        <f>IFERROR(_xll.qlRateHelperEarliestDate(M9,Trigger),"--")</f>
        <v>42275</v>
      </c>
      <c r="T9" s="100">
        <f>IFERROR(_xll.qlRateHelperPillarDate(M9,Trigger),"--")</f>
        <v>42367</v>
      </c>
      <c r="V9" s="163" t="str">
        <f t="shared" si="3"/>
        <v>Sw</v>
      </c>
      <c r="W9" s="163" t="str">
        <v>obj_002e6</v>
      </c>
      <c r="X9" s="163" t="str">
        <f>IFERROR(_xll.qlRateHelperQuoteName(W9,Trigger),"")</f>
        <v>GBP7X1S_Quote</v>
      </c>
      <c r="Y9" s="197">
        <f>IFERROR(_xll.qlRateHelperRate(W9,Trigger),"")</f>
        <v>5.3499999999999989E-3</v>
      </c>
      <c r="Z9" s="198">
        <f>IF(ISERROR(_xll.qlSwapRateHelperSpread($W9)),IF(ISERROR(_xll.qlFuturesRateHelperConvexityAdjustment($W9)),"",_xll.qlFuturesRateHelperConvexityAdjustment($W9)),_xll.qlSwapRateHelperSpread($W9))</f>
        <v>0</v>
      </c>
      <c r="AA9" s="164">
        <f>IFERROR(_xll.qlRateHelperEarliestDate(W9,Trigger),"")</f>
        <v>42275</v>
      </c>
      <c r="AB9" s="164">
        <f>IFERROR(_xll.qlRateHelperPillarDate(W9,Trigger),"")</f>
        <v>42488</v>
      </c>
      <c r="AC9" s="257">
        <v>0.99688732446402029</v>
      </c>
      <c r="AD9" s="81"/>
      <c r="AG9" s="49" t="s">
        <v>128</v>
      </c>
    </row>
    <row r="10" spans="1:38" ht="11.25" customHeight="1" x14ac:dyDescent="0.2">
      <c r="A10" s="56" t="s">
        <v>26</v>
      </c>
      <c r="B10" s="57" t="s">
        <v>41</v>
      </c>
      <c r="C10" s="58" t="s">
        <v>6</v>
      </c>
      <c r="D10" s="58" t="s">
        <v>8</v>
      </c>
      <c r="E10" s="58" t="s">
        <v>7</v>
      </c>
      <c r="F10" s="58" t="s">
        <v>148</v>
      </c>
      <c r="G10" s="58" t="str">
        <f t="shared" ref="G10:G20" si="7">PROPER(Currency)&amp;FamilyName&amp;Tenor</f>
        <v>GbpLibor1M</v>
      </c>
      <c r="H10" s="56" t="str">
        <f t="shared" ref="H10:H20" si="8">Currency&amp;SUBSTITUTE(B10,"M",$H$8)&amp;QuoteSuffix</f>
        <v>GBP2X1S_Quote</v>
      </c>
      <c r="I10" s="129">
        <v>0</v>
      </c>
      <c r="J10" s="67" t="str">
        <f>_xll.qlSwapRateHelper2(,H10,0,B10,Calendar,D10,E10,F10,G10,I10,C10,Discounting,PillarDate,,Permanent,Trigger,ObjectOverwrite)</f>
        <v>obj_002e0#0001</v>
      </c>
      <c r="K10" s="51"/>
      <c r="L10" s="10" t="str">
        <f t="shared" si="5"/>
        <v>Sw</v>
      </c>
      <c r="M10" s="95" t="str">
        <f t="shared" si="6"/>
        <v>obj_002e1#0001</v>
      </c>
      <c r="N10" s="149" t="str">
        <f>IFERROR(_xll.qlRateHelperQuoteName(M10,Trigger),"--")</f>
        <v>GBP4X1S_Quote</v>
      </c>
      <c r="O10" s="99">
        <f>IFERROR(_xll.qlRateHelperQuoteValue($M10,Trigger),"--")</f>
        <v>5.2374999999999991E-3</v>
      </c>
      <c r="P10" s="144" t="b">
        <v>1</v>
      </c>
      <c r="Q10" s="95">
        <v>40</v>
      </c>
      <c r="R10" s="95">
        <v>1</v>
      </c>
      <c r="S10" s="100">
        <f>IFERROR(_xll.qlRateHelperEarliestDate(M10,Trigger),"--")</f>
        <v>42275</v>
      </c>
      <c r="T10" s="100">
        <f>IFERROR(_xll.qlRateHelperPillarDate(M10,Trigger),"--")</f>
        <v>42397</v>
      </c>
      <c r="V10" s="163" t="str">
        <f t="shared" si="3"/>
        <v>Sw</v>
      </c>
      <c r="W10" s="163" t="str">
        <v>obj_002e8</v>
      </c>
      <c r="X10" s="163" t="str">
        <f>IFERROR(_xll.qlRateHelperQuoteName(W10,Trigger),"")</f>
        <v>GBP8X1S_Quote</v>
      </c>
      <c r="Y10" s="197">
        <f>IFERROR(_xll.qlRateHelperRate(W10,Trigger),"")</f>
        <v>5.4250000000000001E-3</v>
      </c>
      <c r="Z10" s="198">
        <f>IF(ISERROR(_xll.qlSwapRateHelperSpread($W10)),IF(ISERROR(_xll.qlFuturesRateHelperConvexityAdjustment($W10)),"",_xll.qlFuturesRateHelperConvexityAdjustment($W10)),_xll.qlSwapRateHelperSpread($W10))</f>
        <v>0</v>
      </c>
      <c r="AA10" s="164">
        <f>IFERROR(_xll.qlRateHelperEarliestDate(W10,Trigger),"")</f>
        <v>42275</v>
      </c>
      <c r="AB10" s="164">
        <f>IFERROR(_xll.qlRateHelperPillarDate(W10,Trigger),"")</f>
        <v>42521</v>
      </c>
      <c r="AC10" s="257">
        <v>0.99635657096179642</v>
      </c>
      <c r="AD10" s="81"/>
      <c r="AE10" s="77" t="s">
        <v>122</v>
      </c>
      <c r="AF10" s="77" t="s">
        <v>123</v>
      </c>
      <c r="AG10" s="77" t="s">
        <v>124</v>
      </c>
      <c r="AH10" s="77" t="s">
        <v>135</v>
      </c>
      <c r="AI10" s="77" t="s">
        <v>125</v>
      </c>
      <c r="AJ10" s="77" t="s">
        <v>136</v>
      </c>
      <c r="AK10" s="77" t="s">
        <v>126</v>
      </c>
      <c r="AL10" s="77" t="s">
        <v>127</v>
      </c>
    </row>
    <row r="11" spans="1:38" ht="11.25" customHeight="1" x14ac:dyDescent="0.2">
      <c r="A11" s="62" t="s">
        <v>26</v>
      </c>
      <c r="B11" s="63" t="s">
        <v>0</v>
      </c>
      <c r="C11" s="64" t="s">
        <v>6</v>
      </c>
      <c r="D11" s="64" t="s">
        <v>8</v>
      </c>
      <c r="E11" s="64" t="s">
        <v>7</v>
      </c>
      <c r="F11" s="64" t="s">
        <v>148</v>
      </c>
      <c r="G11" s="64" t="str">
        <f t="shared" si="7"/>
        <v>GbpLibor1M</v>
      </c>
      <c r="H11" s="62" t="str">
        <f t="shared" si="8"/>
        <v>GBP3X1S_Quote</v>
      </c>
      <c r="I11" s="130">
        <v>0</v>
      </c>
      <c r="J11" s="67" t="str">
        <f>_xll.qlSwapRateHelper2(,H11,0,B11,Calendar,D11,E11,F11,G11,I11,C11,Discounting,PillarDate,,Permanent,Trigger,ObjectOverwrite)</f>
        <v>obj_002df#0001</v>
      </c>
      <c r="K11" s="51"/>
      <c r="L11" s="10" t="str">
        <f t="shared" si="5"/>
        <v>Sw</v>
      </c>
      <c r="M11" s="95" t="str">
        <f t="shared" si="6"/>
        <v>obj_002e5#0001</v>
      </c>
      <c r="N11" s="149" t="str">
        <f>IFERROR(_xll.qlRateHelperQuoteName(M11,Trigger),"--")</f>
        <v>GBP5X1S_Quote</v>
      </c>
      <c r="O11" s="99">
        <f>IFERROR(_xll.qlRateHelperQuoteValue($M11,Trigger),"--")</f>
        <v>5.2624999999999998E-3</v>
      </c>
      <c r="P11" s="144" t="b">
        <v>1</v>
      </c>
      <c r="Q11" s="95">
        <v>40</v>
      </c>
      <c r="R11" s="95">
        <v>1</v>
      </c>
      <c r="S11" s="100">
        <f>IFERROR(_xll.qlRateHelperEarliestDate(M11,Trigger),"--")</f>
        <v>42275</v>
      </c>
      <c r="T11" s="100">
        <f>IFERROR(_xll.qlRateHelperPillarDate(M11,Trigger),"--")</f>
        <v>42429</v>
      </c>
      <c r="V11" s="163" t="str">
        <f t="shared" si="3"/>
        <v>Sw</v>
      </c>
      <c r="W11" s="163" t="str">
        <v>obj_002e2</v>
      </c>
      <c r="X11" s="163" t="str">
        <f>IFERROR(_xll.qlRateHelperQuoteName(W11,Trigger),"")</f>
        <v>GBP9X1S_Quote</v>
      </c>
      <c r="Y11" s="197">
        <f>IFERROR(_xll.qlRateHelperRate(W11,Trigger),"")</f>
        <v>5.5000000000000005E-3</v>
      </c>
      <c r="Z11" s="198">
        <f>IF(ISERROR(_xll.qlSwapRateHelperSpread($W11)),IF(ISERROR(_xll.qlFuturesRateHelperConvexityAdjustment($W11)),"",_xll.qlFuturesRateHelperConvexityAdjustment($W11)),_xll.qlSwapRateHelperSpread($W11))</f>
        <v>0</v>
      </c>
      <c r="AA11" s="164">
        <f>IFERROR(_xll.qlRateHelperEarliestDate(W11,Trigger),"")</f>
        <v>42275</v>
      </c>
      <c r="AB11" s="164">
        <f>IFERROR(_xll.qlRateHelperPillarDate(W11,Trigger),"")</f>
        <v>42549</v>
      </c>
      <c r="AC11" s="257">
        <v>0.9958876986511398</v>
      </c>
      <c r="AD11" s="81"/>
      <c r="AE11" s="160">
        <v>1</v>
      </c>
      <c r="AF11" s="161">
        <f>_xll.qlCalendarEndOfMonth(Calendar,Settlementdate,Trigger)</f>
        <v>42277</v>
      </c>
      <c r="AG11" s="160" t="str">
        <f t="shared" ref="AG11:AG23" si="9">Currency&amp;$AG$9&amp;AE11&amp;JumpSuffix&amp;QuoteSuffix</f>
        <v>GBPJump1_SYNTHON_Quote</v>
      </c>
      <c r="AH11" s="204">
        <f>_xll.qlDayCounterYearFraction("actual/360",AF11,_xll.qlCalendarAdvance(Calendar,AF11,"1D",,,Trigger))</f>
        <v>2.7777777777777779E-3</v>
      </c>
      <c r="AI11" s="162" t="e">
        <f>IF(_xll.qlQuoteIsValid(AG11,Trigger),_xll.qlQuoteValue(AG11,Trigger),1)</f>
        <v>#NUM!</v>
      </c>
      <c r="AJ11" s="207" t="e">
        <f>-LN(AI11)/AH11</f>
        <v>#NUM!</v>
      </c>
      <c r="AK11" s="210">
        <v>0</v>
      </c>
      <c r="AL11" s="162">
        <f>IF(ISBLANK(AK11),AG11,EXP(-AK11*AH11))</f>
        <v>1</v>
      </c>
    </row>
    <row r="12" spans="1:38" ht="11.25" customHeight="1" x14ac:dyDescent="0.2">
      <c r="A12" s="62" t="s">
        <v>26</v>
      </c>
      <c r="B12" s="63" t="s">
        <v>42</v>
      </c>
      <c r="C12" s="64" t="s">
        <v>6</v>
      </c>
      <c r="D12" s="64" t="s">
        <v>8</v>
      </c>
      <c r="E12" s="64" t="s">
        <v>7</v>
      </c>
      <c r="F12" s="64" t="s">
        <v>148</v>
      </c>
      <c r="G12" s="64" t="str">
        <f t="shared" si="7"/>
        <v>GbpLibor1M</v>
      </c>
      <c r="H12" s="62" t="str">
        <f t="shared" si="8"/>
        <v>GBP4X1S_Quote</v>
      </c>
      <c r="I12" s="130">
        <v>0</v>
      </c>
      <c r="J12" s="67" t="str">
        <f>_xll.qlSwapRateHelper2(,H12,0,B12,Calendar,D12,E12,F12,G12,I12,C12,Discounting,PillarDate,,Permanent,Trigger,ObjectOverwrite)</f>
        <v>obj_002e1#0001</v>
      </c>
      <c r="K12" s="51" t="s">
        <v>36</v>
      </c>
      <c r="L12" s="10" t="str">
        <f t="shared" si="5"/>
        <v>Sw</v>
      </c>
      <c r="M12" s="95" t="str">
        <f t="shared" si="6"/>
        <v>obj_002e3#0001</v>
      </c>
      <c r="N12" s="149" t="str">
        <f>IFERROR(_xll.qlRateHelperQuoteName(M12,Trigger),"--")</f>
        <v>GBP6X1S_Quote</v>
      </c>
      <c r="O12" s="99">
        <f>IFERROR(_xll.qlRateHelperQuoteValue($M12,Trigger),"--")</f>
        <v>5.2874999999999997E-3</v>
      </c>
      <c r="P12" s="144" t="b">
        <v>1</v>
      </c>
      <c r="Q12" s="95">
        <v>40</v>
      </c>
      <c r="R12" s="95">
        <v>1</v>
      </c>
      <c r="S12" s="100">
        <f>IFERROR(_xll.qlRateHelperEarliestDate(M12,Trigger),"--")</f>
        <v>42275</v>
      </c>
      <c r="T12" s="100">
        <f>IFERROR(_xll.qlRateHelperPillarDate(M12,Trigger),"--")</f>
        <v>42458</v>
      </c>
      <c r="V12" s="163" t="str">
        <f t="shared" si="3"/>
        <v>Sw</v>
      </c>
      <c r="W12" s="163" t="str">
        <v>obj_002ca</v>
      </c>
      <c r="X12" s="163" t="str">
        <f>IFERROR(_xll.qlRateHelperQuoteName(W12,Trigger),"")</f>
        <v>GBP10X1S_Quote</v>
      </c>
      <c r="Y12" s="197">
        <f>IFERROR(_xll.qlRateHelperRate(W12,Trigger),"")</f>
        <v>5.5875000000000005E-3</v>
      </c>
      <c r="Z12" s="198">
        <f>IF(ISERROR(_xll.qlSwapRateHelperSpread($W12)),IF(ISERROR(_xll.qlFuturesRateHelperConvexityAdjustment($W12)),"",_xll.qlFuturesRateHelperConvexityAdjustment($W12)),_xll.qlSwapRateHelperSpread($W12))</f>
        <v>0</v>
      </c>
      <c r="AA12" s="164">
        <f>IFERROR(_xll.qlRateHelperEarliestDate(W12,Trigger),"")</f>
        <v>42275</v>
      </c>
      <c r="AB12" s="164">
        <f>IFERROR(_xll.qlRateHelperPillarDate(W12,Trigger),"")</f>
        <v>42579</v>
      </c>
      <c r="AC12" s="257">
        <v>0.99536711155143875</v>
      </c>
      <c r="AD12" s="81"/>
      <c r="AE12" s="163">
        <v>2</v>
      </c>
      <c r="AF12" s="164">
        <f>_xll.qlCalendarEndOfMonth(Calendar,_xll.qlCalendarAdvance(Calendar,AF11,"1m","mf",TRUE),Trigger)</f>
        <v>42307</v>
      </c>
      <c r="AG12" s="163" t="str">
        <f t="shared" si="9"/>
        <v>GBPJump2_SYNTHON_Quote</v>
      </c>
      <c r="AH12" s="205">
        <f>_xll.qlDayCounterYearFraction("actual/360",AF12,_xll.qlCalendarAdvance(Calendar,AF12,"1D",,,Trigger))</f>
        <v>8.3333333333333332E-3</v>
      </c>
      <c r="AI12" s="165" t="e">
        <f>IF(_xll.qlQuoteIsValid(AG12,Trigger),_xll.qlQuoteValue(AG12,Trigger),1)</f>
        <v>#NUM!</v>
      </c>
      <c r="AJ12" s="208" t="e">
        <f t="shared" ref="AJ12:AJ23" si="10">-LN(AI12)/AH12</f>
        <v>#NUM!</v>
      </c>
      <c r="AK12" s="211">
        <v>0</v>
      </c>
      <c r="AL12" s="165">
        <f t="shared" ref="AL12:AL23" si="11">IF(ISBLANK(AK12),AG12,EXP(-AK12*AH12))</f>
        <v>1</v>
      </c>
    </row>
    <row r="13" spans="1:38" ht="11.25" customHeight="1" x14ac:dyDescent="0.2">
      <c r="A13" s="62" t="s">
        <v>26</v>
      </c>
      <c r="B13" s="63" t="s">
        <v>43</v>
      </c>
      <c r="C13" s="64" t="s">
        <v>6</v>
      </c>
      <c r="D13" s="64" t="s">
        <v>8</v>
      </c>
      <c r="E13" s="64" t="s">
        <v>7</v>
      </c>
      <c r="F13" s="64" t="s">
        <v>148</v>
      </c>
      <c r="G13" s="64" t="str">
        <f t="shared" si="7"/>
        <v>GbpLibor1M</v>
      </c>
      <c r="H13" s="62" t="str">
        <f t="shared" si="8"/>
        <v>GBP5X1S_Quote</v>
      </c>
      <c r="I13" s="130">
        <v>0</v>
      </c>
      <c r="J13" s="67" t="str">
        <f>_xll.qlSwapRateHelper2(,H13,0,B13,Calendar,D13,E13,F13,G13,I13,C13,Discounting,PillarDate,,Permanent,Trigger,ObjectOverwrite)</f>
        <v>obj_002e5#0001</v>
      </c>
      <c r="K13" s="51"/>
      <c r="L13" s="10" t="str">
        <f t="shared" si="5"/>
        <v>Sw</v>
      </c>
      <c r="M13" s="95" t="str">
        <f t="shared" si="6"/>
        <v>obj_002e6#0001</v>
      </c>
      <c r="N13" s="149" t="str">
        <f>IFERROR(_xll.qlRateHelperQuoteName(M13,Trigger),"--")</f>
        <v>GBP7X1S_Quote</v>
      </c>
      <c r="O13" s="99">
        <f>IFERROR(_xll.qlRateHelperQuoteValue($M13,Trigger),"--")</f>
        <v>5.3499999999999989E-3</v>
      </c>
      <c r="P13" s="144" t="b">
        <v>1</v>
      </c>
      <c r="Q13" s="95">
        <v>40</v>
      </c>
      <c r="R13" s="95">
        <v>1</v>
      </c>
      <c r="S13" s="100">
        <f>IFERROR(_xll.qlRateHelperEarliestDate(M13,Trigger),"--")</f>
        <v>42275</v>
      </c>
      <c r="T13" s="100">
        <f>IFERROR(_xll.qlRateHelperPillarDate(M13,Trigger),"--")</f>
        <v>42488</v>
      </c>
      <c r="V13" s="163" t="str">
        <f t="shared" si="3"/>
        <v>Sw</v>
      </c>
      <c r="W13" s="163" t="str">
        <v>obj_002e7</v>
      </c>
      <c r="X13" s="163" t="str">
        <f>IFERROR(_xll.qlRateHelperQuoteName(W13,Trigger),"")</f>
        <v>GBP11X1S_Quote</v>
      </c>
      <c r="Y13" s="197">
        <f>IFERROR(_xll.qlRateHelperRate(W13,Trigger),"")</f>
        <v>5.7125000000000006E-3</v>
      </c>
      <c r="Z13" s="198">
        <f>IF(ISERROR(_xll.qlSwapRateHelperSpread($W13)),IF(ISERROR(_xll.qlFuturesRateHelperConvexityAdjustment($W13)),"",_xll.qlFuturesRateHelperConvexityAdjustment($W13)),_xll.qlSwapRateHelperSpread($W13))</f>
        <v>0</v>
      </c>
      <c r="AA13" s="164">
        <f>IFERROR(_xll.qlRateHelperEarliestDate(W13,Trigger),"")</f>
        <v>42275</v>
      </c>
      <c r="AB13" s="164">
        <f>IFERROR(_xll.qlRateHelperPillarDate(W13,Trigger),"")</f>
        <v>42612</v>
      </c>
      <c r="AC13" s="257">
        <v>0.99475244860084855</v>
      </c>
      <c r="AD13" s="81"/>
      <c r="AE13" s="163">
        <v>3</v>
      </c>
      <c r="AF13" s="164">
        <f>_xll.qlCalendarEndOfMonth(Calendar,_xll.qlCalendarAdvance(Calendar,AF12,"1m","mf",TRUE),Trigger)</f>
        <v>42338</v>
      </c>
      <c r="AG13" s="163" t="str">
        <f t="shared" si="9"/>
        <v>GBPJump3_SYNTHON_Quote</v>
      </c>
      <c r="AH13" s="205">
        <f>_xll.qlDayCounterYearFraction("actual/360",AF13,_xll.qlCalendarAdvance(Calendar,AF13,"1D",,,Trigger))</f>
        <v>2.7777777777777779E-3</v>
      </c>
      <c r="AI13" s="165" t="e">
        <f>IF(_xll.qlQuoteIsValid(AG13,Trigger),_xll.qlQuoteValue(AG13,Trigger),1)</f>
        <v>#NUM!</v>
      </c>
      <c r="AJ13" s="208" t="e">
        <f t="shared" si="10"/>
        <v>#NUM!</v>
      </c>
      <c r="AK13" s="211">
        <v>0</v>
      </c>
      <c r="AL13" s="165">
        <f t="shared" si="11"/>
        <v>1</v>
      </c>
    </row>
    <row r="14" spans="1:38" ht="11.25" customHeight="1" x14ac:dyDescent="0.2">
      <c r="A14" s="62" t="s">
        <v>26</v>
      </c>
      <c r="B14" s="63" t="s">
        <v>3</v>
      </c>
      <c r="C14" s="64" t="s">
        <v>6</v>
      </c>
      <c r="D14" s="64" t="s">
        <v>8</v>
      </c>
      <c r="E14" s="64" t="s">
        <v>7</v>
      </c>
      <c r="F14" s="64" t="s">
        <v>148</v>
      </c>
      <c r="G14" s="64" t="str">
        <f t="shared" si="7"/>
        <v>GbpLibor1M</v>
      </c>
      <c r="H14" s="62" t="str">
        <f t="shared" si="8"/>
        <v>GBP6X1S_Quote</v>
      </c>
      <c r="I14" s="130">
        <v>0</v>
      </c>
      <c r="J14" s="67" t="str">
        <f>_xll.qlSwapRateHelper2(,H14,0,B14,Calendar,D14,E14,F14,G14,I14,C14,Discounting,PillarDate,,Permanent,Trigger,ObjectOverwrite)</f>
        <v>obj_002e3#0001</v>
      </c>
      <c r="K14" s="51"/>
      <c r="L14" s="10" t="str">
        <f t="shared" si="5"/>
        <v>Sw</v>
      </c>
      <c r="M14" s="95" t="str">
        <f t="shared" si="6"/>
        <v>obj_002e8#0001</v>
      </c>
      <c r="N14" s="149" t="str">
        <f>IFERROR(_xll.qlRateHelperQuoteName(M14,Trigger),"--")</f>
        <v>GBP8X1S_Quote</v>
      </c>
      <c r="O14" s="99">
        <f>IFERROR(_xll.qlRateHelperQuoteValue($M14,Trigger),"--")</f>
        <v>5.4250000000000001E-3</v>
      </c>
      <c r="P14" s="144" t="b">
        <v>1</v>
      </c>
      <c r="Q14" s="95">
        <v>40</v>
      </c>
      <c r="R14" s="95">
        <v>1</v>
      </c>
      <c r="S14" s="100">
        <f>IFERROR(_xll.qlRateHelperEarliestDate(M14,Trigger),"--")</f>
        <v>42275</v>
      </c>
      <c r="T14" s="100">
        <f>IFERROR(_xll.qlRateHelperPillarDate(M14,Trigger),"--")</f>
        <v>42521</v>
      </c>
      <c r="V14" s="163" t="str">
        <f t="shared" si="3"/>
        <v>Sw</v>
      </c>
      <c r="W14" s="163" t="str">
        <v>obj_002e4</v>
      </c>
      <c r="X14" s="163" t="str">
        <f>IFERROR(_xll.qlRateHelperQuoteName(W14,Trigger),"")</f>
        <v>GBP12X1S_Quote</v>
      </c>
      <c r="Y14" s="197">
        <f>IFERROR(_xll.qlRateHelperRate(W14,Trigger),"")</f>
        <v>5.8125000000000008E-3</v>
      </c>
      <c r="Z14" s="198">
        <f>IF(ISERROR(_xll.qlSwapRateHelperSpread($W14)),IF(ISERROR(_xll.qlFuturesRateHelperConvexityAdjustment($W14)),"",_xll.qlFuturesRateHelperConvexityAdjustment($W14)),_xll.qlSwapRateHelperSpread($W14))</f>
        <v>0</v>
      </c>
      <c r="AA14" s="164">
        <f>IFERROR(_xll.qlRateHelperEarliestDate(W14,Trigger),"")</f>
        <v>42275</v>
      </c>
      <c r="AB14" s="164">
        <f>IFERROR(_xll.qlRateHelperPillarDate(W14,Trigger),"")</f>
        <v>42641</v>
      </c>
      <c r="AC14" s="257">
        <v>0.99420434205611163</v>
      </c>
      <c r="AD14" s="81"/>
      <c r="AE14" s="163">
        <v>4</v>
      </c>
      <c r="AF14" s="164">
        <f>_xll.qlCalendarEndOfMonth(Calendar,_xll.qlCalendarAdvance(Calendar,AF13,"1m","mf",TRUE),Trigger)</f>
        <v>42369</v>
      </c>
      <c r="AG14" s="163" t="str">
        <f t="shared" si="9"/>
        <v>GBPJump4_SYNTHON_Quote</v>
      </c>
      <c r="AH14" s="205">
        <f>_xll.qlDayCounterYearFraction("actual/360",AF14,_xll.qlCalendarAdvance(Calendar,AF14,"1D",,,Trigger))</f>
        <v>1.1111111111111112E-2</v>
      </c>
      <c r="AI14" s="165" t="e">
        <f>IF(_xll.qlQuoteIsValid(AG14,Trigger),_xll.qlQuoteValue(AG14,Trigger),1)</f>
        <v>#NUM!</v>
      </c>
      <c r="AJ14" s="208" t="e">
        <f t="shared" si="10"/>
        <v>#NUM!</v>
      </c>
      <c r="AK14" s="211">
        <v>0</v>
      </c>
      <c r="AL14" s="165">
        <f t="shared" si="11"/>
        <v>1</v>
      </c>
    </row>
    <row r="15" spans="1:38" ht="11.25" customHeight="1" x14ac:dyDescent="0.2">
      <c r="A15" s="62" t="s">
        <v>26</v>
      </c>
      <c r="B15" s="63" t="s">
        <v>44</v>
      </c>
      <c r="C15" s="64" t="s">
        <v>6</v>
      </c>
      <c r="D15" s="64" t="s">
        <v>8</v>
      </c>
      <c r="E15" s="64" t="s">
        <v>7</v>
      </c>
      <c r="F15" s="64" t="s">
        <v>148</v>
      </c>
      <c r="G15" s="64" t="str">
        <f t="shared" si="7"/>
        <v>GbpLibor1M</v>
      </c>
      <c r="H15" s="62" t="str">
        <f t="shared" si="8"/>
        <v>GBP7X1S_Quote</v>
      </c>
      <c r="I15" s="130">
        <v>0</v>
      </c>
      <c r="J15" s="67" t="str">
        <f>_xll.qlSwapRateHelper2(,H15,0,B15,Calendar,D15,E15,F15,G15,I15,C15,Discounting,PillarDate,,Permanent,Trigger,ObjectOverwrite)</f>
        <v>obj_002e6#0001</v>
      </c>
      <c r="K15" s="51"/>
      <c r="L15" s="10" t="str">
        <f t="shared" si="5"/>
        <v>Sw</v>
      </c>
      <c r="M15" s="95" t="str">
        <f t="shared" si="6"/>
        <v>obj_002e2#0001</v>
      </c>
      <c r="N15" s="149" t="str">
        <f>IFERROR(_xll.qlRateHelperQuoteName(M15,Trigger),"--")</f>
        <v>GBP9X1S_Quote</v>
      </c>
      <c r="O15" s="99">
        <f>IFERROR(_xll.qlRateHelperQuoteValue($M15,Trigger),"--")</f>
        <v>5.5000000000000005E-3</v>
      </c>
      <c r="P15" s="144" t="b">
        <v>1</v>
      </c>
      <c r="Q15" s="95">
        <v>40</v>
      </c>
      <c r="R15" s="95">
        <v>1</v>
      </c>
      <c r="S15" s="100">
        <f>IFERROR(_xll.qlRateHelperEarliestDate(M15,Trigger),"--")</f>
        <v>42275</v>
      </c>
      <c r="T15" s="100">
        <f>IFERROR(_xll.qlRateHelperPillarDate(M15,Trigger),"--")</f>
        <v>42549</v>
      </c>
      <c r="V15" s="163" t="str">
        <f t="shared" si="3"/>
        <v>BasSw</v>
      </c>
      <c r="W15" s="163" t="str">
        <v>obj_002dc</v>
      </c>
      <c r="X15" s="163" t="str">
        <f>IFERROR(_xll.qlRateHelperQuoteName(W15,Trigger),"")</f>
        <v>GBPSB6L2Y_Quote</v>
      </c>
      <c r="Y15" s="197">
        <f>IFERROR(_xll.qlRateHelperRate(W15,Trigger),"")</f>
        <v>9.6200000000000001E-3</v>
      </c>
      <c r="Z15" s="198">
        <f>IF(ISERROR(_xll.qlSwapRateHelperSpread($W15)),IF(ISERROR(_xll.qlFuturesRateHelperConvexityAdjustment($W15)),"",_xll.qlFuturesRateHelperConvexityAdjustment($W15)),_xll.qlSwapRateHelperSpread($W15))</f>
        <v>2.075E-3</v>
      </c>
      <c r="AA15" s="164">
        <f>IFERROR(_xll.qlRateHelperEarliestDate(W15,Trigger),"")</f>
        <v>42275</v>
      </c>
      <c r="AB15" s="164">
        <f>IFERROR(_xll.qlRateHelperPillarDate(W15,Trigger),"")</f>
        <v>43006</v>
      </c>
      <c r="AC15" s="257">
        <v>0.98502050140151776</v>
      </c>
      <c r="AD15" s="81"/>
      <c r="AE15" s="163">
        <v>5</v>
      </c>
      <c r="AF15" s="164">
        <f>_xll.qlCalendarEndOfMonth(Calendar,_xll.qlCalendarAdvance(Calendar,AF14,"1m","mf",TRUE),Trigger)</f>
        <v>42398</v>
      </c>
      <c r="AG15" s="163" t="str">
        <f t="shared" si="9"/>
        <v>GBPJump5_SYNTHON_Quote</v>
      </c>
      <c r="AH15" s="205">
        <f>_xll.qlDayCounterYearFraction("actual/360",AF15,_xll.qlCalendarAdvance(Calendar,AF15,"1D",,,Trigger))</f>
        <v>8.3333333333333332E-3</v>
      </c>
      <c r="AI15" s="165" t="e">
        <f>IF(_xll.qlQuoteIsValid(AG15,Trigger),_xll.qlQuoteValue(AG15,Trigger),1)</f>
        <v>#NUM!</v>
      </c>
      <c r="AJ15" s="208" t="e">
        <f t="shared" si="10"/>
        <v>#NUM!</v>
      </c>
      <c r="AK15" s="211">
        <v>0</v>
      </c>
      <c r="AL15" s="165">
        <f t="shared" si="11"/>
        <v>1</v>
      </c>
    </row>
    <row r="16" spans="1:38" ht="11.25" customHeight="1" x14ac:dyDescent="0.2">
      <c r="A16" s="62" t="s">
        <v>26</v>
      </c>
      <c r="B16" s="63" t="s">
        <v>45</v>
      </c>
      <c r="C16" s="64" t="s">
        <v>6</v>
      </c>
      <c r="D16" s="64" t="s">
        <v>8</v>
      </c>
      <c r="E16" s="64" t="s">
        <v>7</v>
      </c>
      <c r="F16" s="64" t="s">
        <v>148</v>
      </c>
      <c r="G16" s="64" t="str">
        <f t="shared" si="7"/>
        <v>GbpLibor1M</v>
      </c>
      <c r="H16" s="62" t="str">
        <f t="shared" si="8"/>
        <v>GBP8X1S_Quote</v>
      </c>
      <c r="I16" s="130">
        <v>0</v>
      </c>
      <c r="J16" s="67" t="str">
        <f>_xll.qlSwapRateHelper2(,H16,0,B16,Calendar,D16,E16,F16,G16,I16,C16,Discounting,PillarDate,,Permanent,Trigger,ObjectOverwrite)</f>
        <v>obj_002e8#0001</v>
      </c>
      <c r="K16" s="51"/>
      <c r="L16" s="10" t="str">
        <f t="shared" si="5"/>
        <v>Sw</v>
      </c>
      <c r="M16" s="95" t="str">
        <f t="shared" si="6"/>
        <v>obj_002ca#0001</v>
      </c>
      <c r="N16" s="149" t="str">
        <f>IFERROR(_xll.qlRateHelperQuoteName(M16,Trigger),"--")</f>
        <v>GBP10X1S_Quote</v>
      </c>
      <c r="O16" s="99">
        <f>IFERROR(_xll.qlRateHelperQuoteValue($M16,Trigger),"--")</f>
        <v>5.5875000000000005E-3</v>
      </c>
      <c r="P16" s="144" t="b">
        <v>1</v>
      </c>
      <c r="Q16" s="95">
        <v>40</v>
      </c>
      <c r="R16" s="95">
        <v>1</v>
      </c>
      <c r="S16" s="100">
        <f>IFERROR(_xll.qlRateHelperEarliestDate(M16,Trigger),"--")</f>
        <v>42275</v>
      </c>
      <c r="T16" s="100">
        <f>IFERROR(_xll.qlRateHelperPillarDate(M16,Trigger),"--")</f>
        <v>42579</v>
      </c>
      <c r="V16" s="163" t="str">
        <f t="shared" si="3"/>
        <v>BasSw</v>
      </c>
      <c r="W16" s="163" t="str">
        <v>obj_002d5</v>
      </c>
      <c r="X16" s="163" t="str">
        <f>IFERROR(_xll.qlRateHelperQuoteName(W16,Trigger),"")</f>
        <v>GBPSB6L3Y_Quote</v>
      </c>
      <c r="Y16" s="197">
        <f>IFERROR(_xll.qlRateHelperRate(W16,Trigger),"")</f>
        <v>1.153E-2</v>
      </c>
      <c r="Z16" s="198">
        <f>IF(ISERROR(_xll.qlSwapRateHelperSpread($W16)),IF(ISERROR(_xll.qlFuturesRateHelperConvexityAdjustment($W16)),"",_xll.qlFuturesRateHelperConvexityAdjustment($W16)),_xll.qlSwapRateHelperSpread($W16))</f>
        <v>2.0500000000000002E-3</v>
      </c>
      <c r="AA16" s="164">
        <f>IFERROR(_xll.qlRateHelperEarliestDate(W16,Trigger),"")</f>
        <v>42275</v>
      </c>
      <c r="AB16" s="164">
        <f>IFERROR(_xll.qlRateHelperPillarDate(W16,Trigger),"")</f>
        <v>43371</v>
      </c>
      <c r="AC16" s="257">
        <v>0.97193825048551052</v>
      </c>
      <c r="AD16" s="81"/>
      <c r="AE16" s="163">
        <v>6</v>
      </c>
      <c r="AF16" s="164">
        <f>_xll.qlCalendarEndOfMonth(Calendar,_xll.qlCalendarAdvance(Calendar,AF15,"1m","mf",TRUE),Trigger)</f>
        <v>42429</v>
      </c>
      <c r="AG16" s="163" t="str">
        <f t="shared" si="9"/>
        <v>GBPJump6_SYNTHON_Quote</v>
      </c>
      <c r="AH16" s="205">
        <f>_xll.qlDayCounterYearFraction("actual/360",AF16,_xll.qlCalendarAdvance(Calendar,AF16,"1D",,,Trigger))</f>
        <v>2.7777777777777779E-3</v>
      </c>
      <c r="AI16" s="165" t="e">
        <f>IF(_xll.qlQuoteIsValid(AG16,Trigger),_xll.qlQuoteValue(AG16,Trigger),1)</f>
        <v>#NUM!</v>
      </c>
      <c r="AJ16" s="208" t="e">
        <f t="shared" si="10"/>
        <v>#NUM!</v>
      </c>
      <c r="AK16" s="211">
        <v>0</v>
      </c>
      <c r="AL16" s="165">
        <f t="shared" si="11"/>
        <v>1</v>
      </c>
    </row>
    <row r="17" spans="1:38" ht="11.25" customHeight="1" x14ac:dyDescent="0.2">
      <c r="A17" s="62" t="s">
        <v>26</v>
      </c>
      <c r="B17" s="63" t="s">
        <v>46</v>
      </c>
      <c r="C17" s="64" t="s">
        <v>6</v>
      </c>
      <c r="D17" s="64" t="s">
        <v>8</v>
      </c>
      <c r="E17" s="64" t="s">
        <v>7</v>
      </c>
      <c r="F17" s="64" t="s">
        <v>148</v>
      </c>
      <c r="G17" s="64" t="str">
        <f t="shared" si="7"/>
        <v>GbpLibor1M</v>
      </c>
      <c r="H17" s="62" t="str">
        <f t="shared" si="8"/>
        <v>GBP9X1S_Quote</v>
      </c>
      <c r="I17" s="130">
        <v>0</v>
      </c>
      <c r="J17" s="67" t="str">
        <f>_xll.qlSwapRateHelper2(,H17,0,B17,Calendar,D17,E17,F17,G17,I17,C17,Discounting,PillarDate,,Permanent,Trigger,ObjectOverwrite)</f>
        <v>obj_002e2#0001</v>
      </c>
      <c r="K17" s="51"/>
      <c r="L17" s="10" t="str">
        <f t="shared" si="5"/>
        <v>Sw</v>
      </c>
      <c r="M17" s="95" t="str">
        <f t="shared" si="6"/>
        <v>obj_002e7#0001</v>
      </c>
      <c r="N17" s="149" t="str">
        <f>IFERROR(_xll.qlRateHelperQuoteName(M17,Trigger),"--")</f>
        <v>GBP11X1S_Quote</v>
      </c>
      <c r="O17" s="99">
        <f>IFERROR(_xll.qlRateHelperQuoteValue($M17,Trigger),"--")</f>
        <v>5.7125000000000006E-3</v>
      </c>
      <c r="P17" s="144" t="b">
        <v>1</v>
      </c>
      <c r="Q17" s="95">
        <v>40</v>
      </c>
      <c r="R17" s="95">
        <v>1</v>
      </c>
      <c r="S17" s="100">
        <f>IFERROR(_xll.qlRateHelperEarliestDate(M17,Trigger),"--")</f>
        <v>42275</v>
      </c>
      <c r="T17" s="100">
        <f>IFERROR(_xll.qlRateHelperPillarDate(M17,Trigger),"--")</f>
        <v>42612</v>
      </c>
      <c r="V17" s="163" t="str">
        <f t="shared" si="3"/>
        <v>BasSw</v>
      </c>
      <c r="W17" s="163" t="str">
        <v>obj_002c6</v>
      </c>
      <c r="X17" s="163" t="str">
        <f>IFERROR(_xll.qlRateHelperQuoteName(W17,Trigger),"")</f>
        <v>GBPSB6L4Y_Quote</v>
      </c>
      <c r="Y17" s="197">
        <f>IFERROR(_xll.qlRateHelperRate(W17,Trigger),"")</f>
        <v>1.3239999999999998E-2</v>
      </c>
      <c r="Z17" s="198">
        <f>IF(ISERROR(_xll.qlSwapRateHelperSpread($W17)),IF(ISERROR(_xll.qlFuturesRateHelperConvexityAdjustment($W17)),"",_xll.qlFuturesRateHelperConvexityAdjustment($W17)),_xll.qlSwapRateHelperSpread($W17))</f>
        <v>2.0630000000000002E-3</v>
      </c>
      <c r="AA17" s="164">
        <f>IFERROR(_xll.qlRateHelperEarliestDate(W17,Trigger),"")</f>
        <v>42275</v>
      </c>
      <c r="AB17" s="164">
        <f>IFERROR(_xll.qlRateHelperPillarDate(W17,Trigger),"")</f>
        <v>43738</v>
      </c>
      <c r="AC17" s="257">
        <v>0.95613668957211062</v>
      </c>
      <c r="AD17" s="81"/>
      <c r="AE17" s="163">
        <v>7</v>
      </c>
      <c r="AF17" s="164">
        <f>_xll.qlCalendarEndOfMonth(Calendar,_xll.qlCalendarAdvance(Calendar,AF16,"1m","mf",TRUE),Trigger)</f>
        <v>42460</v>
      </c>
      <c r="AG17" s="163" t="str">
        <f t="shared" si="9"/>
        <v>GBPJump7_SYNTHON_Quote</v>
      </c>
      <c r="AH17" s="205">
        <f>_xll.qlDayCounterYearFraction("actual/360",AF17,_xll.qlCalendarAdvance(Calendar,AF17,"1D",,,Trigger))</f>
        <v>2.7777777777777779E-3</v>
      </c>
      <c r="AI17" s="165" t="e">
        <f>IF(_xll.qlQuoteIsValid(AG17,Trigger),_xll.qlQuoteValue(AG17,Trigger),1)</f>
        <v>#NUM!</v>
      </c>
      <c r="AJ17" s="208" t="e">
        <f t="shared" si="10"/>
        <v>#NUM!</v>
      </c>
      <c r="AK17" s="211">
        <v>0</v>
      </c>
      <c r="AL17" s="165">
        <f t="shared" si="11"/>
        <v>1</v>
      </c>
    </row>
    <row r="18" spans="1:38" ht="11.25" customHeight="1" x14ac:dyDescent="0.2">
      <c r="A18" s="62" t="s">
        <v>26</v>
      </c>
      <c r="B18" s="63" t="s">
        <v>47</v>
      </c>
      <c r="C18" s="64" t="s">
        <v>6</v>
      </c>
      <c r="D18" s="64" t="s">
        <v>8</v>
      </c>
      <c r="E18" s="64" t="s">
        <v>7</v>
      </c>
      <c r="F18" s="64" t="s">
        <v>148</v>
      </c>
      <c r="G18" s="64" t="str">
        <f t="shared" si="7"/>
        <v>GbpLibor1M</v>
      </c>
      <c r="H18" s="62" t="str">
        <f t="shared" si="8"/>
        <v>GBP10X1S_Quote</v>
      </c>
      <c r="I18" s="130">
        <v>0</v>
      </c>
      <c r="J18" s="67" t="str">
        <f>_xll.qlSwapRateHelper2(,H18,0,B18,Calendar,D18,E18,F18,G18,I18,C18,Discounting,PillarDate,,Permanent,Trigger,ObjectOverwrite)</f>
        <v>obj_002ca#0001</v>
      </c>
      <c r="K18" s="51"/>
      <c r="L18" s="11" t="str">
        <f t="shared" si="5"/>
        <v>Sw</v>
      </c>
      <c r="M18" s="96" t="str">
        <f t="shared" si="6"/>
        <v>obj_002e4#0001</v>
      </c>
      <c r="N18" s="150" t="str">
        <f>IFERROR(_xll.qlRateHelperQuoteName(M18,Trigger),"--")</f>
        <v>GBP12X1S_Quote</v>
      </c>
      <c r="O18" s="102">
        <f>IFERROR(_xll.qlRateHelperQuoteValue($M18,Trigger),"--")</f>
        <v>5.8125000000000008E-3</v>
      </c>
      <c r="P18" s="147" t="b">
        <v>1</v>
      </c>
      <c r="Q18" s="96">
        <v>40</v>
      </c>
      <c r="R18" s="96">
        <v>1</v>
      </c>
      <c r="S18" s="103">
        <f>IFERROR(_xll.qlRateHelperEarliestDate(M18,Trigger),"--")</f>
        <v>42275</v>
      </c>
      <c r="T18" s="103">
        <f>IFERROR(_xll.qlRateHelperPillarDate(M18,Trigger),"--")</f>
        <v>42641</v>
      </c>
      <c r="V18" s="163" t="str">
        <f t="shared" si="3"/>
        <v>BasSw</v>
      </c>
      <c r="W18" s="163" t="str">
        <v>obj_002d7</v>
      </c>
      <c r="X18" s="163" t="str">
        <f>IFERROR(_xll.qlRateHelperQuoteName(W18,Trigger),"")</f>
        <v>GBPSB6L5Y_Quote</v>
      </c>
      <c r="Y18" s="197">
        <f>IFERROR(_xll.qlRateHelperRate(W18,Trigger),"")</f>
        <v>1.4729999999999998E-2</v>
      </c>
      <c r="Z18" s="198">
        <f>IF(ISERROR(_xll.qlSwapRateHelperSpread($W18)),IF(ISERROR(_xll.qlFuturesRateHelperConvexityAdjustment($W18)),"",_xll.qlFuturesRateHelperConvexityAdjustment($W18)),_xll.qlSwapRateHelperSpread($W18))</f>
        <v>2.088E-3</v>
      </c>
      <c r="AA18" s="164">
        <f>IFERROR(_xll.qlRateHelperEarliestDate(W18,Trigger),"")</f>
        <v>42275</v>
      </c>
      <c r="AB18" s="164">
        <f>IFERROR(_xll.qlRateHelperPillarDate(W18,Trigger),"")</f>
        <v>44102</v>
      </c>
      <c r="AC18" s="257">
        <v>0.93851693935576908</v>
      </c>
      <c r="AD18" s="81"/>
      <c r="AE18" s="163">
        <v>8</v>
      </c>
      <c r="AF18" s="164">
        <f>_xll.qlCalendarEndOfMonth(Calendar,_xll.qlCalendarAdvance(Calendar,AF17,"1m","mf",TRUE),Trigger)</f>
        <v>42489</v>
      </c>
      <c r="AG18" s="163" t="str">
        <f t="shared" si="9"/>
        <v>GBPJump8_SYNTHON_Quote</v>
      </c>
      <c r="AH18" s="205">
        <f>_xll.qlDayCounterYearFraction("actual/360",AF18,_xll.qlCalendarAdvance(Calendar,AF18,"1D",,,Trigger))</f>
        <v>1.1111111111111112E-2</v>
      </c>
      <c r="AI18" s="165" t="e">
        <f>IF(_xll.qlQuoteIsValid(AG18,Trigger),_xll.qlQuoteValue(AG18,Trigger),1)</f>
        <v>#NUM!</v>
      </c>
      <c r="AJ18" s="208" t="e">
        <f t="shared" si="10"/>
        <v>#NUM!</v>
      </c>
      <c r="AK18" s="211">
        <v>0</v>
      </c>
      <c r="AL18" s="165">
        <f t="shared" si="11"/>
        <v>1</v>
      </c>
    </row>
    <row r="19" spans="1:38" ht="11.25" customHeight="1" x14ac:dyDescent="0.2">
      <c r="A19" s="62" t="s">
        <v>26</v>
      </c>
      <c r="B19" s="63" t="s">
        <v>48</v>
      </c>
      <c r="C19" s="64" t="s">
        <v>6</v>
      </c>
      <c r="D19" s="64" t="s">
        <v>8</v>
      </c>
      <c r="E19" s="64" t="s">
        <v>7</v>
      </c>
      <c r="F19" s="64" t="s">
        <v>148</v>
      </c>
      <c r="G19" s="64" t="str">
        <f t="shared" si="7"/>
        <v>GbpLibor1M</v>
      </c>
      <c r="H19" s="62" t="str">
        <f t="shared" si="8"/>
        <v>GBP11X1S_Quote</v>
      </c>
      <c r="I19" s="130">
        <v>0</v>
      </c>
      <c r="J19" s="67" t="str">
        <f>_xll.qlSwapRateHelper2(,H19,0,B19,Calendar,D19,E19,F19,G19,I19,C19,Discounting,PillarDate,,Permanent,Trigger,ObjectOverwrite)</f>
        <v>obj_002e7#0001</v>
      </c>
      <c r="K19" s="51"/>
      <c r="L19" s="160" t="str">
        <f t="shared" ref="L19:L55" si="12">A23</f>
        <v>BasSw</v>
      </c>
      <c r="M19" s="134" t="str">
        <f t="shared" ref="M19:M55" si="13">IF(ISBLANK(J23),"--",J23)</f>
        <v>--</v>
      </c>
      <c r="N19" s="140" t="str">
        <f>IFERROR(_xll.qlRateHelperQuoteName(M19,Trigger),"--")</f>
        <v>--</v>
      </c>
      <c r="O19" s="99" t="str">
        <f>IFERROR(_xll.qlRateHelperQuoteValue($M19,Trigger),"--")</f>
        <v>--</v>
      </c>
      <c r="P19" s="140" t="b">
        <v>0</v>
      </c>
      <c r="Q19" s="140">
        <v>40</v>
      </c>
      <c r="R19" s="140">
        <v>1</v>
      </c>
      <c r="S19" s="137" t="str">
        <f>IFERROR(_xll.qlRateHelperEarliestDate(M19,Trigger),"--")</f>
        <v>--</v>
      </c>
      <c r="T19" s="137" t="str">
        <f>IFERROR(_xll.qlRateHelperPillarDate(M19,Trigger),"--")</f>
        <v>--</v>
      </c>
      <c r="V19" s="163" t="str">
        <f t="shared" si="3"/>
        <v>BasSw</v>
      </c>
      <c r="W19" s="163" t="str">
        <v>obj_002c4</v>
      </c>
      <c r="X19" s="163" t="str">
        <f>IFERROR(_xll.qlRateHelperQuoteName(W19,Trigger),"")</f>
        <v>GBPSB6L6Y_Quote</v>
      </c>
      <c r="Y19" s="197">
        <f>IFERROR(_xll.qlRateHelperRate(W19,Trigger),"")</f>
        <v>1.5939999999999999E-2</v>
      </c>
      <c r="Z19" s="198">
        <f>IF(ISERROR(_xll.qlSwapRateHelperSpread($W19)),IF(ISERROR(_xll.qlFuturesRateHelperConvexityAdjustment($W19)),"",_xll.qlFuturesRateHelperConvexityAdjustment($W19)),_xll.qlSwapRateHelperSpread($W19))</f>
        <v>2.088E-3</v>
      </c>
      <c r="AA19" s="164">
        <f>IFERROR(_xll.qlRateHelperEarliestDate(W19,Trigger),"")</f>
        <v>42275</v>
      </c>
      <c r="AB19" s="164">
        <f>IFERROR(_xll.qlRateHelperPillarDate(W19,Trigger),"")</f>
        <v>44467</v>
      </c>
      <c r="AC19" s="257">
        <v>0.91984764159306132</v>
      </c>
      <c r="AD19" s="81"/>
      <c r="AE19" s="163">
        <v>9</v>
      </c>
      <c r="AF19" s="164">
        <f>_xll.qlCalendarEndOfMonth(Calendar,_xll.qlCalendarAdvance(Calendar,AF18,"1m","mf",TRUE),Trigger)</f>
        <v>42521</v>
      </c>
      <c r="AG19" s="163" t="str">
        <f t="shared" si="9"/>
        <v>GBPJump9_SYNTHON_Quote</v>
      </c>
      <c r="AH19" s="205">
        <f>_xll.qlDayCounterYearFraction("actual/360",AF19,_xll.qlCalendarAdvance(Calendar,AF19,"1D",,,Trigger))</f>
        <v>2.7777777777777779E-3</v>
      </c>
      <c r="AI19" s="165" t="e">
        <f>IF(_xll.qlQuoteIsValid(AG19,Trigger),_xll.qlQuoteValue(AG19,Trigger),1)</f>
        <v>#NUM!</v>
      </c>
      <c r="AJ19" s="208" t="e">
        <f t="shared" si="10"/>
        <v>#NUM!</v>
      </c>
      <c r="AK19" s="211">
        <v>0</v>
      </c>
      <c r="AL19" s="165">
        <f t="shared" si="11"/>
        <v>1</v>
      </c>
    </row>
    <row r="20" spans="1:38" ht="11.25" customHeight="1" x14ac:dyDescent="0.2">
      <c r="A20" s="1" t="s">
        <v>26</v>
      </c>
      <c r="B20" s="8" t="s">
        <v>119</v>
      </c>
      <c r="C20" s="7" t="s">
        <v>6</v>
      </c>
      <c r="D20" s="7" t="s">
        <v>8</v>
      </c>
      <c r="E20" s="7" t="s">
        <v>7</v>
      </c>
      <c r="F20" s="7" t="s">
        <v>148</v>
      </c>
      <c r="G20" s="7" t="str">
        <f t="shared" si="7"/>
        <v>GbpLibor1M</v>
      </c>
      <c r="H20" s="1" t="str">
        <f t="shared" si="8"/>
        <v>GBP12X1S_Quote</v>
      </c>
      <c r="I20" s="133">
        <v>0</v>
      </c>
      <c r="J20" s="3" t="str">
        <f>_xll.qlSwapRateHelper2(,H20,0,B20,Calendar,D20,E20,F20,G20,I20,C20,Discounting,PillarDate,,Permanent,Trigger,ObjectOverwrite)</f>
        <v>obj_002e4#0001</v>
      </c>
      <c r="K20" s="51"/>
      <c r="L20" s="163" t="str">
        <f t="shared" si="12"/>
        <v>BasSw</v>
      </c>
      <c r="M20" s="144" t="str">
        <f t="shared" si="13"/>
        <v>--</v>
      </c>
      <c r="N20" s="144" t="str">
        <f>IFERROR(_xll.qlRateHelperQuoteName(M20,Trigger),"--")</f>
        <v>--</v>
      </c>
      <c r="O20" s="99" t="str">
        <f>IFERROR(_xll.qlRateHelperQuoteValue($M20,Trigger),"--")</f>
        <v>--</v>
      </c>
      <c r="P20" s="144" t="b">
        <v>0</v>
      </c>
      <c r="Q20" s="144">
        <v>40</v>
      </c>
      <c r="R20" s="144">
        <v>1</v>
      </c>
      <c r="S20" s="100" t="str">
        <f>IFERROR(_xll.qlRateHelperEarliestDate(M20,Trigger),"--")</f>
        <v>--</v>
      </c>
      <c r="T20" s="100" t="str">
        <f>IFERROR(_xll.qlRateHelperPillarDate(M20,Trigger),"--")</f>
        <v>--</v>
      </c>
      <c r="V20" s="163" t="str">
        <f t="shared" si="3"/>
        <v>BasSw</v>
      </c>
      <c r="W20" s="163" t="str">
        <v>obj_002cf</v>
      </c>
      <c r="X20" s="163" t="str">
        <f>IFERROR(_xll.qlRateHelperQuoteName(W20,Trigger),"")</f>
        <v>GBPSB6L7Y_Quote</v>
      </c>
      <c r="Y20" s="197">
        <f>IFERROR(_xll.qlRateHelperRate(W20,Trigger),"")</f>
        <v>1.6909999999999998E-2</v>
      </c>
      <c r="Z20" s="198">
        <f>IF(ISERROR(_xll.qlSwapRateHelperSpread($W20)),IF(ISERROR(_xll.qlFuturesRateHelperConvexityAdjustment($W20)),"",_xll.qlFuturesRateHelperConvexityAdjustment($W20)),_xll.qlSwapRateHelperSpread($W20))</f>
        <v>2.075E-3</v>
      </c>
      <c r="AA20" s="164">
        <f>IFERROR(_xll.qlRateHelperEarliestDate(W20,Trigger),"")</f>
        <v>42275</v>
      </c>
      <c r="AB20" s="164">
        <f>IFERROR(_xll.qlRateHelperPillarDate(W20,Trigger),"")</f>
        <v>44832</v>
      </c>
      <c r="AC20" s="257">
        <v>0.90075045673773568</v>
      </c>
      <c r="AD20" s="81"/>
      <c r="AE20" s="163">
        <v>10</v>
      </c>
      <c r="AF20" s="164">
        <f>_xll.qlCalendarEndOfMonth(Calendar,_xll.qlCalendarAdvance(Calendar,AF19,"1m","mf",TRUE),Trigger)</f>
        <v>42551</v>
      </c>
      <c r="AG20" s="163" t="str">
        <f t="shared" si="9"/>
        <v>GBPJump10_SYNTHON_Quote</v>
      </c>
      <c r="AH20" s="205">
        <f>_xll.qlDayCounterYearFraction("actual/360",AF20,_xll.qlCalendarAdvance(Calendar,AF20,"1D",,,Trigger))</f>
        <v>2.7777777777777779E-3</v>
      </c>
      <c r="AI20" s="165" t="e">
        <f>IF(_xll.qlQuoteIsValid(AG20,Trigger),_xll.qlQuoteValue(AG20,Trigger),1)</f>
        <v>#NUM!</v>
      </c>
      <c r="AJ20" s="208" t="e">
        <f t="shared" si="10"/>
        <v>#NUM!</v>
      </c>
      <c r="AK20" s="211">
        <v>0</v>
      </c>
      <c r="AL20" s="165">
        <f t="shared" si="11"/>
        <v>1</v>
      </c>
    </row>
    <row r="21" spans="1:38" ht="11.25" customHeight="1" x14ac:dyDescent="0.2">
      <c r="G21" s="53" t="s">
        <v>150</v>
      </c>
      <c r="H21" s="53" t="s">
        <v>151</v>
      </c>
      <c r="I21" s="49" t="s">
        <v>152</v>
      </c>
      <c r="K21" s="51"/>
      <c r="L21" s="163" t="str">
        <f t="shared" si="12"/>
        <v>BasSw</v>
      </c>
      <c r="M21" s="144" t="str">
        <f t="shared" si="13"/>
        <v>--</v>
      </c>
      <c r="N21" s="144" t="str">
        <f>IFERROR(_xll.qlRateHelperQuoteName(M21,Trigger),"--")</f>
        <v>--</v>
      </c>
      <c r="O21" s="99" t="str">
        <f>IFERROR(_xll.qlRateHelperQuoteValue($M21,Trigger),"--")</f>
        <v>--</v>
      </c>
      <c r="P21" s="144" t="b">
        <v>0</v>
      </c>
      <c r="Q21" s="144">
        <v>40</v>
      </c>
      <c r="R21" s="144">
        <v>1</v>
      </c>
      <c r="S21" s="100" t="str">
        <f>IFERROR(_xll.qlRateHelperEarliestDate(M21,Trigger),"--")</f>
        <v>--</v>
      </c>
      <c r="T21" s="100" t="str">
        <f>IFERROR(_xll.qlRateHelperPillarDate(M21,Trigger),"--")</f>
        <v>--</v>
      </c>
      <c r="V21" s="163" t="str">
        <f t="shared" si="3"/>
        <v>BasSw</v>
      </c>
      <c r="W21" s="163" t="str">
        <v>obj_002c3</v>
      </c>
      <c r="X21" s="163" t="str">
        <f>IFERROR(_xll.qlRateHelperQuoteName(W21,Trigger),"")</f>
        <v>GBPSB6L8Y_Quote</v>
      </c>
      <c r="Y21" s="197">
        <f>IFERROR(_xll.qlRateHelperRate(W21,Trigger),"")</f>
        <v>1.771E-2</v>
      </c>
      <c r="Z21" s="198">
        <f>IF(ISERROR(_xll.qlSwapRateHelperSpread($W21)),IF(ISERROR(_xll.qlFuturesRateHelperConvexityAdjustment($W21)),"",_xll.qlFuturesRateHelperConvexityAdjustment($W21)),_xll.qlSwapRateHelperSpread($W21))</f>
        <v>2.075E-3</v>
      </c>
      <c r="AA21" s="164">
        <f>IFERROR(_xll.qlRateHelperEarliestDate(W21,Trigger),"")</f>
        <v>42275</v>
      </c>
      <c r="AB21" s="164">
        <f>IFERROR(_xll.qlRateHelperPillarDate(W21,Trigger),"")</f>
        <v>45197</v>
      </c>
      <c r="AC21" s="257">
        <v>0.88156676950894197</v>
      </c>
      <c r="AD21" s="81"/>
      <c r="AE21" s="163">
        <v>11</v>
      </c>
      <c r="AF21" s="164">
        <f>_xll.qlCalendarEndOfMonth(Calendar,_xll.qlCalendarAdvance(Calendar,AF20,"1m","mf",TRUE),Trigger)</f>
        <v>42580</v>
      </c>
      <c r="AG21" s="163" t="str">
        <f t="shared" si="9"/>
        <v>GBPJump11_SYNTHON_Quote</v>
      </c>
      <c r="AH21" s="205">
        <f>_xll.qlDayCounterYearFraction("actual/360",AF21,_xll.qlCalendarAdvance(Calendar,AF21,"1D",,,Trigger))</f>
        <v>8.3333333333333332E-3</v>
      </c>
      <c r="AI21" s="165" t="e">
        <f>IF(_xll.qlQuoteIsValid(AG21,Trigger),_xll.qlQuoteValue(AG21,Trigger),1)</f>
        <v>#NUM!</v>
      </c>
      <c r="AJ21" s="208" t="e">
        <f t="shared" si="10"/>
        <v>#NUM!</v>
      </c>
      <c r="AK21" s="211">
        <v>0</v>
      </c>
      <c r="AL21" s="165">
        <f t="shared" si="11"/>
        <v>1</v>
      </c>
    </row>
    <row r="22" spans="1:38" ht="11.25" customHeight="1" x14ac:dyDescent="0.2">
      <c r="A22" s="68" t="s">
        <v>9</v>
      </c>
      <c r="B22" s="68" t="s">
        <v>30</v>
      </c>
      <c r="C22" s="68" t="s">
        <v>133</v>
      </c>
      <c r="D22" s="68" t="s">
        <v>5</v>
      </c>
      <c r="E22" s="68" t="s">
        <v>34</v>
      </c>
      <c r="F22" s="68" t="s">
        <v>118</v>
      </c>
      <c r="G22" s="68" t="s">
        <v>4</v>
      </c>
      <c r="H22" s="68" t="s">
        <v>1</v>
      </c>
      <c r="I22" s="68" t="s">
        <v>117</v>
      </c>
      <c r="J22" s="68" t="s">
        <v>25</v>
      </c>
      <c r="K22" s="51"/>
      <c r="L22" s="163" t="str">
        <f t="shared" si="12"/>
        <v>BasSw</v>
      </c>
      <c r="M22" s="144" t="str">
        <f t="shared" si="13"/>
        <v>--</v>
      </c>
      <c r="N22" s="144" t="str">
        <f>IFERROR(_xll.qlRateHelperQuoteName(M22,Trigger),"--")</f>
        <v>--</v>
      </c>
      <c r="O22" s="99" t="str">
        <f>IFERROR(_xll.qlRateHelperQuoteValue($M22,Trigger),"--")</f>
        <v>--</v>
      </c>
      <c r="P22" s="144" t="b">
        <v>0</v>
      </c>
      <c r="Q22" s="144">
        <v>40</v>
      </c>
      <c r="R22" s="144">
        <v>1</v>
      </c>
      <c r="S22" s="100" t="str">
        <f>IFERROR(_xll.qlRateHelperEarliestDate(M22,Trigger),"--")</f>
        <v>--</v>
      </c>
      <c r="T22" s="100" t="str">
        <f>IFERROR(_xll.qlRateHelperPillarDate(M22,Trigger),"--")</f>
        <v>--</v>
      </c>
      <c r="V22" s="163" t="str">
        <f t="shared" si="3"/>
        <v>BasSw</v>
      </c>
      <c r="W22" s="163" t="str">
        <v>obj_002cc</v>
      </c>
      <c r="X22" s="163" t="str">
        <f>IFERROR(_xll.qlRateHelperQuoteName(W22,Trigger),"")</f>
        <v>GBPSB6L9Y_Quote</v>
      </c>
      <c r="Y22" s="197">
        <f>IFERROR(_xll.qlRateHelperRate(W22,Trigger),"")</f>
        <v>1.839E-2</v>
      </c>
      <c r="Z22" s="198">
        <f>IF(ISERROR(_xll.qlSwapRateHelperSpread($W22)),IF(ISERROR(_xll.qlFuturesRateHelperConvexityAdjustment($W22)),"",_xll.qlFuturesRateHelperConvexityAdjustment($W22)),_xll.qlSwapRateHelperSpread($W22))</f>
        <v>2.0500000000000002E-3</v>
      </c>
      <c r="AA22" s="164">
        <f>IFERROR(_xll.qlRateHelperEarliestDate(W22,Trigger),"")</f>
        <v>42275</v>
      </c>
      <c r="AB22" s="164">
        <f>IFERROR(_xll.qlRateHelperPillarDate(W22,Trigger),"")</f>
        <v>45565</v>
      </c>
      <c r="AC22" s="257">
        <v>0.86197419615749193</v>
      </c>
      <c r="AD22" s="81"/>
      <c r="AE22" s="163">
        <v>12</v>
      </c>
      <c r="AF22" s="164">
        <f>_xll.qlCalendarEndOfMonth(Calendar,_xll.qlCalendarAdvance(Calendar,AF21,"1m","mf",TRUE),Trigger)</f>
        <v>42613</v>
      </c>
      <c r="AG22" s="163" t="str">
        <f t="shared" si="9"/>
        <v>GBPJump12_SYNTHON_Quote</v>
      </c>
      <c r="AH22" s="205">
        <f>_xll.qlDayCounterYearFraction("actual/360",AF22,_xll.qlCalendarAdvance(Calendar,AF22,"1D",,,Trigger))</f>
        <v>2.7777777777777779E-3</v>
      </c>
      <c r="AI22" s="165" t="e">
        <f>IF(_xll.qlQuoteIsValid(AG22,Trigger),_xll.qlQuoteValue(AG22,Trigger),1)</f>
        <v>#NUM!</v>
      </c>
      <c r="AJ22" s="208" t="e">
        <f t="shared" si="10"/>
        <v>#NUM!</v>
      </c>
      <c r="AK22" s="211">
        <v>0</v>
      </c>
      <c r="AL22" s="165">
        <f t="shared" si="11"/>
        <v>1</v>
      </c>
    </row>
    <row r="23" spans="1:38" ht="11.25" customHeight="1" x14ac:dyDescent="0.2">
      <c r="A23" s="160" t="s">
        <v>120</v>
      </c>
      <c r="B23" s="190" t="s">
        <v>29</v>
      </c>
      <c r="C23" s="139" t="s">
        <v>6</v>
      </c>
      <c r="D23" s="139" t="s">
        <v>147</v>
      </c>
      <c r="E23" s="139" t="s">
        <v>7</v>
      </c>
      <c r="F23" s="139" t="s">
        <v>148</v>
      </c>
      <c r="G23" s="139" t="str">
        <f t="shared" ref="G23:G59" si="14">PROPER(Currency)&amp;FamilyName&amp;Tenor</f>
        <v>GbpLibor1M</v>
      </c>
      <c r="H23" s="151" t="str">
        <f t="shared" ref="H23:H59" si="15">Currency&amp;$G$21&amp;$H$21&amp;B23&amp;QuoteSuffix</f>
        <v>GBPSB6L1Y_Quote</v>
      </c>
      <c r="I23" s="199" t="str">
        <f t="shared" ref="I23:I59" si="16">Currency&amp;$I$21&amp;$H$21&amp;B23&amp;QuoteSuffix</f>
        <v>GBP1L6L1Y_Quote</v>
      </c>
      <c r="J23" s="160"/>
      <c r="K23" s="51"/>
      <c r="L23" s="163" t="str">
        <f t="shared" si="12"/>
        <v>BasSw</v>
      </c>
      <c r="M23" s="144" t="str">
        <f t="shared" si="13"/>
        <v>obj_002dc#0001</v>
      </c>
      <c r="N23" s="144" t="str">
        <f>IFERROR(_xll.qlRateHelperQuoteName(M23,Trigger),"--")</f>
        <v>GBPSB6L2Y_Quote</v>
      </c>
      <c r="O23" s="99">
        <f>IFERROR(_xll.qlRateHelperQuoteValue($M23,Trigger),"--")</f>
        <v>9.6200000000000001E-3</v>
      </c>
      <c r="P23" s="144" t="b">
        <v>1</v>
      </c>
      <c r="Q23" s="144">
        <v>40</v>
      </c>
      <c r="R23" s="144">
        <v>1</v>
      </c>
      <c r="S23" s="100">
        <f>IFERROR(_xll.qlRateHelperEarliestDate(M23,Trigger),"--")</f>
        <v>42275</v>
      </c>
      <c r="T23" s="100">
        <f>IFERROR(_xll.qlRateHelperPillarDate(M23,Trigger),"--")</f>
        <v>43006</v>
      </c>
      <c r="V23" s="163" t="str">
        <f t="shared" si="3"/>
        <v>BasSw</v>
      </c>
      <c r="W23" s="163" t="str">
        <v>obj_002da</v>
      </c>
      <c r="X23" s="163" t="str">
        <f>IFERROR(_xll.qlRateHelperQuoteName(W23,Trigger),"")</f>
        <v>GBPSB6L10Y_Quote</v>
      </c>
      <c r="Y23" s="197">
        <f>IFERROR(_xll.qlRateHelperRate(W23,Trigger),"")</f>
        <v>1.8970000000000001E-2</v>
      </c>
      <c r="Z23" s="198">
        <f>IF(ISERROR(_xll.qlSwapRateHelperSpread($W23)),IF(ISERROR(_xll.qlFuturesRateHelperConvexityAdjustment($W23)),"",_xll.qlFuturesRateHelperConvexityAdjustment($W23)),_xll.qlSwapRateHelperSpread($W23))</f>
        <v>2.0249999999999999E-3</v>
      </c>
      <c r="AA23" s="164">
        <f>IFERROR(_xll.qlRateHelperEarliestDate(W23,Trigger),"")</f>
        <v>42275</v>
      </c>
      <c r="AB23" s="164">
        <f>IFERROR(_xll.qlRateHelperPillarDate(W23,Trigger),"")</f>
        <v>45929</v>
      </c>
      <c r="AC23" s="257">
        <v>0.84257507321594549</v>
      </c>
      <c r="AD23" s="81"/>
      <c r="AE23" s="166">
        <v>13</v>
      </c>
      <c r="AF23" s="167">
        <f>_xll.qlCalendarAdjust(Calendar,DATE(YEAR(AF11)+1,12,31),"preceding",Trigger)</f>
        <v>42734</v>
      </c>
      <c r="AG23" s="166" t="str">
        <f t="shared" si="9"/>
        <v>GBPJump13_SYNTHON_Quote</v>
      </c>
      <c r="AH23" s="206">
        <f>_xll.qlDayCounterYearFraction("actual/360",AF23,_xll.qlCalendarAdvance(Calendar,AF23,"1D",,,Trigger))</f>
        <v>1.1111111111111112E-2</v>
      </c>
      <c r="AI23" s="168" t="e">
        <f>IF(_xll.qlQuoteIsValid(AG23,Trigger),_xll.qlQuoteValue(AG23,Trigger),1)</f>
        <v>#NUM!</v>
      </c>
      <c r="AJ23" s="209" t="e">
        <f t="shared" si="10"/>
        <v>#NUM!</v>
      </c>
      <c r="AK23" s="212">
        <v>0</v>
      </c>
      <c r="AL23" s="168">
        <f t="shared" si="11"/>
        <v>1</v>
      </c>
    </row>
    <row r="24" spans="1:38" ht="11.25" customHeight="1" x14ac:dyDescent="0.2">
      <c r="A24" s="163" t="s">
        <v>120</v>
      </c>
      <c r="B24" s="191" t="s">
        <v>49</v>
      </c>
      <c r="C24" s="143" t="s">
        <v>6</v>
      </c>
      <c r="D24" s="143" t="s">
        <v>147</v>
      </c>
      <c r="E24" s="143" t="s">
        <v>7</v>
      </c>
      <c r="F24" s="143" t="s">
        <v>148</v>
      </c>
      <c r="G24" s="143" t="str">
        <f t="shared" si="14"/>
        <v>GbpLibor1M</v>
      </c>
      <c r="H24" s="152" t="str">
        <f t="shared" si="15"/>
        <v>GBPSB6L15M_Quote</v>
      </c>
      <c r="I24" s="200" t="str">
        <f t="shared" si="16"/>
        <v>GBP1L6L15M_Quote</v>
      </c>
      <c r="J24" s="163"/>
      <c r="K24" s="51"/>
      <c r="L24" s="163" t="str">
        <f t="shared" si="12"/>
        <v>BasSw</v>
      </c>
      <c r="M24" s="144" t="str">
        <f t="shared" si="13"/>
        <v>obj_002d5#0001</v>
      </c>
      <c r="N24" s="144" t="str">
        <f>IFERROR(_xll.qlRateHelperQuoteName(M24,Trigger),"--")</f>
        <v>GBPSB6L3Y_Quote</v>
      </c>
      <c r="O24" s="99">
        <f>IFERROR(_xll.qlRateHelperQuoteValue($M24,Trigger),"--")</f>
        <v>1.153E-2</v>
      </c>
      <c r="P24" s="144" t="b">
        <v>1</v>
      </c>
      <c r="Q24" s="144">
        <v>40</v>
      </c>
      <c r="R24" s="144">
        <v>1</v>
      </c>
      <c r="S24" s="100">
        <f>IFERROR(_xll.qlRateHelperEarliestDate(M24,Trigger),"--")</f>
        <v>42275</v>
      </c>
      <c r="T24" s="100">
        <f>IFERROR(_xll.qlRateHelperPillarDate(M24,Trigger),"--")</f>
        <v>43371</v>
      </c>
      <c r="V24" s="163" t="str">
        <f t="shared" si="3"/>
        <v>BasSw</v>
      </c>
      <c r="W24" s="163" t="str">
        <v>obj_002d9</v>
      </c>
      <c r="X24" s="163" t="str">
        <f>IFERROR(_xll.qlRateHelperQuoteName(W24,Trigger),"")</f>
        <v>GBPSB6L12Y_Quote</v>
      </c>
      <c r="Y24" s="197">
        <f>IFERROR(_xll.qlRateHelperRate(W24,Trigger),"")</f>
        <v>1.9889999999999998E-2</v>
      </c>
      <c r="Z24" s="198">
        <f>IF(ISERROR(_xll.qlSwapRateHelperSpread($W24)),IF(ISERROR(_xll.qlFuturesRateHelperConvexityAdjustment($W24)),"",_xll.qlFuturesRateHelperConvexityAdjustment($W24)),_xll.qlSwapRateHelperSpread($W24))</f>
        <v>1.9380000000000001E-3</v>
      </c>
      <c r="AA24" s="164">
        <f>IFERROR(_xll.qlRateHelperEarliestDate(W24,Trigger),"")</f>
        <v>42275</v>
      </c>
      <c r="AB24" s="164">
        <f>IFERROR(_xll.qlRateHelperPillarDate(W24,Trigger),"")</f>
        <v>46658</v>
      </c>
      <c r="AC24" s="257">
        <v>0.8039399800930408</v>
      </c>
      <c r="AD24" s="81"/>
    </row>
    <row r="25" spans="1:38" ht="11.25" customHeight="1" x14ac:dyDescent="0.2">
      <c r="A25" s="163" t="s">
        <v>120</v>
      </c>
      <c r="B25" s="191" t="s">
        <v>50</v>
      </c>
      <c r="C25" s="143" t="s">
        <v>6</v>
      </c>
      <c r="D25" s="143" t="s">
        <v>147</v>
      </c>
      <c r="E25" s="143" t="s">
        <v>7</v>
      </c>
      <c r="F25" s="143" t="s">
        <v>148</v>
      </c>
      <c r="G25" s="143" t="str">
        <f t="shared" si="14"/>
        <v>GbpLibor1M</v>
      </c>
      <c r="H25" s="152" t="str">
        <f t="shared" si="15"/>
        <v>GBPSB6L18M_Quote</v>
      </c>
      <c r="I25" s="200" t="str">
        <f t="shared" si="16"/>
        <v>GBP1L6L18M_Quote</v>
      </c>
      <c r="J25" s="163"/>
      <c r="K25" s="51"/>
      <c r="L25" s="163" t="str">
        <f t="shared" si="12"/>
        <v>BasSw</v>
      </c>
      <c r="M25" s="144" t="str">
        <f t="shared" si="13"/>
        <v>obj_002c6#0001</v>
      </c>
      <c r="N25" s="144" t="str">
        <f>IFERROR(_xll.qlRateHelperQuoteName(M25,Trigger),"--")</f>
        <v>GBPSB6L4Y_Quote</v>
      </c>
      <c r="O25" s="99">
        <f>IFERROR(_xll.qlRateHelperQuoteValue($M25,Trigger),"--")</f>
        <v>1.3239999999999998E-2</v>
      </c>
      <c r="P25" s="144" t="b">
        <v>1</v>
      </c>
      <c r="Q25" s="144">
        <v>40</v>
      </c>
      <c r="R25" s="144">
        <v>1</v>
      </c>
      <c r="S25" s="100">
        <f>IFERROR(_xll.qlRateHelperEarliestDate(M25,Trigger),"--")</f>
        <v>42275</v>
      </c>
      <c r="T25" s="100">
        <f>IFERROR(_xll.qlRateHelperPillarDate(M25,Trigger),"--")</f>
        <v>43738</v>
      </c>
      <c r="V25" s="163" t="str">
        <f t="shared" si="3"/>
        <v>BasSw</v>
      </c>
      <c r="W25" s="163" t="str">
        <v>obj_002c8</v>
      </c>
      <c r="X25" s="163" t="str">
        <f>IFERROR(_xll.qlRateHelperQuoteName(W25,Trigger),"")</f>
        <v>GBPSB6L15Y_Quote</v>
      </c>
      <c r="Y25" s="197">
        <f>IFERROR(_xll.qlRateHelperRate(W25,Trigger),"")</f>
        <v>2.0789999999999996E-2</v>
      </c>
      <c r="Z25" s="198">
        <f>IF(ISERROR(_xll.qlSwapRateHelperSpread($W25)),IF(ISERROR(_xll.qlFuturesRateHelperConvexityAdjustment($W25)),"",_xll.qlFuturesRateHelperConvexityAdjustment($W25)),_xll.qlSwapRateHelperSpread($W25))</f>
        <v>1.738E-3</v>
      </c>
      <c r="AA25" s="164">
        <f>IFERROR(_xll.qlRateHelperEarliestDate(W25,Trigger),"")</f>
        <v>42275</v>
      </c>
      <c r="AB25" s="164">
        <f>IFERROR(_xll.qlRateHelperPillarDate(W25,Trigger),"")</f>
        <v>47756</v>
      </c>
      <c r="AC25" s="257">
        <v>0.74782833689776995</v>
      </c>
      <c r="AD25" s="81"/>
    </row>
    <row r="26" spans="1:38" ht="11.25" customHeight="1" x14ac:dyDescent="0.2">
      <c r="A26" s="163" t="s">
        <v>120</v>
      </c>
      <c r="B26" s="191" t="s">
        <v>51</v>
      </c>
      <c r="C26" s="143" t="s">
        <v>6</v>
      </c>
      <c r="D26" s="143" t="s">
        <v>147</v>
      </c>
      <c r="E26" s="143" t="s">
        <v>7</v>
      </c>
      <c r="F26" s="143" t="s">
        <v>148</v>
      </c>
      <c r="G26" s="143" t="str">
        <f t="shared" si="14"/>
        <v>GbpLibor1M</v>
      </c>
      <c r="H26" s="152" t="str">
        <f t="shared" si="15"/>
        <v>GBPSB6L21M_Quote</v>
      </c>
      <c r="I26" s="200" t="str">
        <f t="shared" si="16"/>
        <v>GBP1L6L21M_Quote</v>
      </c>
      <c r="J26" s="163"/>
      <c r="K26" s="51"/>
      <c r="L26" s="163" t="str">
        <f t="shared" si="12"/>
        <v>BasSw</v>
      </c>
      <c r="M26" s="144" t="str">
        <f t="shared" si="13"/>
        <v>obj_002d7#0001</v>
      </c>
      <c r="N26" s="144" t="str">
        <f>IFERROR(_xll.qlRateHelperQuoteName(M26,Trigger),"--")</f>
        <v>GBPSB6L5Y_Quote</v>
      </c>
      <c r="O26" s="99">
        <f>IFERROR(_xll.qlRateHelperQuoteValue($M26,Trigger),"--")</f>
        <v>1.4729999999999998E-2</v>
      </c>
      <c r="P26" s="144" t="b">
        <v>1</v>
      </c>
      <c r="Q26" s="144">
        <v>40</v>
      </c>
      <c r="R26" s="144">
        <v>1</v>
      </c>
      <c r="S26" s="100">
        <f>IFERROR(_xll.qlRateHelperEarliestDate(M26,Trigger),"--")</f>
        <v>42275</v>
      </c>
      <c r="T26" s="100">
        <f>IFERROR(_xll.qlRateHelperPillarDate(M26,Trigger),"--")</f>
        <v>44102</v>
      </c>
      <c r="V26" s="163" t="str">
        <f t="shared" si="3"/>
        <v>BasSw</v>
      </c>
      <c r="W26" s="163" t="str">
        <v>obj_002cb</v>
      </c>
      <c r="X26" s="163" t="str">
        <f>IFERROR(_xll.qlRateHelperQuoteName(W26,Trigger),"")</f>
        <v>GBPSB6L20Y_Quote</v>
      </c>
      <c r="Y26" s="197">
        <f>IFERROR(_xll.qlRateHelperRate(W26,Trigger),"")</f>
        <v>2.1440000000000001E-2</v>
      </c>
      <c r="Z26" s="198">
        <f>IF(ISERROR(_xll.qlSwapRateHelperSpread($W26)),IF(ISERROR(_xll.qlFuturesRateHelperConvexityAdjustment($W26)),"",_xll.qlFuturesRateHelperConvexityAdjustment($W26)),_xll.qlSwapRateHelperSpread($W26))</f>
        <v>1.5E-3</v>
      </c>
      <c r="AA26" s="164">
        <f>IFERROR(_xll.qlRateHelperEarliestDate(W26,Trigger),"")</f>
        <v>42275</v>
      </c>
      <c r="AB26" s="164">
        <f>IFERROR(_xll.qlRateHelperPillarDate(W26,Trigger),"")</f>
        <v>49580</v>
      </c>
      <c r="AC26" s="257">
        <v>0.66625725791667045</v>
      </c>
      <c r="AD26" s="81"/>
    </row>
    <row r="27" spans="1:38" ht="11.25" customHeight="1" x14ac:dyDescent="0.2">
      <c r="A27" s="163" t="s">
        <v>120</v>
      </c>
      <c r="B27" s="191" t="s">
        <v>52</v>
      </c>
      <c r="C27" s="143" t="s">
        <v>6</v>
      </c>
      <c r="D27" s="143" t="s">
        <v>147</v>
      </c>
      <c r="E27" s="143" t="s">
        <v>7</v>
      </c>
      <c r="F27" s="143" t="s">
        <v>148</v>
      </c>
      <c r="G27" s="143" t="str">
        <f t="shared" si="14"/>
        <v>GbpLibor1M</v>
      </c>
      <c r="H27" s="152" t="str">
        <f t="shared" si="15"/>
        <v>GBPSB6L2Y_Quote</v>
      </c>
      <c r="I27" s="200" t="str">
        <f t="shared" si="16"/>
        <v>GBP1L6L2Y_Quote</v>
      </c>
      <c r="J27" s="163" t="str">
        <f>_xll.qlSwapRateHelper2(,H27,0,B27,Calendar,D27,E27,F27,G27,I27,C27,Discounting,PillarDate,,Permanent,Trigger,ObjectOverwrite)</f>
        <v>obj_002dc#0001</v>
      </c>
      <c r="K27" s="51"/>
      <c r="L27" s="163" t="str">
        <f t="shared" si="12"/>
        <v>BasSw</v>
      </c>
      <c r="M27" s="144" t="str">
        <f t="shared" si="13"/>
        <v>obj_002c4#0001</v>
      </c>
      <c r="N27" s="144" t="str">
        <f>IFERROR(_xll.qlRateHelperQuoteName(M27,Trigger),"--")</f>
        <v>GBPSB6L6Y_Quote</v>
      </c>
      <c r="O27" s="99">
        <f>IFERROR(_xll.qlRateHelperQuoteValue($M27,Trigger),"--")</f>
        <v>1.5939999999999999E-2</v>
      </c>
      <c r="P27" s="144" t="b">
        <v>1</v>
      </c>
      <c r="Q27" s="144">
        <v>40</v>
      </c>
      <c r="R27" s="144">
        <v>1</v>
      </c>
      <c r="S27" s="100">
        <f>IFERROR(_xll.qlRateHelperEarliestDate(M27,Trigger),"--")</f>
        <v>42275</v>
      </c>
      <c r="T27" s="100">
        <f>IFERROR(_xll.qlRateHelperPillarDate(M27,Trigger),"--")</f>
        <v>44467</v>
      </c>
      <c r="V27" s="163" t="str">
        <f t="shared" si="3"/>
        <v>BasSw</v>
      </c>
      <c r="W27" s="163" t="str">
        <v>obj_002d8</v>
      </c>
      <c r="X27" s="163" t="str">
        <f>IFERROR(_xll.qlRateHelperQuoteName(W27,Trigger),"")</f>
        <v>GBPSB6L25Y_Quote</v>
      </c>
      <c r="Y27" s="197">
        <f>IFERROR(_xll.qlRateHelperRate(W27,Trigger),"")</f>
        <v>2.1499999999999998E-2</v>
      </c>
      <c r="Z27" s="198">
        <f>IF(ISERROR(_xll.qlSwapRateHelperSpread($W27)),IF(ISERROR(_xll.qlFuturesRateHelperConvexityAdjustment($W27)),"",_xll.qlFuturesRateHelperConvexityAdjustment($W27)),_xll.qlSwapRateHelperSpread($W27))</f>
        <v>1.3500000000000001E-3</v>
      </c>
      <c r="AA27" s="164">
        <f>IFERROR(_xll.qlRateHelperEarliestDate(W27,Trigger),"")</f>
        <v>42275</v>
      </c>
      <c r="AB27" s="164">
        <f>IFERROR(_xll.qlRateHelperPillarDate(W27,Trigger),"")</f>
        <v>51407</v>
      </c>
      <c r="AC27" s="257">
        <v>0.59937391851979549</v>
      </c>
      <c r="AD27" s="81"/>
    </row>
    <row r="28" spans="1:38" ht="11.25" customHeight="1" x14ac:dyDescent="0.2">
      <c r="A28" s="163" t="s">
        <v>120</v>
      </c>
      <c r="B28" s="191" t="s">
        <v>53</v>
      </c>
      <c r="C28" s="143" t="s">
        <v>6</v>
      </c>
      <c r="D28" s="143" t="s">
        <v>147</v>
      </c>
      <c r="E28" s="143" t="s">
        <v>7</v>
      </c>
      <c r="F28" s="143" t="s">
        <v>148</v>
      </c>
      <c r="G28" s="143" t="str">
        <f t="shared" si="14"/>
        <v>GbpLibor1M</v>
      </c>
      <c r="H28" s="152" t="str">
        <f t="shared" si="15"/>
        <v>GBPSB6L3Y_Quote</v>
      </c>
      <c r="I28" s="200" t="str">
        <f t="shared" si="16"/>
        <v>GBP1L6L3Y_Quote</v>
      </c>
      <c r="J28" s="163" t="str">
        <f>_xll.qlSwapRateHelper2(,H28,0,B28,Calendar,D28,E28,F28,G28,I28,C28,Discounting,PillarDate,,Permanent,Trigger,ObjectOverwrite)</f>
        <v>obj_002d5#0001</v>
      </c>
      <c r="K28" s="51"/>
      <c r="L28" s="163" t="str">
        <f t="shared" si="12"/>
        <v>BasSw</v>
      </c>
      <c r="M28" s="144" t="str">
        <f t="shared" si="13"/>
        <v>obj_002cf#0001</v>
      </c>
      <c r="N28" s="144" t="str">
        <f>IFERROR(_xll.qlRateHelperQuoteName(M28,Trigger),"--")</f>
        <v>GBPSB6L7Y_Quote</v>
      </c>
      <c r="O28" s="99">
        <f>IFERROR(_xll.qlRateHelperQuoteValue($M28,Trigger),"--")</f>
        <v>1.6909999999999998E-2</v>
      </c>
      <c r="P28" s="144" t="b">
        <v>1</v>
      </c>
      <c r="Q28" s="144">
        <v>40</v>
      </c>
      <c r="R28" s="144">
        <v>1</v>
      </c>
      <c r="S28" s="100">
        <f>IFERROR(_xll.qlRateHelperEarliestDate(M28,Trigger),"--")</f>
        <v>42275</v>
      </c>
      <c r="T28" s="100">
        <f>IFERROR(_xll.qlRateHelperPillarDate(M28,Trigger),"--")</f>
        <v>44832</v>
      </c>
      <c r="V28" s="163" t="str">
        <f t="shared" si="3"/>
        <v>BasSw</v>
      </c>
      <c r="W28" s="163" t="str">
        <v>obj_002d1</v>
      </c>
      <c r="X28" s="163" t="str">
        <f>IFERROR(_xll.qlRateHelperQuoteName(W28,Trigger),"")</f>
        <v>GBPSB6L30Y_Quote</v>
      </c>
      <c r="Y28" s="197">
        <f>IFERROR(_xll.qlRateHelperRate(W28,Trigger),"")</f>
        <v>2.145E-2</v>
      </c>
      <c r="Z28" s="198">
        <f>IF(ISERROR(_xll.qlSwapRateHelperSpread($W28)),IF(ISERROR(_xll.qlFuturesRateHelperConvexityAdjustment($W28)),"",_xll.qlFuturesRateHelperConvexityAdjustment($W28)),_xll.qlSwapRateHelperSpread($W28))</f>
        <v>1.225E-3</v>
      </c>
      <c r="AA28" s="164">
        <f>IFERROR(_xll.qlRateHelperEarliestDate(W28,Trigger),"")</f>
        <v>42275</v>
      </c>
      <c r="AB28" s="164">
        <f>IFERROR(_xll.qlRateHelperPillarDate(W28,Trigger),"")</f>
        <v>53233</v>
      </c>
      <c r="AC28" s="257">
        <v>0.54059177308249695</v>
      </c>
      <c r="AD28" s="81"/>
    </row>
    <row r="29" spans="1:38" ht="11.25" customHeight="1" x14ac:dyDescent="0.2">
      <c r="A29" s="163" t="s">
        <v>120</v>
      </c>
      <c r="B29" s="191" t="s">
        <v>54</v>
      </c>
      <c r="C29" s="143" t="s">
        <v>6</v>
      </c>
      <c r="D29" s="143" t="s">
        <v>147</v>
      </c>
      <c r="E29" s="143" t="s">
        <v>7</v>
      </c>
      <c r="F29" s="143" t="s">
        <v>148</v>
      </c>
      <c r="G29" s="143" t="str">
        <f t="shared" si="14"/>
        <v>GbpLibor1M</v>
      </c>
      <c r="H29" s="152" t="str">
        <f t="shared" si="15"/>
        <v>GBPSB6L4Y_Quote</v>
      </c>
      <c r="I29" s="200" t="str">
        <f t="shared" si="16"/>
        <v>GBP1L6L4Y_Quote</v>
      </c>
      <c r="J29" s="163" t="str">
        <f>_xll.qlSwapRateHelper2(,H29,0,B29,Calendar,D29,E29,F29,G29,I29,C29,Discounting,PillarDate,,Permanent,Trigger,ObjectOverwrite)</f>
        <v>obj_002c6#0001</v>
      </c>
      <c r="K29" s="51"/>
      <c r="L29" s="163" t="str">
        <f t="shared" si="12"/>
        <v>BasSw</v>
      </c>
      <c r="M29" s="144" t="str">
        <f t="shared" si="13"/>
        <v>obj_002c3#0001</v>
      </c>
      <c r="N29" s="144" t="str">
        <f>IFERROR(_xll.qlRateHelperQuoteName(M29,Trigger),"--")</f>
        <v>GBPSB6L8Y_Quote</v>
      </c>
      <c r="O29" s="99">
        <f>IFERROR(_xll.qlRateHelperQuoteValue($M29,Trigger),"--")</f>
        <v>1.771E-2</v>
      </c>
      <c r="P29" s="144" t="b">
        <v>1</v>
      </c>
      <c r="Q29" s="144">
        <v>40</v>
      </c>
      <c r="R29" s="144">
        <v>1</v>
      </c>
      <c r="S29" s="100">
        <f>IFERROR(_xll.qlRateHelperEarliestDate(M29,Trigger),"--")</f>
        <v>42275</v>
      </c>
      <c r="T29" s="100">
        <f>IFERROR(_xll.qlRateHelperPillarDate(M29,Trigger),"--")</f>
        <v>45197</v>
      </c>
      <c r="V29" s="163" t="str">
        <f t="shared" si="3"/>
        <v>BasSw</v>
      </c>
      <c r="W29" s="163" t="str">
        <v>obj_002c7</v>
      </c>
      <c r="X29" s="163" t="str">
        <f>IFERROR(_xll.qlRateHelperQuoteName(W29,Trigger),"")</f>
        <v>GBPSB6L40Y_Quote</v>
      </c>
      <c r="Y29" s="197">
        <f>IFERROR(_xll.qlRateHelperRate(W29,Trigger),"")</f>
        <v>2.0959999999999999E-2</v>
      </c>
      <c r="Z29" s="198">
        <f>IF(ISERROR(_xll.qlSwapRateHelperSpread($W29)),IF(ISERROR(_xll.qlFuturesRateHelperConvexityAdjustment($W29)),"",_xll.qlFuturesRateHelperConvexityAdjustment($W29)),_xll.qlSwapRateHelperSpread($W29))</f>
        <v>1.088E-3</v>
      </c>
      <c r="AA29" s="164">
        <f>IFERROR(_xll.qlRateHelperEarliestDate(W29,Trigger),"")</f>
        <v>42275</v>
      </c>
      <c r="AB29" s="164">
        <f>IFERROR(_xll.qlRateHelperPillarDate(W29,Trigger),"")</f>
        <v>56885</v>
      </c>
      <c r="AC29" s="257">
        <v>0.45092128577041868</v>
      </c>
      <c r="AD29" s="81"/>
    </row>
    <row r="30" spans="1:38" ht="11.25" customHeight="1" x14ac:dyDescent="0.2">
      <c r="A30" s="163" t="s">
        <v>120</v>
      </c>
      <c r="B30" s="191" t="s">
        <v>55</v>
      </c>
      <c r="C30" s="143" t="s">
        <v>6</v>
      </c>
      <c r="D30" s="143" t="s">
        <v>147</v>
      </c>
      <c r="E30" s="143" t="s">
        <v>7</v>
      </c>
      <c r="F30" s="143" t="s">
        <v>148</v>
      </c>
      <c r="G30" s="143" t="str">
        <f t="shared" si="14"/>
        <v>GbpLibor1M</v>
      </c>
      <c r="H30" s="152" t="str">
        <f t="shared" si="15"/>
        <v>GBPSB6L5Y_Quote</v>
      </c>
      <c r="I30" s="200" t="str">
        <f t="shared" si="16"/>
        <v>GBP1L6L5Y_Quote</v>
      </c>
      <c r="J30" s="163" t="str">
        <f>_xll.qlSwapRateHelper2(,H30,0,B30,Calendar,D30,E30,F30,G30,I30,C30,Discounting,PillarDate,,Permanent,Trigger,ObjectOverwrite)</f>
        <v>obj_002d7#0001</v>
      </c>
      <c r="K30" s="51"/>
      <c r="L30" s="163" t="str">
        <f t="shared" si="12"/>
        <v>BasSw</v>
      </c>
      <c r="M30" s="144" t="str">
        <f t="shared" si="13"/>
        <v>obj_002cc#0001</v>
      </c>
      <c r="N30" s="144" t="str">
        <f>IFERROR(_xll.qlRateHelperQuoteName(M30,Trigger),"--")</f>
        <v>GBPSB6L9Y_Quote</v>
      </c>
      <c r="O30" s="99">
        <f>IFERROR(_xll.qlRateHelperQuoteValue($M30,Trigger),"--")</f>
        <v>1.839E-2</v>
      </c>
      <c r="P30" s="144" t="b">
        <v>1</v>
      </c>
      <c r="Q30" s="144">
        <v>40</v>
      </c>
      <c r="R30" s="144">
        <v>1</v>
      </c>
      <c r="S30" s="100">
        <f>IFERROR(_xll.qlRateHelperEarliestDate(M30,Trigger),"--")</f>
        <v>42275</v>
      </c>
      <c r="T30" s="100">
        <f>IFERROR(_xll.qlRateHelperPillarDate(M30,Trigger),"--")</f>
        <v>45565</v>
      </c>
      <c r="V30" s="163" t="str">
        <f t="shared" si="3"/>
        <v>BasSw</v>
      </c>
      <c r="W30" s="163" t="str">
        <v>obj_002c5</v>
      </c>
      <c r="X30" s="163" t="str">
        <f>IFERROR(_xll.qlRateHelperQuoteName(W30,Trigger),"")</f>
        <v>GBPSB6L50Y_Quote</v>
      </c>
      <c r="Y30" s="197">
        <f>IFERROR(_xll.qlRateHelperRate(W30,Trigger),"")</f>
        <v>2.051E-2</v>
      </c>
      <c r="Z30" s="198">
        <f>IF(ISERROR(_xll.qlSwapRateHelperSpread($W30)),IF(ISERROR(_xll.qlFuturesRateHelperConvexityAdjustment($W30)),"",_xll.qlFuturesRateHelperConvexityAdjustment($W30)),_xll.qlSwapRateHelperSpread($W30))</f>
        <v>1.0250000000000001E-3</v>
      </c>
      <c r="AA30" s="164">
        <f>IFERROR(_xll.qlRateHelperEarliestDate(W30,Trigger),"")</f>
        <v>42275</v>
      </c>
      <c r="AB30" s="164">
        <f>IFERROR(_xll.qlRateHelperPillarDate(W30,Trigger),"")</f>
        <v>60538</v>
      </c>
      <c r="AC30" s="257">
        <v>0.38084430260896707</v>
      </c>
      <c r="AD30" s="81"/>
    </row>
    <row r="31" spans="1:38" ht="11.25" customHeight="1" x14ac:dyDescent="0.2">
      <c r="A31" s="163" t="s">
        <v>120</v>
      </c>
      <c r="B31" s="191" t="s">
        <v>56</v>
      </c>
      <c r="C31" s="143" t="s">
        <v>6</v>
      </c>
      <c r="D31" s="143" t="s">
        <v>147</v>
      </c>
      <c r="E31" s="143" t="s">
        <v>7</v>
      </c>
      <c r="F31" s="143" t="s">
        <v>148</v>
      </c>
      <c r="G31" s="143" t="str">
        <f t="shared" si="14"/>
        <v>GbpLibor1M</v>
      </c>
      <c r="H31" s="152" t="str">
        <f t="shared" si="15"/>
        <v>GBPSB6L6Y_Quote</v>
      </c>
      <c r="I31" s="200" t="str">
        <f t="shared" si="16"/>
        <v>GBP1L6L6Y_Quote</v>
      </c>
      <c r="J31" s="163" t="str">
        <f>_xll.qlSwapRateHelper2(,H31,0,B31,Calendar,D31,E31,F31,G31,I31,C31,Discounting,PillarDate,,Permanent,Trigger,ObjectOverwrite)</f>
        <v>obj_002c4#0001</v>
      </c>
      <c r="K31" s="51"/>
      <c r="L31" s="163" t="str">
        <f t="shared" si="12"/>
        <v>BasSw</v>
      </c>
      <c r="M31" s="144" t="str">
        <f t="shared" si="13"/>
        <v>obj_002da#0001</v>
      </c>
      <c r="N31" s="144" t="str">
        <f>IFERROR(_xll.qlRateHelperQuoteName(M31,Trigger),"--")</f>
        <v>GBPSB6L10Y_Quote</v>
      </c>
      <c r="O31" s="99">
        <f>IFERROR(_xll.qlRateHelperQuoteValue($M31,Trigger),"--")</f>
        <v>1.8970000000000001E-2</v>
      </c>
      <c r="P31" s="144" t="b">
        <v>1</v>
      </c>
      <c r="Q31" s="144">
        <v>40</v>
      </c>
      <c r="R31" s="144">
        <v>1</v>
      </c>
      <c r="S31" s="100">
        <f>IFERROR(_xll.qlRateHelperEarliestDate(M31,Trigger),"--")</f>
        <v>42275</v>
      </c>
      <c r="T31" s="100">
        <f>IFERROR(_xll.qlRateHelperPillarDate(M31,Trigger),"--")</f>
        <v>45929</v>
      </c>
      <c r="V31" s="163" t="str">
        <f t="shared" si="3"/>
        <v>BasSw</v>
      </c>
      <c r="W31" s="163" t="str">
        <v>obj_002db</v>
      </c>
      <c r="X31" s="163" t="str">
        <f>IFERROR(_xll.qlRateHelperQuoteName(W31,Trigger),"")</f>
        <v>GBPSB6L60Y_Quote</v>
      </c>
      <c r="Y31" s="197">
        <f>IFERROR(_xll.qlRateHelperRate(W31,Trigger),"")</f>
        <v>2.0449999999999999E-2</v>
      </c>
      <c r="Z31" s="198">
        <f>IF(ISERROR(_xll.qlSwapRateHelperSpread($W31)),IF(ISERROR(_xll.qlFuturesRateHelperConvexityAdjustment($W31)),"",_xll.qlFuturesRateHelperConvexityAdjustment($W31)),_xll.qlSwapRateHelperSpread($W31))</f>
        <v>9.6299999999999999E-4</v>
      </c>
      <c r="AA31" s="164">
        <f>IFERROR(_xll.qlRateHelperEarliestDate(W31,Trigger),"")</f>
        <v>42275</v>
      </c>
      <c r="AB31" s="164">
        <f>IFERROR(_xll.qlRateHelperPillarDate(W31,Trigger),"")</f>
        <v>64192</v>
      </c>
      <c r="AC31" s="257">
        <v>0.31347760041781464</v>
      </c>
      <c r="AD31" s="81"/>
    </row>
    <row r="32" spans="1:38" ht="11.25" customHeight="1" x14ac:dyDescent="0.2">
      <c r="A32" s="163" t="s">
        <v>120</v>
      </c>
      <c r="B32" s="191" t="s">
        <v>57</v>
      </c>
      <c r="C32" s="143" t="s">
        <v>6</v>
      </c>
      <c r="D32" s="143" t="s">
        <v>147</v>
      </c>
      <c r="E32" s="143" t="s">
        <v>7</v>
      </c>
      <c r="F32" s="143" t="s">
        <v>148</v>
      </c>
      <c r="G32" s="143" t="str">
        <f t="shared" si="14"/>
        <v>GbpLibor1M</v>
      </c>
      <c r="H32" s="152" t="str">
        <f t="shared" si="15"/>
        <v>GBPSB6L7Y_Quote</v>
      </c>
      <c r="I32" s="200" t="str">
        <f t="shared" si="16"/>
        <v>GBP1L6L7Y_Quote</v>
      </c>
      <c r="J32" s="163" t="str">
        <f>_xll.qlSwapRateHelper2(,H32,0,B32,Calendar,D32,E32,F32,G32,I32,C32,Discounting,PillarDate,,Permanent,Trigger,ObjectOverwrite)</f>
        <v>obj_002cf#0001</v>
      </c>
      <c r="K32" s="51"/>
      <c r="L32" s="163" t="str">
        <f t="shared" si="12"/>
        <v>BasSw</v>
      </c>
      <c r="M32" s="144" t="str">
        <f t="shared" si="13"/>
        <v>--</v>
      </c>
      <c r="N32" s="144" t="str">
        <f>IFERROR(_xll.qlRateHelperQuoteName(M32,Trigger),"--")</f>
        <v>--</v>
      </c>
      <c r="O32" s="99" t="str">
        <f>IFERROR(_xll.qlRateHelperQuoteValue($M32,Trigger),"--")</f>
        <v>--</v>
      </c>
      <c r="P32" s="144" t="b">
        <v>0</v>
      </c>
      <c r="Q32" s="144">
        <v>40</v>
      </c>
      <c r="R32" s="144">
        <v>1</v>
      </c>
      <c r="S32" s="100" t="str">
        <f>IFERROR(_xll.qlRateHelperEarliestDate(M32,Trigger),"--")</f>
        <v>--</v>
      </c>
      <c r="T32" s="100" t="str">
        <f>IFERROR(_xll.qlRateHelperPillarDate(M32,Trigger),"--")</f>
        <v>--</v>
      </c>
      <c r="V32" s="163" t="str">
        <f t="shared" si="3"/>
        <v/>
      </c>
      <c r="W32" s="163" t="e">
        <v>#N/A</v>
      </c>
      <c r="X32" s="163" t="str">
        <f>IFERROR(_xll.qlRateHelperQuoteName(W32,Trigger),"")</f>
        <v/>
      </c>
      <c r="Y32" s="197" t="str">
        <f>IFERROR(_xll.qlRateHelperRate(W32,Trigger),"")</f>
        <v/>
      </c>
      <c r="Z32" s="198" t="str">
        <f>IF(ISERROR(_xll.qlSwapRateHelperSpread($W32)),IF(ISERROR(_xll.qlFuturesRateHelperConvexityAdjustment($W32)),"",_xll.qlFuturesRateHelperConvexityAdjustment($W32)),_xll.qlSwapRateHelperSpread($W32))</f>
        <v/>
      </c>
      <c r="AA32" s="164" t="str">
        <f>IFERROR(_xll.qlRateHelperEarliestDate(W32,Trigger),"")</f>
        <v/>
      </c>
      <c r="AB32" s="164" t="str">
        <f>IFERROR(_xll.qlRateHelperPillarDate(W32,Trigger),"")</f>
        <v/>
      </c>
      <c r="AC32" s="257" t="e">
        <v>#N/A</v>
      </c>
      <c r="AD32" s="81"/>
    </row>
    <row r="33" spans="1:30" ht="11.25" customHeight="1" x14ac:dyDescent="0.2">
      <c r="A33" s="163" t="s">
        <v>120</v>
      </c>
      <c r="B33" s="191" t="s">
        <v>58</v>
      </c>
      <c r="C33" s="143" t="s">
        <v>6</v>
      </c>
      <c r="D33" s="143" t="s">
        <v>147</v>
      </c>
      <c r="E33" s="143" t="s">
        <v>7</v>
      </c>
      <c r="F33" s="143" t="s">
        <v>148</v>
      </c>
      <c r="G33" s="143" t="str">
        <f t="shared" si="14"/>
        <v>GbpLibor1M</v>
      </c>
      <c r="H33" s="152" t="str">
        <f t="shared" si="15"/>
        <v>GBPSB6L8Y_Quote</v>
      </c>
      <c r="I33" s="200" t="str">
        <f t="shared" si="16"/>
        <v>GBP1L6L8Y_Quote</v>
      </c>
      <c r="J33" s="163" t="str">
        <f>_xll.qlSwapRateHelper2(,H33,0,B33,Calendar,D33,E33,F33,G33,I33,C33,Discounting,PillarDate,,Permanent,Trigger,ObjectOverwrite)</f>
        <v>obj_002c3#0001</v>
      </c>
      <c r="K33" s="51"/>
      <c r="L33" s="163" t="str">
        <f t="shared" si="12"/>
        <v>BasSw</v>
      </c>
      <c r="M33" s="144" t="str">
        <f t="shared" si="13"/>
        <v>obj_002d9#0001</v>
      </c>
      <c r="N33" s="144" t="str">
        <f>IFERROR(_xll.qlRateHelperQuoteName(M33,Trigger),"--")</f>
        <v>GBPSB6L12Y_Quote</v>
      </c>
      <c r="O33" s="99">
        <f>IFERROR(_xll.qlRateHelperQuoteValue($M33,Trigger),"--")</f>
        <v>1.9889999999999998E-2</v>
      </c>
      <c r="P33" s="144" t="b">
        <v>1</v>
      </c>
      <c r="Q33" s="144">
        <v>40</v>
      </c>
      <c r="R33" s="144">
        <v>1</v>
      </c>
      <c r="S33" s="100">
        <f>IFERROR(_xll.qlRateHelperEarliestDate(M33,Trigger),"--")</f>
        <v>42275</v>
      </c>
      <c r="T33" s="100">
        <f>IFERROR(_xll.qlRateHelperPillarDate(M33,Trigger),"--")</f>
        <v>46658</v>
      </c>
      <c r="V33" s="163" t="str">
        <f t="shared" si="3"/>
        <v/>
      </c>
      <c r="W33" s="163" t="e">
        <v>#N/A</v>
      </c>
      <c r="X33" s="163" t="str">
        <f>IFERROR(_xll.qlRateHelperQuoteName(W33,Trigger),"")</f>
        <v/>
      </c>
      <c r="Y33" s="197" t="str">
        <f>IFERROR(_xll.qlRateHelperRate(W33,Trigger),"")</f>
        <v/>
      </c>
      <c r="Z33" s="198" t="str">
        <f>IF(ISERROR(_xll.qlSwapRateHelperSpread($W33)),IF(ISERROR(_xll.qlFuturesRateHelperConvexityAdjustment($W33)),"",_xll.qlFuturesRateHelperConvexityAdjustment($W33)),_xll.qlSwapRateHelperSpread($W33))</f>
        <v/>
      </c>
      <c r="AA33" s="164" t="str">
        <f>IFERROR(_xll.qlRateHelperEarliestDate(W33,Trigger),"")</f>
        <v/>
      </c>
      <c r="AB33" s="164" t="str">
        <f>IFERROR(_xll.qlRateHelperPillarDate(W33,Trigger),"")</f>
        <v/>
      </c>
      <c r="AC33" s="257" t="e">
        <v>#N/A</v>
      </c>
      <c r="AD33" s="81"/>
    </row>
    <row r="34" spans="1:30" ht="11.25" customHeight="1" x14ac:dyDescent="0.2">
      <c r="A34" s="163" t="s">
        <v>120</v>
      </c>
      <c r="B34" s="191" t="s">
        <v>59</v>
      </c>
      <c r="C34" s="143" t="s">
        <v>6</v>
      </c>
      <c r="D34" s="143" t="s">
        <v>147</v>
      </c>
      <c r="E34" s="143" t="s">
        <v>7</v>
      </c>
      <c r="F34" s="143" t="s">
        <v>148</v>
      </c>
      <c r="G34" s="143" t="str">
        <f t="shared" si="14"/>
        <v>GbpLibor1M</v>
      </c>
      <c r="H34" s="152" t="str">
        <f t="shared" si="15"/>
        <v>GBPSB6L9Y_Quote</v>
      </c>
      <c r="I34" s="200" t="str">
        <f t="shared" si="16"/>
        <v>GBP1L6L9Y_Quote</v>
      </c>
      <c r="J34" s="163" t="str">
        <f>_xll.qlSwapRateHelper2(,H34,0,B34,Calendar,D34,E34,F34,G34,I34,C34,Discounting,PillarDate,,Permanent,Trigger,ObjectOverwrite)</f>
        <v>obj_002cc#0001</v>
      </c>
      <c r="K34" s="51"/>
      <c r="L34" s="163" t="str">
        <f t="shared" si="12"/>
        <v>BasSw</v>
      </c>
      <c r="M34" s="144" t="str">
        <f t="shared" si="13"/>
        <v>--</v>
      </c>
      <c r="N34" s="144" t="str">
        <f>IFERROR(_xll.qlRateHelperQuoteName(M34,Trigger),"--")</f>
        <v>--</v>
      </c>
      <c r="O34" s="99" t="str">
        <f>IFERROR(_xll.qlRateHelperQuoteValue($M34,Trigger),"--")</f>
        <v>--</v>
      </c>
      <c r="P34" s="144" t="b">
        <v>0</v>
      </c>
      <c r="Q34" s="144">
        <v>40</v>
      </c>
      <c r="R34" s="144">
        <v>1</v>
      </c>
      <c r="S34" s="100" t="str">
        <f>IFERROR(_xll.qlRateHelperEarliestDate(M34,Trigger),"--")</f>
        <v>--</v>
      </c>
      <c r="T34" s="100" t="str">
        <f>IFERROR(_xll.qlRateHelperPillarDate(M34,Trigger),"--")</f>
        <v>--</v>
      </c>
      <c r="V34" s="163" t="str">
        <f t="shared" si="3"/>
        <v/>
      </c>
      <c r="W34" s="163" t="e">
        <v>#N/A</v>
      </c>
      <c r="X34" s="163" t="str">
        <f>IFERROR(_xll.qlRateHelperQuoteName(W34,Trigger),"")</f>
        <v/>
      </c>
      <c r="Y34" s="197" t="str">
        <f>IFERROR(_xll.qlRateHelperRate(W34,Trigger),"")</f>
        <v/>
      </c>
      <c r="Z34" s="198" t="str">
        <f>IF(ISERROR(_xll.qlSwapRateHelperSpread($W34)),IF(ISERROR(_xll.qlFuturesRateHelperConvexityAdjustment($W34)),"",_xll.qlFuturesRateHelperConvexityAdjustment($W34)),_xll.qlSwapRateHelperSpread($W34))</f>
        <v/>
      </c>
      <c r="AA34" s="164" t="str">
        <f>IFERROR(_xll.qlRateHelperEarliestDate(W34,Trigger),"")</f>
        <v/>
      </c>
      <c r="AB34" s="164" t="str">
        <f>IFERROR(_xll.qlRateHelperPillarDate(W34,Trigger),"")</f>
        <v/>
      </c>
      <c r="AC34" s="257" t="e">
        <v>#N/A</v>
      </c>
      <c r="AD34" s="81"/>
    </row>
    <row r="35" spans="1:30" ht="11.25" customHeight="1" x14ac:dyDescent="0.2">
      <c r="A35" s="163" t="s">
        <v>120</v>
      </c>
      <c r="B35" s="191" t="s">
        <v>60</v>
      </c>
      <c r="C35" s="143" t="s">
        <v>6</v>
      </c>
      <c r="D35" s="143" t="s">
        <v>147</v>
      </c>
      <c r="E35" s="143" t="s">
        <v>7</v>
      </c>
      <c r="F35" s="143" t="s">
        <v>148</v>
      </c>
      <c r="G35" s="143" t="str">
        <f t="shared" si="14"/>
        <v>GbpLibor1M</v>
      </c>
      <c r="H35" s="152" t="str">
        <f t="shared" si="15"/>
        <v>GBPSB6L10Y_Quote</v>
      </c>
      <c r="I35" s="200" t="str">
        <f t="shared" si="16"/>
        <v>GBP1L6L10Y_Quote</v>
      </c>
      <c r="J35" s="163" t="str">
        <f>_xll.qlSwapRateHelper2(,H35,0,B35,Calendar,D35,E35,F35,G35,I35,C35,Discounting,PillarDate,,Permanent,Trigger,ObjectOverwrite)</f>
        <v>obj_002da#0001</v>
      </c>
      <c r="K35" s="51"/>
      <c r="L35" s="163" t="str">
        <f t="shared" si="12"/>
        <v>BasSw</v>
      </c>
      <c r="M35" s="144" t="str">
        <f t="shared" si="13"/>
        <v>--</v>
      </c>
      <c r="N35" s="144" t="str">
        <f>IFERROR(_xll.qlRateHelperQuoteName(M35,Trigger),"--")</f>
        <v>--</v>
      </c>
      <c r="O35" s="99" t="str">
        <f>IFERROR(_xll.qlRateHelperQuoteValue($M35,Trigger),"--")</f>
        <v>--</v>
      </c>
      <c r="P35" s="144" t="b">
        <v>0</v>
      </c>
      <c r="Q35" s="144">
        <v>40</v>
      </c>
      <c r="R35" s="144">
        <v>1</v>
      </c>
      <c r="S35" s="100" t="str">
        <f>IFERROR(_xll.qlRateHelperEarliestDate(M35,Trigger),"--")</f>
        <v>--</v>
      </c>
      <c r="T35" s="100" t="str">
        <f>IFERROR(_xll.qlRateHelperPillarDate(M35,Trigger),"--")</f>
        <v>--</v>
      </c>
      <c r="V35" s="163" t="str">
        <f t="shared" si="3"/>
        <v/>
      </c>
      <c r="W35" s="163" t="e">
        <v>#N/A</v>
      </c>
      <c r="X35" s="163" t="str">
        <f>IFERROR(_xll.qlRateHelperQuoteName(W35,Trigger),"")</f>
        <v/>
      </c>
      <c r="Y35" s="197" t="str">
        <f>IFERROR(_xll.qlRateHelperRate(W35,Trigger),"")</f>
        <v/>
      </c>
      <c r="Z35" s="198" t="str">
        <f>IF(ISERROR(_xll.qlSwapRateHelperSpread($W35)),IF(ISERROR(_xll.qlFuturesRateHelperConvexityAdjustment($W35)),"",_xll.qlFuturesRateHelperConvexityAdjustment($W35)),_xll.qlSwapRateHelperSpread($W35))</f>
        <v/>
      </c>
      <c r="AA35" s="164" t="str">
        <f>IFERROR(_xll.qlRateHelperEarliestDate(W35,Trigger),"")</f>
        <v/>
      </c>
      <c r="AB35" s="164" t="str">
        <f>IFERROR(_xll.qlRateHelperPillarDate(W35,Trigger),"")</f>
        <v/>
      </c>
      <c r="AC35" s="257" t="e">
        <v>#N/A</v>
      </c>
    </row>
    <row r="36" spans="1:30" ht="11.25" customHeight="1" x14ac:dyDescent="0.2">
      <c r="A36" s="163" t="s">
        <v>120</v>
      </c>
      <c r="B36" s="191" t="s">
        <v>102</v>
      </c>
      <c r="C36" s="143" t="s">
        <v>6</v>
      </c>
      <c r="D36" s="143" t="s">
        <v>147</v>
      </c>
      <c r="E36" s="143" t="s">
        <v>7</v>
      </c>
      <c r="F36" s="143" t="s">
        <v>148</v>
      </c>
      <c r="G36" s="143" t="str">
        <f t="shared" si="14"/>
        <v>GbpLibor1M</v>
      </c>
      <c r="H36" s="152" t="str">
        <f t="shared" si="15"/>
        <v>GBPSB6L11Y_Quote</v>
      </c>
      <c r="I36" s="200" t="str">
        <f t="shared" si="16"/>
        <v>GBP1L6L11Y_Quote</v>
      </c>
      <c r="J36" s="163"/>
      <c r="K36" s="51"/>
      <c r="L36" s="163" t="str">
        <f t="shared" si="12"/>
        <v>BasSw</v>
      </c>
      <c r="M36" s="144" t="str">
        <f t="shared" si="13"/>
        <v>obj_002c8#0001</v>
      </c>
      <c r="N36" s="144" t="str">
        <f>IFERROR(_xll.qlRateHelperQuoteName(M36,Trigger),"--")</f>
        <v>GBPSB6L15Y_Quote</v>
      </c>
      <c r="O36" s="99">
        <f>IFERROR(_xll.qlRateHelperQuoteValue($M36,Trigger),"--")</f>
        <v>2.0789999999999996E-2</v>
      </c>
      <c r="P36" s="144" t="b">
        <v>1</v>
      </c>
      <c r="Q36" s="144">
        <v>40</v>
      </c>
      <c r="R36" s="144">
        <v>1</v>
      </c>
      <c r="S36" s="100">
        <f>IFERROR(_xll.qlRateHelperEarliestDate(M36,Trigger),"--")</f>
        <v>42275</v>
      </c>
      <c r="T36" s="100">
        <f>IFERROR(_xll.qlRateHelperPillarDate(M36,Trigger),"--")</f>
        <v>47756</v>
      </c>
      <c r="V36" s="163" t="str">
        <f t="shared" si="3"/>
        <v/>
      </c>
      <c r="W36" s="163" t="e">
        <v>#N/A</v>
      </c>
      <c r="X36" s="163" t="str">
        <f>IFERROR(_xll.qlRateHelperQuoteName(W36,Trigger),"")</f>
        <v/>
      </c>
      <c r="Y36" s="197" t="str">
        <f>IFERROR(_xll.qlRateHelperRate(W36,Trigger),"")</f>
        <v/>
      </c>
      <c r="Z36" s="198" t="str">
        <f>IF(ISERROR(_xll.qlSwapRateHelperSpread($W36)),IF(ISERROR(_xll.qlFuturesRateHelperConvexityAdjustment($W36)),"",_xll.qlFuturesRateHelperConvexityAdjustment($W36)),_xll.qlSwapRateHelperSpread($W36))</f>
        <v/>
      </c>
      <c r="AA36" s="164" t="str">
        <f>IFERROR(_xll.qlRateHelperEarliestDate(W36,Trigger),"")</f>
        <v/>
      </c>
      <c r="AB36" s="164" t="str">
        <f>IFERROR(_xll.qlRateHelperPillarDate(W36,Trigger),"")</f>
        <v/>
      </c>
      <c r="AC36" s="257" t="e">
        <v>#N/A</v>
      </c>
    </row>
    <row r="37" spans="1:30" ht="11.25" customHeight="1" x14ac:dyDescent="0.2">
      <c r="A37" s="163" t="s">
        <v>120</v>
      </c>
      <c r="B37" s="191" t="s">
        <v>61</v>
      </c>
      <c r="C37" s="143" t="s">
        <v>6</v>
      </c>
      <c r="D37" s="143" t="s">
        <v>147</v>
      </c>
      <c r="E37" s="143" t="s">
        <v>7</v>
      </c>
      <c r="F37" s="143" t="s">
        <v>148</v>
      </c>
      <c r="G37" s="143" t="str">
        <f t="shared" si="14"/>
        <v>GbpLibor1M</v>
      </c>
      <c r="H37" s="152" t="str">
        <f t="shared" si="15"/>
        <v>GBPSB6L12Y_Quote</v>
      </c>
      <c r="I37" s="200" t="str">
        <f t="shared" si="16"/>
        <v>GBP1L6L12Y_Quote</v>
      </c>
      <c r="J37" s="163" t="str">
        <f>_xll.qlSwapRateHelper2(,H37,0,B37,Calendar,D37,E37,F37,G37,I37,C37,Discounting,PillarDate,,Permanent,Trigger,ObjectOverwrite)</f>
        <v>obj_002d9#0001</v>
      </c>
      <c r="K37" s="51"/>
      <c r="L37" s="163" t="str">
        <f t="shared" si="12"/>
        <v>BasSw</v>
      </c>
      <c r="M37" s="144" t="str">
        <f t="shared" si="13"/>
        <v>--</v>
      </c>
      <c r="N37" s="144" t="str">
        <f>IFERROR(_xll.qlRateHelperQuoteName(M37,Trigger),"--")</f>
        <v>--</v>
      </c>
      <c r="O37" s="99" t="str">
        <f>IFERROR(_xll.qlRateHelperQuoteValue($M37,Trigger),"--")</f>
        <v>--</v>
      </c>
      <c r="P37" s="144" t="b">
        <v>0</v>
      </c>
      <c r="Q37" s="144">
        <v>40</v>
      </c>
      <c r="R37" s="144">
        <v>1</v>
      </c>
      <c r="S37" s="100" t="str">
        <f>IFERROR(_xll.qlRateHelperEarliestDate(M37,Trigger),"--")</f>
        <v>--</v>
      </c>
      <c r="T37" s="100" t="str">
        <f>IFERROR(_xll.qlRateHelperPillarDate(M37,Trigger),"--")</f>
        <v>--</v>
      </c>
      <c r="V37" s="163" t="str">
        <f t="shared" si="3"/>
        <v/>
      </c>
      <c r="W37" s="163" t="e">
        <v>#N/A</v>
      </c>
      <c r="X37" s="163" t="str">
        <f>IFERROR(_xll.qlRateHelperQuoteName(W37,Trigger),"")</f>
        <v/>
      </c>
      <c r="Y37" s="197" t="str">
        <f>IFERROR(_xll.qlRateHelperRate(W37,Trigger),"")</f>
        <v/>
      </c>
      <c r="Z37" s="198" t="str">
        <f>IF(ISERROR(_xll.qlSwapRateHelperSpread($W37)),IF(ISERROR(_xll.qlFuturesRateHelperConvexityAdjustment($W37)),"",_xll.qlFuturesRateHelperConvexityAdjustment($W37)),_xll.qlSwapRateHelperSpread($W37))</f>
        <v/>
      </c>
      <c r="AA37" s="164" t="str">
        <f>IFERROR(_xll.qlRateHelperEarliestDate(W37,Trigger),"")</f>
        <v/>
      </c>
      <c r="AB37" s="164" t="str">
        <f>IFERROR(_xll.qlRateHelperPillarDate(W37,Trigger),"")</f>
        <v/>
      </c>
      <c r="AC37" s="257" t="e">
        <v>#N/A</v>
      </c>
    </row>
    <row r="38" spans="1:30" ht="11.25" customHeight="1" x14ac:dyDescent="0.2">
      <c r="A38" s="163" t="s">
        <v>120</v>
      </c>
      <c r="B38" s="191" t="s">
        <v>103</v>
      </c>
      <c r="C38" s="143" t="s">
        <v>6</v>
      </c>
      <c r="D38" s="143" t="s">
        <v>147</v>
      </c>
      <c r="E38" s="143" t="s">
        <v>7</v>
      </c>
      <c r="F38" s="143" t="s">
        <v>148</v>
      </c>
      <c r="G38" s="143" t="str">
        <f t="shared" si="14"/>
        <v>GbpLibor1M</v>
      </c>
      <c r="H38" s="152" t="str">
        <f t="shared" si="15"/>
        <v>GBPSB6L13Y_Quote</v>
      </c>
      <c r="I38" s="200" t="str">
        <f t="shared" si="16"/>
        <v>GBP1L6L13Y_Quote</v>
      </c>
      <c r="J38" s="163"/>
      <c r="K38" s="51"/>
      <c r="L38" s="163" t="str">
        <f t="shared" si="12"/>
        <v>BasSw</v>
      </c>
      <c r="M38" s="144" t="str">
        <f t="shared" si="13"/>
        <v>--</v>
      </c>
      <c r="N38" s="144" t="str">
        <f>IFERROR(_xll.qlRateHelperQuoteName(M38,Trigger),"--")</f>
        <v>--</v>
      </c>
      <c r="O38" s="99" t="str">
        <f>IFERROR(_xll.qlRateHelperQuoteValue($M38,Trigger),"--")</f>
        <v>--</v>
      </c>
      <c r="P38" s="144" t="b">
        <v>0</v>
      </c>
      <c r="Q38" s="144">
        <v>40</v>
      </c>
      <c r="R38" s="144">
        <v>1</v>
      </c>
      <c r="S38" s="100" t="str">
        <f>IFERROR(_xll.qlRateHelperEarliestDate(M38,Trigger),"--")</f>
        <v>--</v>
      </c>
      <c r="T38" s="100" t="str">
        <f>IFERROR(_xll.qlRateHelperPillarDate(M38,Trigger),"--")</f>
        <v>--</v>
      </c>
      <c r="V38" s="163" t="str">
        <f t="shared" si="3"/>
        <v/>
      </c>
      <c r="W38" s="163" t="e">
        <v>#N/A</v>
      </c>
      <c r="X38" s="163" t="str">
        <f>IFERROR(_xll.qlRateHelperQuoteName(W38,Trigger),"")</f>
        <v/>
      </c>
      <c r="Y38" s="197" t="str">
        <f>IFERROR(_xll.qlRateHelperRate(W38,Trigger),"")</f>
        <v/>
      </c>
      <c r="Z38" s="198" t="str">
        <f>IF(ISERROR(_xll.qlSwapRateHelperSpread($W38)),IF(ISERROR(_xll.qlFuturesRateHelperConvexityAdjustment($W38)),"",_xll.qlFuturesRateHelperConvexityAdjustment($W38)),_xll.qlSwapRateHelperSpread($W38))</f>
        <v/>
      </c>
      <c r="AA38" s="164" t="str">
        <f>IFERROR(_xll.qlRateHelperEarliestDate(W38,Trigger),"")</f>
        <v/>
      </c>
      <c r="AB38" s="164" t="str">
        <f>IFERROR(_xll.qlRateHelperPillarDate(W38,Trigger),"")</f>
        <v/>
      </c>
      <c r="AC38" s="257" t="e">
        <v>#N/A</v>
      </c>
    </row>
    <row r="39" spans="1:30" ht="11.25" customHeight="1" x14ac:dyDescent="0.2">
      <c r="A39" s="163" t="s">
        <v>120</v>
      </c>
      <c r="B39" s="191" t="s">
        <v>104</v>
      </c>
      <c r="C39" s="143" t="s">
        <v>6</v>
      </c>
      <c r="D39" s="143" t="s">
        <v>147</v>
      </c>
      <c r="E39" s="143" t="s">
        <v>7</v>
      </c>
      <c r="F39" s="143" t="s">
        <v>148</v>
      </c>
      <c r="G39" s="143" t="str">
        <f t="shared" si="14"/>
        <v>GbpLibor1M</v>
      </c>
      <c r="H39" s="152" t="str">
        <f t="shared" si="15"/>
        <v>GBPSB6L14Y_Quote</v>
      </c>
      <c r="I39" s="200" t="str">
        <f t="shared" si="16"/>
        <v>GBP1L6L14Y_Quote</v>
      </c>
      <c r="J39" s="163"/>
      <c r="K39" s="51"/>
      <c r="L39" s="163" t="str">
        <f t="shared" si="12"/>
        <v>BasSw</v>
      </c>
      <c r="M39" s="144" t="str">
        <f t="shared" si="13"/>
        <v>--</v>
      </c>
      <c r="N39" s="144" t="str">
        <f>IFERROR(_xll.qlRateHelperQuoteName(M39,Trigger),"--")</f>
        <v>--</v>
      </c>
      <c r="O39" s="99" t="str">
        <f>IFERROR(_xll.qlRateHelperQuoteValue($M39,Trigger),"--")</f>
        <v>--</v>
      </c>
      <c r="P39" s="144" t="b">
        <v>0</v>
      </c>
      <c r="Q39" s="144">
        <v>40</v>
      </c>
      <c r="R39" s="144">
        <v>1</v>
      </c>
      <c r="S39" s="100" t="str">
        <f>IFERROR(_xll.qlRateHelperEarliestDate(M39,Trigger),"--")</f>
        <v>--</v>
      </c>
      <c r="T39" s="100" t="str">
        <f>IFERROR(_xll.qlRateHelperPillarDate(M39,Trigger),"--")</f>
        <v>--</v>
      </c>
      <c r="V39" s="163" t="str">
        <f t="shared" si="3"/>
        <v/>
      </c>
      <c r="W39" s="163" t="e">
        <v>#N/A</v>
      </c>
      <c r="X39" s="163" t="str">
        <f>IFERROR(_xll.qlRateHelperQuoteName(W39,Trigger),"")</f>
        <v/>
      </c>
      <c r="Y39" s="197" t="str">
        <f>IFERROR(_xll.qlRateHelperRate(W39,Trigger),"")</f>
        <v/>
      </c>
      <c r="Z39" s="198" t="str">
        <f>IF(ISERROR(_xll.qlSwapRateHelperSpread($W39)),IF(ISERROR(_xll.qlFuturesRateHelperConvexityAdjustment($W39)),"",_xll.qlFuturesRateHelperConvexityAdjustment($W39)),_xll.qlSwapRateHelperSpread($W39))</f>
        <v/>
      </c>
      <c r="AA39" s="164" t="str">
        <f>IFERROR(_xll.qlRateHelperEarliestDate(W39,Trigger),"")</f>
        <v/>
      </c>
      <c r="AB39" s="164" t="str">
        <f>IFERROR(_xll.qlRateHelperPillarDate(W39,Trigger),"")</f>
        <v/>
      </c>
      <c r="AC39" s="257" t="e">
        <v>#N/A</v>
      </c>
    </row>
    <row r="40" spans="1:30" ht="11.25" customHeight="1" x14ac:dyDescent="0.2">
      <c r="A40" s="163" t="s">
        <v>120</v>
      </c>
      <c r="B40" s="191" t="s">
        <v>62</v>
      </c>
      <c r="C40" s="143" t="s">
        <v>6</v>
      </c>
      <c r="D40" s="143" t="s">
        <v>147</v>
      </c>
      <c r="E40" s="143" t="s">
        <v>7</v>
      </c>
      <c r="F40" s="143" t="s">
        <v>148</v>
      </c>
      <c r="G40" s="143" t="str">
        <f t="shared" si="14"/>
        <v>GbpLibor1M</v>
      </c>
      <c r="H40" s="152" t="str">
        <f t="shared" si="15"/>
        <v>GBPSB6L15Y_Quote</v>
      </c>
      <c r="I40" s="200" t="str">
        <f t="shared" si="16"/>
        <v>GBP1L6L15Y_Quote</v>
      </c>
      <c r="J40" s="163" t="str">
        <f>_xll.qlSwapRateHelper2(,H40,0,B40,Calendar,D40,E40,F40,G40,I40,C40,Discounting,PillarDate,,Permanent,Trigger,ObjectOverwrite)</f>
        <v>obj_002c8#0001</v>
      </c>
      <c r="K40" s="51"/>
      <c r="L40" s="163" t="str">
        <f t="shared" si="12"/>
        <v>BasSw</v>
      </c>
      <c r="M40" s="144" t="str">
        <f t="shared" si="13"/>
        <v>--</v>
      </c>
      <c r="N40" s="144" t="str">
        <f>IFERROR(_xll.qlRateHelperQuoteName(M40,Trigger),"--")</f>
        <v>--</v>
      </c>
      <c r="O40" s="99" t="str">
        <f>IFERROR(_xll.qlRateHelperQuoteValue($M40,Trigger),"--")</f>
        <v>--</v>
      </c>
      <c r="P40" s="144" t="b">
        <v>0</v>
      </c>
      <c r="Q40" s="144">
        <v>40</v>
      </c>
      <c r="R40" s="144">
        <v>1</v>
      </c>
      <c r="S40" s="100" t="str">
        <f>IFERROR(_xll.qlRateHelperEarliestDate(M40,Trigger),"--")</f>
        <v>--</v>
      </c>
      <c r="T40" s="100" t="str">
        <f>IFERROR(_xll.qlRateHelperPillarDate(M40,Trigger),"--")</f>
        <v>--</v>
      </c>
      <c r="V40" s="163" t="str">
        <f t="shared" si="3"/>
        <v/>
      </c>
      <c r="W40" s="163" t="e">
        <v>#N/A</v>
      </c>
      <c r="X40" s="163" t="str">
        <f>IFERROR(_xll.qlRateHelperQuoteName(W40,Trigger),"")</f>
        <v/>
      </c>
      <c r="Y40" s="197" t="str">
        <f>IFERROR(_xll.qlRateHelperRate(W40,Trigger),"")</f>
        <v/>
      </c>
      <c r="Z40" s="198" t="str">
        <f>IF(ISERROR(_xll.qlSwapRateHelperSpread($W40)),IF(ISERROR(_xll.qlFuturesRateHelperConvexityAdjustment($W40)),"",_xll.qlFuturesRateHelperConvexityAdjustment($W40)),_xll.qlSwapRateHelperSpread($W40))</f>
        <v/>
      </c>
      <c r="AA40" s="164" t="str">
        <f>IFERROR(_xll.qlRateHelperEarliestDate(W40,Trigger),"")</f>
        <v/>
      </c>
      <c r="AB40" s="164" t="str">
        <f>IFERROR(_xll.qlRateHelperPillarDate(W40,Trigger),"")</f>
        <v/>
      </c>
      <c r="AC40" s="257" t="e">
        <v>#N/A</v>
      </c>
    </row>
    <row r="41" spans="1:30" ht="11.25" customHeight="1" x14ac:dyDescent="0.2">
      <c r="A41" s="163" t="s">
        <v>120</v>
      </c>
      <c r="B41" s="191" t="s">
        <v>105</v>
      </c>
      <c r="C41" s="143" t="s">
        <v>6</v>
      </c>
      <c r="D41" s="143" t="s">
        <v>147</v>
      </c>
      <c r="E41" s="143" t="s">
        <v>7</v>
      </c>
      <c r="F41" s="143" t="s">
        <v>148</v>
      </c>
      <c r="G41" s="143" t="str">
        <f t="shared" si="14"/>
        <v>GbpLibor1M</v>
      </c>
      <c r="H41" s="152" t="str">
        <f t="shared" si="15"/>
        <v>GBPSB6L16Y_Quote</v>
      </c>
      <c r="I41" s="200" t="str">
        <f t="shared" si="16"/>
        <v>GBP1L6L16Y_Quote</v>
      </c>
      <c r="J41" s="163"/>
      <c r="L41" s="163" t="str">
        <f t="shared" si="12"/>
        <v>BasSw</v>
      </c>
      <c r="M41" s="144" t="str">
        <f t="shared" si="13"/>
        <v>obj_002cb#0001</v>
      </c>
      <c r="N41" s="144" t="str">
        <f>IFERROR(_xll.qlRateHelperQuoteName(M41,Trigger),"--")</f>
        <v>GBPSB6L20Y_Quote</v>
      </c>
      <c r="O41" s="99">
        <f>IFERROR(_xll.qlRateHelperQuoteValue($M41,Trigger),"--")</f>
        <v>2.1440000000000001E-2</v>
      </c>
      <c r="P41" s="144" t="b">
        <v>1</v>
      </c>
      <c r="Q41" s="144">
        <v>40</v>
      </c>
      <c r="R41" s="144">
        <v>1</v>
      </c>
      <c r="S41" s="100">
        <f>IFERROR(_xll.qlRateHelperEarliestDate(M41,Trigger),"--")</f>
        <v>42275</v>
      </c>
      <c r="T41" s="100">
        <f>IFERROR(_xll.qlRateHelperPillarDate(M41,Trigger),"--")</f>
        <v>49580</v>
      </c>
      <c r="V41" s="163" t="str">
        <f t="shared" si="3"/>
        <v/>
      </c>
      <c r="W41" s="163" t="e">
        <v>#N/A</v>
      </c>
      <c r="X41" s="163" t="str">
        <f>IFERROR(_xll.qlRateHelperQuoteName(W41,Trigger),"")</f>
        <v/>
      </c>
      <c r="Y41" s="197" t="str">
        <f>IFERROR(_xll.qlRateHelperRate(W41,Trigger),"")</f>
        <v/>
      </c>
      <c r="Z41" s="198" t="str">
        <f>IF(ISERROR(_xll.qlSwapRateHelperSpread($W41)),IF(ISERROR(_xll.qlFuturesRateHelperConvexityAdjustment($W41)),"",_xll.qlFuturesRateHelperConvexityAdjustment($W41)),_xll.qlSwapRateHelperSpread($W41))</f>
        <v/>
      </c>
      <c r="AA41" s="164" t="str">
        <f>IFERROR(_xll.qlRateHelperEarliestDate(W41,Trigger),"")</f>
        <v/>
      </c>
      <c r="AB41" s="164" t="str">
        <f>IFERROR(_xll.qlRateHelperPillarDate(W41,Trigger),"")</f>
        <v/>
      </c>
      <c r="AC41" s="257" t="e">
        <v>#N/A</v>
      </c>
    </row>
    <row r="42" spans="1:30" ht="11.25" customHeight="1" x14ac:dyDescent="0.2">
      <c r="A42" s="163" t="s">
        <v>120</v>
      </c>
      <c r="B42" s="191" t="s">
        <v>106</v>
      </c>
      <c r="C42" s="143" t="s">
        <v>6</v>
      </c>
      <c r="D42" s="143" t="s">
        <v>147</v>
      </c>
      <c r="E42" s="143" t="s">
        <v>7</v>
      </c>
      <c r="F42" s="143" t="s">
        <v>148</v>
      </c>
      <c r="G42" s="143" t="str">
        <f t="shared" si="14"/>
        <v>GbpLibor1M</v>
      </c>
      <c r="H42" s="152" t="str">
        <f t="shared" si="15"/>
        <v>GBPSB6L17Y_Quote</v>
      </c>
      <c r="I42" s="200" t="str">
        <f t="shared" si="16"/>
        <v>GBP1L6L17Y_Quote</v>
      </c>
      <c r="J42" s="163"/>
      <c r="L42" s="163" t="str">
        <f t="shared" si="12"/>
        <v>BasSw</v>
      </c>
      <c r="M42" s="144" t="str">
        <f t="shared" si="13"/>
        <v>--</v>
      </c>
      <c r="N42" s="144" t="str">
        <f>IFERROR(_xll.qlRateHelperQuoteName(M42,Trigger),"--")</f>
        <v>--</v>
      </c>
      <c r="O42" s="99" t="str">
        <f>IFERROR(_xll.qlRateHelperQuoteValue($M42,Trigger),"--")</f>
        <v>--</v>
      </c>
      <c r="P42" s="144" t="b">
        <v>0</v>
      </c>
      <c r="Q42" s="144">
        <v>40</v>
      </c>
      <c r="R42" s="144">
        <v>1</v>
      </c>
      <c r="S42" s="100" t="str">
        <f>IFERROR(_xll.qlRateHelperEarliestDate(M42,Trigger),"--")</f>
        <v>--</v>
      </c>
      <c r="T42" s="100" t="str">
        <f>IFERROR(_xll.qlRateHelperPillarDate(M42,Trigger),"--")</f>
        <v>--</v>
      </c>
      <c r="V42" s="163" t="str">
        <f t="shared" si="3"/>
        <v/>
      </c>
      <c r="W42" s="163" t="e">
        <v>#N/A</v>
      </c>
      <c r="X42" s="163" t="str">
        <f>IFERROR(_xll.qlRateHelperQuoteName(W42,Trigger),"")</f>
        <v/>
      </c>
      <c r="Y42" s="197" t="str">
        <f>IFERROR(_xll.qlRateHelperRate(W42,Trigger),"")</f>
        <v/>
      </c>
      <c r="Z42" s="198" t="str">
        <f>IF(ISERROR(_xll.qlSwapRateHelperSpread($W42)),IF(ISERROR(_xll.qlFuturesRateHelperConvexityAdjustment($W42)),"",_xll.qlFuturesRateHelperConvexityAdjustment($W42)),_xll.qlSwapRateHelperSpread($W42))</f>
        <v/>
      </c>
      <c r="AA42" s="164" t="str">
        <f>IFERROR(_xll.qlRateHelperEarliestDate(W42,Trigger),"")</f>
        <v/>
      </c>
      <c r="AB42" s="164" t="str">
        <f>IFERROR(_xll.qlRateHelperPillarDate(W42,Trigger),"")</f>
        <v/>
      </c>
      <c r="AC42" s="257" t="e">
        <v>#N/A</v>
      </c>
    </row>
    <row r="43" spans="1:30" ht="11.25" customHeight="1" x14ac:dyDescent="0.2">
      <c r="A43" s="163" t="s">
        <v>120</v>
      </c>
      <c r="B43" s="191" t="s">
        <v>107</v>
      </c>
      <c r="C43" s="143" t="s">
        <v>6</v>
      </c>
      <c r="D43" s="143" t="s">
        <v>147</v>
      </c>
      <c r="E43" s="143" t="s">
        <v>7</v>
      </c>
      <c r="F43" s="143" t="s">
        <v>148</v>
      </c>
      <c r="G43" s="143" t="str">
        <f t="shared" si="14"/>
        <v>GbpLibor1M</v>
      </c>
      <c r="H43" s="152" t="str">
        <f t="shared" si="15"/>
        <v>GBPSB6L18Y_Quote</v>
      </c>
      <c r="I43" s="200" t="str">
        <f t="shared" si="16"/>
        <v>GBP1L6L18Y_Quote</v>
      </c>
      <c r="J43" s="163"/>
      <c r="L43" s="163" t="str">
        <f t="shared" si="12"/>
        <v>BasSw</v>
      </c>
      <c r="M43" s="144" t="str">
        <f t="shared" si="13"/>
        <v>--</v>
      </c>
      <c r="N43" s="144" t="str">
        <f>IFERROR(_xll.qlRateHelperQuoteName(M43,Trigger),"--")</f>
        <v>--</v>
      </c>
      <c r="O43" s="99" t="str">
        <f>IFERROR(_xll.qlRateHelperQuoteValue($M43,Trigger),"--")</f>
        <v>--</v>
      </c>
      <c r="P43" s="144" t="b">
        <v>0</v>
      </c>
      <c r="Q43" s="144">
        <v>40</v>
      </c>
      <c r="R43" s="144">
        <v>1</v>
      </c>
      <c r="S43" s="100" t="str">
        <f>IFERROR(_xll.qlRateHelperEarliestDate(M43,Trigger),"--")</f>
        <v>--</v>
      </c>
      <c r="T43" s="100" t="str">
        <f>IFERROR(_xll.qlRateHelperPillarDate(M43,Trigger),"--")</f>
        <v>--</v>
      </c>
      <c r="V43" s="163" t="str">
        <f t="shared" si="3"/>
        <v/>
      </c>
      <c r="W43" s="163" t="e">
        <v>#N/A</v>
      </c>
      <c r="X43" s="163" t="str">
        <f>IFERROR(_xll.qlRateHelperQuoteName(W43,Trigger),"")</f>
        <v/>
      </c>
      <c r="Y43" s="197" t="str">
        <f>IFERROR(_xll.qlRateHelperRate(W43,Trigger),"")</f>
        <v/>
      </c>
      <c r="Z43" s="198" t="str">
        <f>IF(ISERROR(_xll.qlSwapRateHelperSpread($W43)),IF(ISERROR(_xll.qlFuturesRateHelperConvexityAdjustment($W43)),"",_xll.qlFuturesRateHelperConvexityAdjustment($W43)),_xll.qlSwapRateHelperSpread($W43))</f>
        <v/>
      </c>
      <c r="AA43" s="164" t="str">
        <f>IFERROR(_xll.qlRateHelperEarliestDate(W43,Trigger),"")</f>
        <v/>
      </c>
      <c r="AB43" s="164" t="str">
        <f>IFERROR(_xll.qlRateHelperPillarDate(W43,Trigger),"")</f>
        <v/>
      </c>
      <c r="AC43" s="257" t="e">
        <v>#N/A</v>
      </c>
    </row>
    <row r="44" spans="1:30" ht="11.25" customHeight="1" x14ac:dyDescent="0.2">
      <c r="A44" s="163" t="s">
        <v>120</v>
      </c>
      <c r="B44" s="191" t="s">
        <v>108</v>
      </c>
      <c r="C44" s="143" t="s">
        <v>6</v>
      </c>
      <c r="D44" s="143" t="s">
        <v>147</v>
      </c>
      <c r="E44" s="143" t="s">
        <v>7</v>
      </c>
      <c r="F44" s="143" t="s">
        <v>148</v>
      </c>
      <c r="G44" s="143" t="str">
        <f t="shared" si="14"/>
        <v>GbpLibor1M</v>
      </c>
      <c r="H44" s="152" t="str">
        <f t="shared" si="15"/>
        <v>GBPSB6L19Y_Quote</v>
      </c>
      <c r="I44" s="200" t="str">
        <f t="shared" si="16"/>
        <v>GBP1L6L19Y_Quote</v>
      </c>
      <c r="J44" s="163"/>
      <c r="L44" s="163" t="str">
        <f t="shared" si="12"/>
        <v>BasSw</v>
      </c>
      <c r="M44" s="144" t="str">
        <f t="shared" si="13"/>
        <v>--</v>
      </c>
      <c r="N44" s="144" t="str">
        <f>IFERROR(_xll.qlRateHelperQuoteName(M44,Trigger),"--")</f>
        <v>--</v>
      </c>
      <c r="O44" s="99" t="str">
        <f>IFERROR(_xll.qlRateHelperQuoteValue($M44,Trigger),"--")</f>
        <v>--</v>
      </c>
      <c r="P44" s="144" t="b">
        <v>0</v>
      </c>
      <c r="Q44" s="144">
        <v>40</v>
      </c>
      <c r="R44" s="144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163" t="str">
        <f t="shared" si="3"/>
        <v/>
      </c>
      <c r="W44" s="163" t="e">
        <v>#N/A</v>
      </c>
      <c r="X44" s="163" t="str">
        <f>IFERROR(_xll.qlRateHelperQuoteName(W44,Trigger),"")</f>
        <v/>
      </c>
      <c r="Y44" s="197" t="str">
        <f>IFERROR(_xll.qlRateHelperRate(W44,Trigger),"")</f>
        <v/>
      </c>
      <c r="Z44" s="198" t="str">
        <f>IF(ISERROR(_xll.qlSwapRateHelperSpread($W44)),IF(ISERROR(_xll.qlFuturesRateHelperConvexityAdjustment($W44)),"",_xll.qlFuturesRateHelperConvexityAdjustment($W44)),_xll.qlSwapRateHelperSpread($W44))</f>
        <v/>
      </c>
      <c r="AA44" s="164" t="str">
        <f>IFERROR(_xll.qlRateHelperEarliestDate(W44,Trigger),"")</f>
        <v/>
      </c>
      <c r="AB44" s="164" t="str">
        <f>IFERROR(_xll.qlRateHelperPillarDate(W44,Trigger),"")</f>
        <v/>
      </c>
      <c r="AC44" s="257" t="e">
        <v>#N/A</v>
      </c>
    </row>
    <row r="45" spans="1:30" ht="11.25" customHeight="1" x14ac:dyDescent="0.2">
      <c r="A45" s="163" t="s">
        <v>120</v>
      </c>
      <c r="B45" s="191" t="s">
        <v>63</v>
      </c>
      <c r="C45" s="143" t="s">
        <v>6</v>
      </c>
      <c r="D45" s="143" t="s">
        <v>147</v>
      </c>
      <c r="E45" s="143" t="s">
        <v>7</v>
      </c>
      <c r="F45" s="143" t="s">
        <v>148</v>
      </c>
      <c r="G45" s="143" t="str">
        <f t="shared" si="14"/>
        <v>GbpLibor1M</v>
      </c>
      <c r="H45" s="152" t="str">
        <f t="shared" si="15"/>
        <v>GBPSB6L20Y_Quote</v>
      </c>
      <c r="I45" s="200" t="str">
        <f t="shared" si="16"/>
        <v>GBP1L6L20Y_Quote</v>
      </c>
      <c r="J45" s="163" t="str">
        <f>_xll.qlSwapRateHelper2(,H45,0,B45,Calendar,D45,E45,F45,G45,I45,C45,Discounting,PillarDate,,Permanent,Trigger,ObjectOverwrite)</f>
        <v>obj_002cb#0001</v>
      </c>
      <c r="L45" s="163" t="str">
        <f t="shared" si="12"/>
        <v>BasSw</v>
      </c>
      <c r="M45" s="144" t="str">
        <f t="shared" si="13"/>
        <v>--</v>
      </c>
      <c r="N45" s="144" t="str">
        <f>IFERROR(_xll.qlRateHelperQuoteName(M45,Trigger),"--")</f>
        <v>--</v>
      </c>
      <c r="O45" s="99" t="str">
        <f>IFERROR(_xll.qlRateHelperQuoteValue($M45,Trigger),"--")</f>
        <v>--</v>
      </c>
      <c r="P45" s="144" t="b">
        <v>0</v>
      </c>
      <c r="Q45" s="144">
        <v>40</v>
      </c>
      <c r="R45" s="144">
        <v>1</v>
      </c>
      <c r="S45" s="100" t="str">
        <f>IFERROR(_xll.qlRateHelperEarliestDate(M45,Trigger),"--")</f>
        <v>--</v>
      </c>
      <c r="T45" s="100" t="str">
        <f>IFERROR(_xll.qlRateHelperPillarDate(M45,Trigger),"--")</f>
        <v>--</v>
      </c>
      <c r="V45" s="163" t="str">
        <f t="shared" si="3"/>
        <v/>
      </c>
      <c r="W45" s="163" t="e">
        <v>#N/A</v>
      </c>
      <c r="X45" s="163" t="str">
        <f>IFERROR(_xll.qlRateHelperQuoteName(W45,Trigger),"")</f>
        <v/>
      </c>
      <c r="Y45" s="197" t="str">
        <f>IFERROR(_xll.qlRateHelperRate(W45,Trigger),"")</f>
        <v/>
      </c>
      <c r="Z45" s="198" t="str">
        <f>IF(ISERROR(_xll.qlSwapRateHelperSpread($W45)),IF(ISERROR(_xll.qlFuturesRateHelperConvexityAdjustment($W45)),"",_xll.qlFuturesRateHelperConvexityAdjustment($W45)),_xll.qlSwapRateHelperSpread($W45))</f>
        <v/>
      </c>
      <c r="AA45" s="164" t="str">
        <f>IFERROR(_xll.qlRateHelperEarliestDate(W45,Trigger),"")</f>
        <v/>
      </c>
      <c r="AB45" s="164" t="str">
        <f>IFERROR(_xll.qlRateHelperPillarDate(W45,Trigger),"")</f>
        <v/>
      </c>
      <c r="AC45" s="257" t="e">
        <v>#N/A</v>
      </c>
    </row>
    <row r="46" spans="1:30" ht="11.25" customHeight="1" x14ac:dyDescent="0.2">
      <c r="A46" s="163" t="s">
        <v>120</v>
      </c>
      <c r="B46" s="191" t="s">
        <v>109</v>
      </c>
      <c r="C46" s="143" t="s">
        <v>6</v>
      </c>
      <c r="D46" s="143" t="s">
        <v>147</v>
      </c>
      <c r="E46" s="143" t="s">
        <v>7</v>
      </c>
      <c r="F46" s="143" t="s">
        <v>148</v>
      </c>
      <c r="G46" s="143" t="str">
        <f t="shared" si="14"/>
        <v>GbpLibor1M</v>
      </c>
      <c r="H46" s="152" t="str">
        <f t="shared" si="15"/>
        <v>GBPSB6L21Y_Quote</v>
      </c>
      <c r="I46" s="200" t="str">
        <f t="shared" si="16"/>
        <v>GBP1L6L21Y_Quote</v>
      </c>
      <c r="J46" s="163"/>
      <c r="L46" s="163" t="str">
        <f t="shared" si="12"/>
        <v>BasSw</v>
      </c>
      <c r="M46" s="144" t="str">
        <f t="shared" si="13"/>
        <v>obj_002d8#0001</v>
      </c>
      <c r="N46" s="144" t="str">
        <f>IFERROR(_xll.qlRateHelperQuoteName(M46,Trigger),"--")</f>
        <v>GBPSB6L25Y_Quote</v>
      </c>
      <c r="O46" s="99">
        <f>IFERROR(_xll.qlRateHelperQuoteValue($M46,Trigger),"--")</f>
        <v>2.1499999999999998E-2</v>
      </c>
      <c r="P46" s="144" t="b">
        <v>1</v>
      </c>
      <c r="Q46" s="144">
        <v>40</v>
      </c>
      <c r="R46" s="144">
        <v>1</v>
      </c>
      <c r="S46" s="100">
        <f>IFERROR(_xll.qlRateHelperEarliestDate(M46,Trigger),"--")</f>
        <v>42275</v>
      </c>
      <c r="T46" s="100">
        <f>IFERROR(_xll.qlRateHelperPillarDate(M46,Trigger),"--")</f>
        <v>51407</v>
      </c>
      <c r="V46" s="163" t="str">
        <f t="shared" si="3"/>
        <v/>
      </c>
      <c r="W46" s="163" t="e">
        <v>#N/A</v>
      </c>
      <c r="X46" s="163" t="str">
        <f>IFERROR(_xll.qlRateHelperQuoteName(W46,Trigger),"")</f>
        <v/>
      </c>
      <c r="Y46" s="197" t="str">
        <f>IFERROR(_xll.qlRateHelperRate(W46,Trigger),"")</f>
        <v/>
      </c>
      <c r="Z46" s="198" t="str">
        <f>IF(ISERROR(_xll.qlSwapRateHelperSpread($W46)),IF(ISERROR(_xll.qlFuturesRateHelperConvexityAdjustment($W46)),"",_xll.qlFuturesRateHelperConvexityAdjustment($W46)),_xll.qlSwapRateHelperSpread($W46))</f>
        <v/>
      </c>
      <c r="AA46" s="164" t="str">
        <f>IFERROR(_xll.qlRateHelperEarliestDate(W46,Trigger),"")</f>
        <v/>
      </c>
      <c r="AB46" s="164" t="str">
        <f>IFERROR(_xll.qlRateHelperPillarDate(W46,Trigger),"")</f>
        <v/>
      </c>
      <c r="AC46" s="257" t="e">
        <v>#N/A</v>
      </c>
    </row>
    <row r="47" spans="1:30" ht="11.25" customHeight="1" x14ac:dyDescent="0.2">
      <c r="A47" s="163" t="s">
        <v>120</v>
      </c>
      <c r="B47" s="191" t="s">
        <v>110</v>
      </c>
      <c r="C47" s="143" t="s">
        <v>6</v>
      </c>
      <c r="D47" s="143" t="s">
        <v>147</v>
      </c>
      <c r="E47" s="143" t="s">
        <v>7</v>
      </c>
      <c r="F47" s="143" t="s">
        <v>148</v>
      </c>
      <c r="G47" s="143" t="str">
        <f t="shared" si="14"/>
        <v>GbpLibor1M</v>
      </c>
      <c r="H47" s="152" t="str">
        <f t="shared" si="15"/>
        <v>GBPSB6L22Y_Quote</v>
      </c>
      <c r="I47" s="200" t="str">
        <f t="shared" si="16"/>
        <v>GBP1L6L22Y_Quote</v>
      </c>
      <c r="J47" s="163"/>
      <c r="L47" s="163" t="str">
        <f t="shared" si="12"/>
        <v>BasSw</v>
      </c>
      <c r="M47" s="144" t="str">
        <f t="shared" si="13"/>
        <v>--</v>
      </c>
      <c r="N47" s="144" t="str">
        <f>IFERROR(_xll.qlRateHelperQuoteName(M47,Trigger),"--")</f>
        <v>--</v>
      </c>
      <c r="O47" s="99" t="str">
        <f>IFERROR(_xll.qlRateHelperQuoteValue($M47,Trigger),"--")</f>
        <v>--</v>
      </c>
      <c r="P47" s="144" t="b">
        <v>0</v>
      </c>
      <c r="Q47" s="144">
        <v>40</v>
      </c>
      <c r="R47" s="144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163" t="str">
        <f t="shared" si="3"/>
        <v/>
      </c>
      <c r="W47" s="163" t="e">
        <v>#N/A</v>
      </c>
      <c r="X47" s="163" t="str">
        <f>IFERROR(_xll.qlRateHelperQuoteName(W47,Trigger),"")</f>
        <v/>
      </c>
      <c r="Y47" s="197" t="str">
        <f>IFERROR(_xll.qlRateHelperRate(W47,Trigger),"")</f>
        <v/>
      </c>
      <c r="Z47" s="198" t="str">
        <f>IF(ISERROR(_xll.qlSwapRateHelperSpread($W47)),IF(ISERROR(_xll.qlFuturesRateHelperConvexityAdjustment($W47)),"",_xll.qlFuturesRateHelperConvexityAdjustment($W47)),_xll.qlSwapRateHelperSpread($W47))</f>
        <v/>
      </c>
      <c r="AA47" s="164" t="str">
        <f>IFERROR(_xll.qlRateHelperEarliestDate(W47,Trigger),"")</f>
        <v/>
      </c>
      <c r="AB47" s="164" t="str">
        <f>IFERROR(_xll.qlRateHelperPillarDate(W47,Trigger),"")</f>
        <v/>
      </c>
      <c r="AC47" s="257" t="e">
        <v>#N/A</v>
      </c>
    </row>
    <row r="48" spans="1:30" ht="11.25" customHeight="1" x14ac:dyDescent="0.2">
      <c r="A48" s="163" t="s">
        <v>120</v>
      </c>
      <c r="B48" s="191" t="s">
        <v>111</v>
      </c>
      <c r="C48" s="143" t="s">
        <v>6</v>
      </c>
      <c r="D48" s="143" t="s">
        <v>147</v>
      </c>
      <c r="E48" s="143" t="s">
        <v>7</v>
      </c>
      <c r="F48" s="143" t="s">
        <v>148</v>
      </c>
      <c r="G48" s="143" t="str">
        <f t="shared" si="14"/>
        <v>GbpLibor1M</v>
      </c>
      <c r="H48" s="152" t="str">
        <f t="shared" si="15"/>
        <v>GBPSB6L23Y_Quote</v>
      </c>
      <c r="I48" s="200" t="str">
        <f t="shared" si="16"/>
        <v>GBP1L6L23Y_Quote</v>
      </c>
      <c r="J48" s="163"/>
      <c r="L48" s="163" t="str">
        <f t="shared" si="12"/>
        <v>BasSw</v>
      </c>
      <c r="M48" s="144" t="str">
        <f t="shared" si="13"/>
        <v>--</v>
      </c>
      <c r="N48" s="144" t="str">
        <f>IFERROR(_xll.qlRateHelperQuoteName(M48,Trigger),"--")</f>
        <v>--</v>
      </c>
      <c r="O48" s="99" t="str">
        <f>IFERROR(_xll.qlRateHelperQuoteValue($M48,Trigger),"--")</f>
        <v>--</v>
      </c>
      <c r="P48" s="144" t="b">
        <v>0</v>
      </c>
      <c r="Q48" s="144">
        <v>40</v>
      </c>
      <c r="R48" s="144">
        <v>1</v>
      </c>
      <c r="S48" s="100" t="str">
        <f>IFERROR(_xll.qlRateHelperEarliestDate(M48,Trigger),"--")</f>
        <v>--</v>
      </c>
      <c r="T48" s="100" t="str">
        <f>IFERROR(_xll.qlRateHelperPillarDate(M48,Trigger),"--")</f>
        <v>--</v>
      </c>
      <c r="V48" s="163" t="str">
        <f t="shared" si="3"/>
        <v/>
      </c>
      <c r="W48" s="163" t="e">
        <v>#N/A</v>
      </c>
      <c r="X48" s="163" t="str">
        <f>IFERROR(_xll.qlRateHelperQuoteName(W48,Trigger),"")</f>
        <v/>
      </c>
      <c r="Y48" s="197" t="str">
        <f>IFERROR(_xll.qlRateHelperRate(W48,Trigger),"")</f>
        <v/>
      </c>
      <c r="Z48" s="198" t="str">
        <f>IF(ISERROR(_xll.qlSwapRateHelperSpread($W48)),IF(ISERROR(_xll.qlFuturesRateHelperConvexityAdjustment($W48)),"",_xll.qlFuturesRateHelperConvexityAdjustment($W48)),_xll.qlSwapRateHelperSpread($W48))</f>
        <v/>
      </c>
      <c r="AA48" s="164" t="str">
        <f>IFERROR(_xll.qlRateHelperEarliestDate(W48,Trigger),"")</f>
        <v/>
      </c>
      <c r="AB48" s="164" t="str">
        <f>IFERROR(_xll.qlRateHelperPillarDate(W48,Trigger),"")</f>
        <v/>
      </c>
      <c r="AC48" s="257" t="e">
        <v>#N/A</v>
      </c>
    </row>
    <row r="49" spans="1:29" ht="11.25" customHeight="1" x14ac:dyDescent="0.2">
      <c r="A49" s="163" t="s">
        <v>120</v>
      </c>
      <c r="B49" s="191" t="s">
        <v>112</v>
      </c>
      <c r="C49" s="143" t="s">
        <v>6</v>
      </c>
      <c r="D49" s="143" t="s">
        <v>147</v>
      </c>
      <c r="E49" s="143" t="s">
        <v>7</v>
      </c>
      <c r="F49" s="143" t="s">
        <v>148</v>
      </c>
      <c r="G49" s="143" t="str">
        <f t="shared" si="14"/>
        <v>GbpLibor1M</v>
      </c>
      <c r="H49" s="152" t="str">
        <f t="shared" si="15"/>
        <v>GBPSB6L24Y_Quote</v>
      </c>
      <c r="I49" s="200" t="str">
        <f t="shared" si="16"/>
        <v>GBP1L6L24Y_Quote</v>
      </c>
      <c r="J49" s="163"/>
      <c r="L49" s="163" t="str">
        <f t="shared" si="12"/>
        <v>BasSw</v>
      </c>
      <c r="M49" s="144" t="str">
        <f t="shared" si="13"/>
        <v>--</v>
      </c>
      <c r="N49" s="144" t="str">
        <f>IFERROR(_xll.qlRateHelperQuoteName(M49,Trigger),"--")</f>
        <v>--</v>
      </c>
      <c r="O49" s="99" t="str">
        <f>IFERROR(_xll.qlRateHelperQuoteValue($M49,Trigger),"--")</f>
        <v>--</v>
      </c>
      <c r="P49" s="144" t="b">
        <v>0</v>
      </c>
      <c r="Q49" s="144">
        <v>40</v>
      </c>
      <c r="R49" s="144">
        <v>1</v>
      </c>
      <c r="S49" s="100" t="str">
        <f>IFERROR(_xll.qlRateHelperEarliestDate(M49,Trigger),"--")</f>
        <v>--</v>
      </c>
      <c r="T49" s="100" t="str">
        <f>IFERROR(_xll.qlRateHelperPillarDate(M49,Trigger),"--")</f>
        <v>--</v>
      </c>
      <c r="V49" s="163" t="str">
        <f t="shared" si="3"/>
        <v/>
      </c>
      <c r="W49" s="163" t="e">
        <v>#N/A</v>
      </c>
      <c r="X49" s="163" t="str">
        <f>IFERROR(_xll.qlRateHelperQuoteName(W49,Trigger),"")</f>
        <v/>
      </c>
      <c r="Y49" s="197" t="str">
        <f>IFERROR(_xll.qlRateHelperRate(W49,Trigger),"")</f>
        <v/>
      </c>
      <c r="Z49" s="198" t="str">
        <f>IF(ISERROR(_xll.qlSwapRateHelperSpread($W49)),IF(ISERROR(_xll.qlFuturesRateHelperConvexityAdjustment($W49)),"",_xll.qlFuturesRateHelperConvexityAdjustment($W49)),_xll.qlSwapRateHelperSpread($W49))</f>
        <v/>
      </c>
      <c r="AA49" s="164" t="str">
        <f>IFERROR(_xll.qlRateHelperEarliestDate(W49,Trigger),"")</f>
        <v/>
      </c>
      <c r="AB49" s="164" t="str">
        <f>IFERROR(_xll.qlRateHelperPillarDate(W49,Trigger),"")</f>
        <v/>
      </c>
      <c r="AC49" s="257" t="e">
        <v>#N/A</v>
      </c>
    </row>
    <row r="50" spans="1:29" ht="11.25" customHeight="1" x14ac:dyDescent="0.2">
      <c r="A50" s="163" t="s">
        <v>120</v>
      </c>
      <c r="B50" s="191" t="s">
        <v>64</v>
      </c>
      <c r="C50" s="143" t="s">
        <v>6</v>
      </c>
      <c r="D50" s="143" t="s">
        <v>147</v>
      </c>
      <c r="E50" s="143" t="s">
        <v>7</v>
      </c>
      <c r="F50" s="143" t="s">
        <v>148</v>
      </c>
      <c r="G50" s="143" t="str">
        <f t="shared" si="14"/>
        <v>GbpLibor1M</v>
      </c>
      <c r="H50" s="152" t="str">
        <f t="shared" si="15"/>
        <v>GBPSB6L25Y_Quote</v>
      </c>
      <c r="I50" s="200" t="str">
        <f t="shared" si="16"/>
        <v>GBP1L6L25Y_Quote</v>
      </c>
      <c r="J50" s="163" t="str">
        <f>_xll.qlSwapRateHelper2(,H50,0,B50,Calendar,D50,E50,F50,G50,I50,C50,Discounting,PillarDate,,Permanent,Trigger,ObjectOverwrite)</f>
        <v>obj_002d8#0001</v>
      </c>
      <c r="L50" s="163" t="str">
        <f t="shared" si="12"/>
        <v>BasSw</v>
      </c>
      <c r="M50" s="144" t="str">
        <f t="shared" si="13"/>
        <v>--</v>
      </c>
      <c r="N50" s="144" t="str">
        <f>IFERROR(_xll.qlRateHelperQuoteName(M50,Trigger),"--")</f>
        <v>--</v>
      </c>
      <c r="O50" s="99" t="str">
        <f>IFERROR(_xll.qlRateHelperQuoteValue($M50,Trigger),"--")</f>
        <v>--</v>
      </c>
      <c r="P50" s="144" t="b">
        <v>0</v>
      </c>
      <c r="Q50" s="144">
        <v>40</v>
      </c>
      <c r="R50" s="144">
        <v>1</v>
      </c>
      <c r="S50" s="100" t="str">
        <f>IFERROR(_xll.qlRateHelperEarliestDate(M50,Trigger),"--")</f>
        <v>--</v>
      </c>
      <c r="T50" s="100" t="str">
        <f>IFERROR(_xll.qlRateHelperPillarDate(M50,Trigger),"--")</f>
        <v>--</v>
      </c>
      <c r="V50" s="163" t="str">
        <f t="shared" si="3"/>
        <v/>
      </c>
      <c r="W50" s="163" t="e">
        <v>#N/A</v>
      </c>
      <c r="X50" s="163" t="str">
        <f>IFERROR(_xll.qlRateHelperQuoteName(W50,Trigger),"")</f>
        <v/>
      </c>
      <c r="Y50" s="197" t="str">
        <f>IFERROR(_xll.qlRateHelperRate(W50,Trigger),"")</f>
        <v/>
      </c>
      <c r="Z50" s="198" t="str">
        <f>IF(ISERROR(_xll.qlSwapRateHelperSpread($W50)),IF(ISERROR(_xll.qlFuturesRateHelperConvexityAdjustment($W50)),"",_xll.qlFuturesRateHelperConvexityAdjustment($W50)),_xll.qlSwapRateHelperSpread($W50))</f>
        <v/>
      </c>
      <c r="AA50" s="164" t="str">
        <f>IFERROR(_xll.qlRateHelperEarliestDate(W50,Trigger),"")</f>
        <v/>
      </c>
      <c r="AB50" s="164" t="str">
        <f>IFERROR(_xll.qlRateHelperPillarDate(W50,Trigger),"")</f>
        <v/>
      </c>
      <c r="AC50" s="257" t="e">
        <v>#N/A</v>
      </c>
    </row>
    <row r="51" spans="1:29" ht="11.25" customHeight="1" x14ac:dyDescent="0.2">
      <c r="A51" s="163" t="s">
        <v>120</v>
      </c>
      <c r="B51" s="191" t="s">
        <v>113</v>
      </c>
      <c r="C51" s="143" t="s">
        <v>6</v>
      </c>
      <c r="D51" s="143" t="s">
        <v>147</v>
      </c>
      <c r="E51" s="143" t="s">
        <v>7</v>
      </c>
      <c r="F51" s="143" t="s">
        <v>148</v>
      </c>
      <c r="G51" s="143" t="str">
        <f t="shared" si="14"/>
        <v>GbpLibor1M</v>
      </c>
      <c r="H51" s="152" t="str">
        <f t="shared" si="15"/>
        <v>GBPSB6L26Y_Quote</v>
      </c>
      <c r="I51" s="200" t="str">
        <f t="shared" si="16"/>
        <v>GBP1L6L26Y_Quote</v>
      </c>
      <c r="J51" s="163"/>
      <c r="L51" s="163" t="str">
        <f t="shared" si="12"/>
        <v>BasSw</v>
      </c>
      <c r="M51" s="144" t="str">
        <f t="shared" si="13"/>
        <v>obj_002d1#0001</v>
      </c>
      <c r="N51" s="144" t="str">
        <f>IFERROR(_xll.qlRateHelperQuoteName(M51,Trigger),"--")</f>
        <v>GBPSB6L30Y_Quote</v>
      </c>
      <c r="O51" s="99">
        <f>IFERROR(_xll.qlRateHelperQuoteValue($M51,Trigger),"--")</f>
        <v>2.145E-2</v>
      </c>
      <c r="P51" s="144" t="b">
        <v>1</v>
      </c>
      <c r="Q51" s="144">
        <v>40</v>
      </c>
      <c r="R51" s="144">
        <v>1</v>
      </c>
      <c r="S51" s="100">
        <f>IFERROR(_xll.qlRateHelperEarliestDate(M51,Trigger),"--")</f>
        <v>42275</v>
      </c>
      <c r="T51" s="100">
        <f>IFERROR(_xll.qlRateHelperPillarDate(M51,Trigger),"--")</f>
        <v>53233</v>
      </c>
      <c r="V51" s="163" t="str">
        <f t="shared" si="3"/>
        <v/>
      </c>
      <c r="W51" s="163" t="e">
        <v>#N/A</v>
      </c>
      <c r="X51" s="163" t="str">
        <f>IFERROR(_xll.qlRateHelperQuoteName(W51,Trigger),"")</f>
        <v/>
      </c>
      <c r="Y51" s="197" t="str">
        <f>IFERROR(_xll.qlRateHelperRate(W51,Trigger),"")</f>
        <v/>
      </c>
      <c r="Z51" s="198" t="str">
        <f>IF(ISERROR(_xll.qlSwapRateHelperSpread($W51)),IF(ISERROR(_xll.qlFuturesRateHelperConvexityAdjustment($W51)),"",_xll.qlFuturesRateHelperConvexityAdjustment($W51)),_xll.qlSwapRateHelperSpread($W51))</f>
        <v/>
      </c>
      <c r="AA51" s="164" t="str">
        <f>IFERROR(_xll.qlRateHelperEarliestDate(W51,Trigger),"")</f>
        <v/>
      </c>
      <c r="AB51" s="164" t="str">
        <f>IFERROR(_xll.qlRateHelperPillarDate(W51,Trigger),"")</f>
        <v/>
      </c>
      <c r="AC51" s="257" t="e">
        <v>#N/A</v>
      </c>
    </row>
    <row r="52" spans="1:29" ht="11.25" customHeight="1" x14ac:dyDescent="0.2">
      <c r="A52" s="163" t="s">
        <v>120</v>
      </c>
      <c r="B52" s="191" t="s">
        <v>65</v>
      </c>
      <c r="C52" s="143" t="s">
        <v>6</v>
      </c>
      <c r="D52" s="143" t="s">
        <v>147</v>
      </c>
      <c r="E52" s="143" t="s">
        <v>7</v>
      </c>
      <c r="F52" s="143" t="s">
        <v>148</v>
      </c>
      <c r="G52" s="143" t="str">
        <f t="shared" si="14"/>
        <v>GbpLibor1M</v>
      </c>
      <c r="H52" s="152" t="str">
        <f t="shared" si="15"/>
        <v>GBPSB6L27Y_Quote</v>
      </c>
      <c r="I52" s="200" t="str">
        <f t="shared" si="16"/>
        <v>GBP1L6L27Y_Quote</v>
      </c>
      <c r="J52" s="163"/>
      <c r="L52" s="163" t="str">
        <f t="shared" si="12"/>
        <v>BasSw</v>
      </c>
      <c r="M52" s="144" t="str">
        <f t="shared" si="13"/>
        <v>--</v>
      </c>
      <c r="N52" s="144" t="str">
        <f>IFERROR(_xll.qlRateHelperQuoteName(M52,Trigger),"--")</f>
        <v>--</v>
      </c>
      <c r="O52" s="99" t="str">
        <f>IFERROR(_xll.qlRateHelperQuoteValue($M52,Trigger),"--")</f>
        <v>--</v>
      </c>
      <c r="P52" s="144" t="b">
        <v>0</v>
      </c>
      <c r="Q52" s="144">
        <v>40</v>
      </c>
      <c r="R52" s="144">
        <v>1</v>
      </c>
      <c r="S52" s="100" t="str">
        <f>IFERROR(_xll.qlRateHelperEarliestDate(M52,Trigger),"--")</f>
        <v>--</v>
      </c>
      <c r="T52" s="100" t="str">
        <f>IFERROR(_xll.qlRateHelperPillarDate(M52,Trigger),"--")</f>
        <v>--</v>
      </c>
      <c r="V52" s="163" t="str">
        <f t="shared" si="3"/>
        <v/>
      </c>
      <c r="W52" s="163" t="e">
        <v>#N/A</v>
      </c>
      <c r="X52" s="163" t="str">
        <f>IFERROR(_xll.qlRateHelperQuoteName(W52,Trigger),"")</f>
        <v/>
      </c>
      <c r="Y52" s="197" t="str">
        <f>IFERROR(_xll.qlRateHelperRate(W52,Trigger),"")</f>
        <v/>
      </c>
      <c r="Z52" s="198" t="str">
        <f>IF(ISERROR(_xll.qlSwapRateHelperSpread($W52)),IF(ISERROR(_xll.qlFuturesRateHelperConvexityAdjustment($W52)),"",_xll.qlFuturesRateHelperConvexityAdjustment($W52)),_xll.qlSwapRateHelperSpread($W52))</f>
        <v/>
      </c>
      <c r="AA52" s="164" t="str">
        <f>IFERROR(_xll.qlRateHelperEarliestDate(W52,Trigger),"")</f>
        <v/>
      </c>
      <c r="AB52" s="164" t="str">
        <f>IFERROR(_xll.qlRateHelperPillarDate(W52,Trigger),"")</f>
        <v/>
      </c>
      <c r="AC52" s="257" t="e">
        <v>#N/A</v>
      </c>
    </row>
    <row r="53" spans="1:29" ht="11.25" customHeight="1" x14ac:dyDescent="0.2">
      <c r="A53" s="163" t="s">
        <v>120</v>
      </c>
      <c r="B53" s="191" t="s">
        <v>114</v>
      </c>
      <c r="C53" s="143" t="s">
        <v>6</v>
      </c>
      <c r="D53" s="143" t="s">
        <v>147</v>
      </c>
      <c r="E53" s="143" t="s">
        <v>7</v>
      </c>
      <c r="F53" s="143" t="s">
        <v>148</v>
      </c>
      <c r="G53" s="143" t="str">
        <f t="shared" si="14"/>
        <v>GbpLibor1M</v>
      </c>
      <c r="H53" s="152" t="str">
        <f t="shared" si="15"/>
        <v>GBPSB6L28Y_Quote</v>
      </c>
      <c r="I53" s="200" t="str">
        <f t="shared" si="16"/>
        <v>GBP1L6L28Y_Quote</v>
      </c>
      <c r="J53" s="163"/>
      <c r="L53" s="163" t="str">
        <f t="shared" si="12"/>
        <v>BasSw</v>
      </c>
      <c r="M53" s="144" t="str">
        <f t="shared" si="13"/>
        <v>obj_002c7#0001</v>
      </c>
      <c r="N53" s="144" t="str">
        <f>IFERROR(_xll.qlRateHelperQuoteName(M53,Trigger),"--")</f>
        <v>GBPSB6L40Y_Quote</v>
      </c>
      <c r="O53" s="99">
        <f>IFERROR(_xll.qlRateHelperQuoteValue($M53,Trigger),"--")</f>
        <v>2.0959999999999999E-2</v>
      </c>
      <c r="P53" s="144" t="b">
        <v>1</v>
      </c>
      <c r="Q53" s="144">
        <v>40</v>
      </c>
      <c r="R53" s="144">
        <v>1</v>
      </c>
      <c r="S53" s="100">
        <f>IFERROR(_xll.qlRateHelperEarliestDate(M53,Trigger),"--")</f>
        <v>42275</v>
      </c>
      <c r="T53" s="100">
        <f>IFERROR(_xll.qlRateHelperPillarDate(M53,Trigger),"--")</f>
        <v>56885</v>
      </c>
      <c r="V53" s="163" t="str">
        <f t="shared" si="3"/>
        <v/>
      </c>
      <c r="W53" s="163" t="e">
        <v>#N/A</v>
      </c>
      <c r="X53" s="163" t="str">
        <f>IFERROR(_xll.qlRateHelperQuoteName(W53,Trigger),"")</f>
        <v/>
      </c>
      <c r="Y53" s="197" t="str">
        <f>IFERROR(_xll.qlRateHelperRate(W53,Trigger),"")</f>
        <v/>
      </c>
      <c r="Z53" s="198" t="str">
        <f>IF(ISERROR(_xll.qlSwapRateHelperSpread($W53)),IF(ISERROR(_xll.qlFuturesRateHelperConvexityAdjustment($W53)),"",_xll.qlFuturesRateHelperConvexityAdjustment($W53)),_xll.qlSwapRateHelperSpread($W53))</f>
        <v/>
      </c>
      <c r="AA53" s="164" t="str">
        <f>IFERROR(_xll.qlRateHelperEarliestDate(W53,Trigger),"")</f>
        <v/>
      </c>
      <c r="AB53" s="164" t="str">
        <f>IFERROR(_xll.qlRateHelperPillarDate(W53,Trigger),"")</f>
        <v/>
      </c>
      <c r="AC53" s="257" t="e">
        <v>#N/A</v>
      </c>
    </row>
    <row r="54" spans="1:29" ht="11.25" customHeight="1" x14ac:dyDescent="0.2">
      <c r="A54" s="163" t="s">
        <v>120</v>
      </c>
      <c r="B54" s="191" t="s">
        <v>115</v>
      </c>
      <c r="C54" s="143" t="s">
        <v>6</v>
      </c>
      <c r="D54" s="143" t="s">
        <v>147</v>
      </c>
      <c r="E54" s="143" t="s">
        <v>7</v>
      </c>
      <c r="F54" s="143" t="s">
        <v>148</v>
      </c>
      <c r="G54" s="143" t="str">
        <f t="shared" si="14"/>
        <v>GbpLibor1M</v>
      </c>
      <c r="H54" s="152" t="str">
        <f t="shared" si="15"/>
        <v>GBPSB6L29Y_Quote</v>
      </c>
      <c r="I54" s="200" t="str">
        <f t="shared" si="16"/>
        <v>GBP1L6L29Y_Quote</v>
      </c>
      <c r="J54" s="163"/>
      <c r="L54" s="163" t="str">
        <f t="shared" si="12"/>
        <v>BasSw</v>
      </c>
      <c r="M54" s="144" t="str">
        <f t="shared" si="13"/>
        <v>obj_002c5#0001</v>
      </c>
      <c r="N54" s="144" t="str">
        <f>IFERROR(_xll.qlRateHelperQuoteName(M54,Trigger),"--")</f>
        <v>GBPSB6L50Y_Quote</v>
      </c>
      <c r="O54" s="99">
        <f>IFERROR(_xll.qlRateHelperQuoteValue($M54,Trigger),"--")</f>
        <v>2.051E-2</v>
      </c>
      <c r="P54" s="144" t="b">
        <v>1</v>
      </c>
      <c r="Q54" s="144">
        <v>40</v>
      </c>
      <c r="R54" s="144">
        <v>1</v>
      </c>
      <c r="S54" s="100">
        <f>IFERROR(_xll.qlRateHelperEarliestDate(M54,Trigger),"--")</f>
        <v>42275</v>
      </c>
      <c r="T54" s="100">
        <f>IFERROR(_xll.qlRateHelperPillarDate(M54,Trigger),"--")</f>
        <v>60538</v>
      </c>
      <c r="V54" s="163" t="str">
        <f t="shared" si="3"/>
        <v/>
      </c>
      <c r="W54" s="163" t="e">
        <v>#N/A</v>
      </c>
      <c r="X54" s="163" t="str">
        <f>IFERROR(_xll.qlRateHelperQuoteName(W54,Trigger),"")</f>
        <v/>
      </c>
      <c r="Y54" s="197" t="str">
        <f>IFERROR(_xll.qlRateHelperRate(W54,Trigger),"")</f>
        <v/>
      </c>
      <c r="Z54" s="198" t="str">
        <f>IF(ISERROR(_xll.qlSwapRateHelperSpread($W54)),IF(ISERROR(_xll.qlFuturesRateHelperConvexityAdjustment($W54)),"",_xll.qlFuturesRateHelperConvexityAdjustment($W54)),_xll.qlSwapRateHelperSpread($W54))</f>
        <v/>
      </c>
      <c r="AA54" s="164" t="str">
        <f>IFERROR(_xll.qlRateHelperEarliestDate(W54,Trigger),"")</f>
        <v/>
      </c>
      <c r="AB54" s="164" t="str">
        <f>IFERROR(_xll.qlRateHelperPillarDate(W54,Trigger),"")</f>
        <v/>
      </c>
      <c r="AC54" s="257" t="e">
        <v>#N/A</v>
      </c>
    </row>
    <row r="55" spans="1:29" ht="11.25" customHeight="1" x14ac:dyDescent="0.2">
      <c r="A55" s="163" t="s">
        <v>120</v>
      </c>
      <c r="B55" s="191" t="s">
        <v>66</v>
      </c>
      <c r="C55" s="143" t="s">
        <v>6</v>
      </c>
      <c r="D55" s="143" t="s">
        <v>147</v>
      </c>
      <c r="E55" s="143" t="s">
        <v>7</v>
      </c>
      <c r="F55" s="143" t="s">
        <v>148</v>
      </c>
      <c r="G55" s="143" t="str">
        <f t="shared" si="14"/>
        <v>GbpLibor1M</v>
      </c>
      <c r="H55" s="152" t="str">
        <f t="shared" si="15"/>
        <v>GBPSB6L30Y_Quote</v>
      </c>
      <c r="I55" s="200" t="str">
        <f t="shared" si="16"/>
        <v>GBP1L6L30Y_Quote</v>
      </c>
      <c r="J55" s="163" t="str">
        <f>_xll.qlSwapRateHelper2(,H55,0,B55,Calendar,D55,E55,F55,G55,I55,C55,Discounting,PillarDate,,Permanent,Trigger,ObjectOverwrite)</f>
        <v>obj_002d1#0001</v>
      </c>
      <c r="L55" s="166" t="str">
        <f t="shared" si="12"/>
        <v>BasSw</v>
      </c>
      <c r="M55" s="147" t="str">
        <f t="shared" si="13"/>
        <v>obj_002db#0001</v>
      </c>
      <c r="N55" s="147" t="str">
        <f>IFERROR(_xll.qlRateHelperQuoteName(M55,Trigger),"--")</f>
        <v>GBPSB6L60Y_Quote</v>
      </c>
      <c r="O55" s="102">
        <f>IFERROR(_xll.qlRateHelperQuoteValue($M55,Trigger),"--")</f>
        <v>2.0449999999999999E-2</v>
      </c>
      <c r="P55" s="147" t="b">
        <v>1</v>
      </c>
      <c r="Q55" s="147">
        <v>40</v>
      </c>
      <c r="R55" s="147">
        <v>1</v>
      </c>
      <c r="S55" s="103">
        <f>IFERROR(_xll.qlRateHelperEarliestDate(M55,Trigger),"--")</f>
        <v>42275</v>
      </c>
      <c r="T55" s="103">
        <f>IFERROR(_xll.qlRateHelperPillarDate(M55,Trigger),"--")</f>
        <v>64192</v>
      </c>
      <c r="V55" s="163" t="str">
        <f t="shared" si="3"/>
        <v/>
      </c>
      <c r="W55" s="163" t="e">
        <v>#N/A</v>
      </c>
      <c r="X55" s="163" t="str">
        <f>IFERROR(_xll.qlRateHelperQuoteName(W55,Trigger),"")</f>
        <v/>
      </c>
      <c r="Y55" s="197" t="str">
        <f>IFERROR(_xll.qlRateHelperRate(W55,Trigger),"")</f>
        <v/>
      </c>
      <c r="Z55" s="198" t="str">
        <f>IF(ISERROR(_xll.qlSwapRateHelperSpread($W55)),IF(ISERROR(_xll.qlFuturesRateHelperConvexityAdjustment($W55)),"",_xll.qlFuturesRateHelperConvexityAdjustment($W55)),_xll.qlSwapRateHelperSpread($W55))</f>
        <v/>
      </c>
      <c r="AA55" s="164" t="str">
        <f>IFERROR(_xll.qlRateHelperEarliestDate(W55,Trigger),"")</f>
        <v/>
      </c>
      <c r="AB55" s="164" t="str">
        <f>IFERROR(_xll.qlRateHelperPillarDate(W55,Trigger),"")</f>
        <v/>
      </c>
      <c r="AC55" s="257" t="e">
        <v>#N/A</v>
      </c>
    </row>
    <row r="56" spans="1:29" ht="11.25" customHeight="1" x14ac:dyDescent="0.2">
      <c r="A56" s="163" t="s">
        <v>120</v>
      </c>
      <c r="B56" s="191" t="s">
        <v>67</v>
      </c>
      <c r="C56" s="143" t="s">
        <v>6</v>
      </c>
      <c r="D56" s="143" t="s">
        <v>147</v>
      </c>
      <c r="E56" s="143" t="s">
        <v>7</v>
      </c>
      <c r="F56" s="143" t="s">
        <v>148</v>
      </c>
      <c r="G56" s="143" t="str">
        <f t="shared" si="14"/>
        <v>GbpLibor1M</v>
      </c>
      <c r="H56" s="152" t="str">
        <f t="shared" si="15"/>
        <v>GBPSB6L35Y_Quote</v>
      </c>
      <c r="I56" s="200" t="str">
        <f t="shared" si="16"/>
        <v>GBP1L6L35Y_Quote</v>
      </c>
      <c r="J56" s="163"/>
      <c r="V56" s="256"/>
      <c r="W56" s="256"/>
      <c r="X56" s="256"/>
      <c r="Y56" s="256"/>
      <c r="Z56" s="256"/>
      <c r="AA56" s="256"/>
      <c r="AB56" s="256"/>
      <c r="AC56" s="256"/>
    </row>
    <row r="57" spans="1:29" ht="11.25" customHeight="1" x14ac:dyDescent="0.2">
      <c r="A57" s="163" t="s">
        <v>120</v>
      </c>
      <c r="B57" s="191" t="s">
        <v>68</v>
      </c>
      <c r="C57" s="143" t="s">
        <v>6</v>
      </c>
      <c r="D57" s="143" t="s">
        <v>147</v>
      </c>
      <c r="E57" s="143" t="s">
        <v>7</v>
      </c>
      <c r="F57" s="143" t="s">
        <v>148</v>
      </c>
      <c r="G57" s="143" t="str">
        <f t="shared" si="14"/>
        <v>GbpLibor1M</v>
      </c>
      <c r="H57" s="152" t="str">
        <f t="shared" si="15"/>
        <v>GBPSB6L40Y_Quote</v>
      </c>
      <c r="I57" s="200" t="str">
        <f t="shared" si="16"/>
        <v>GBP1L6L40Y_Quote</v>
      </c>
      <c r="J57" s="163" t="str">
        <f>_xll.qlSwapRateHelper2(,H57,0,B57,Calendar,D57,E57,F57,G57,I57,C57,Discounting,PillarDate,,Permanent,Trigger,ObjectOverwrite)</f>
        <v>obj_002c7#0001</v>
      </c>
      <c r="V57" s="51"/>
      <c r="W57" s="51"/>
      <c r="X57" s="51"/>
      <c r="Y57" s="51"/>
      <c r="Z57" s="51"/>
      <c r="AA57" s="51"/>
      <c r="AB57" s="51"/>
      <c r="AC57" s="51"/>
    </row>
    <row r="58" spans="1:29" ht="11.25" customHeight="1" x14ac:dyDescent="0.2">
      <c r="A58" s="163" t="s">
        <v>120</v>
      </c>
      <c r="B58" s="191" t="s">
        <v>69</v>
      </c>
      <c r="C58" s="143" t="s">
        <v>6</v>
      </c>
      <c r="D58" s="143" t="s">
        <v>147</v>
      </c>
      <c r="E58" s="143" t="s">
        <v>7</v>
      </c>
      <c r="F58" s="143" t="s">
        <v>148</v>
      </c>
      <c r="G58" s="143" t="str">
        <f t="shared" si="14"/>
        <v>GbpLibor1M</v>
      </c>
      <c r="H58" s="152" t="str">
        <f t="shared" si="15"/>
        <v>GBPSB6L50Y_Quote</v>
      </c>
      <c r="I58" s="200" t="str">
        <f t="shared" si="16"/>
        <v>GBP1L6L50Y_Quote</v>
      </c>
      <c r="J58" s="163" t="str">
        <f>_xll.qlSwapRateHelper2(,H58,0,B58,Calendar,D58,E58,F58,G58,I58,C58,Discounting,PillarDate,,Permanent,Trigger,ObjectOverwrite)</f>
        <v>obj_002c5#0001</v>
      </c>
      <c r="V58" s="51"/>
      <c r="W58" s="51"/>
      <c r="X58" s="51"/>
      <c r="Y58" s="51"/>
      <c r="Z58" s="51"/>
      <c r="AA58" s="51"/>
      <c r="AB58" s="51"/>
      <c r="AC58" s="51"/>
    </row>
    <row r="59" spans="1:29" ht="11.25" customHeight="1" x14ac:dyDescent="0.2">
      <c r="A59" s="166" t="s">
        <v>120</v>
      </c>
      <c r="B59" s="192" t="s">
        <v>116</v>
      </c>
      <c r="C59" s="193" t="s">
        <v>6</v>
      </c>
      <c r="D59" s="193" t="s">
        <v>147</v>
      </c>
      <c r="E59" s="193" t="s">
        <v>7</v>
      </c>
      <c r="F59" s="193" t="s">
        <v>148</v>
      </c>
      <c r="G59" s="193" t="str">
        <f t="shared" si="14"/>
        <v>GbpLibor1M</v>
      </c>
      <c r="H59" s="157" t="str">
        <f t="shared" si="15"/>
        <v>GBPSB6L60Y_Quote</v>
      </c>
      <c r="I59" s="194" t="str">
        <f t="shared" si="16"/>
        <v>GBP1L6L60Y_Quote</v>
      </c>
      <c r="J59" s="166" t="str">
        <f>_xll.qlSwapRateHelper2(,H59,0,B59,Calendar,D59,E59,F59,G59,I59,C59,Discounting,PillarDate,,Permanent,Trigger,ObjectOverwrite)</f>
        <v>obj_002db#0001</v>
      </c>
      <c r="V59" s="51"/>
      <c r="W59" s="51"/>
      <c r="X59" s="51"/>
      <c r="Y59" s="51"/>
      <c r="Z59" s="51"/>
      <c r="AA59" s="51"/>
      <c r="AB59" s="51"/>
      <c r="AC59" s="51"/>
    </row>
    <row r="60" spans="1:29" ht="11.25" customHeight="1" x14ac:dyDescent="0.2">
      <c r="V60" s="51"/>
      <c r="W60" s="51"/>
      <c r="X60" s="51"/>
      <c r="Y60" s="51"/>
      <c r="Z60" s="51"/>
      <c r="AA60" s="51"/>
      <c r="AB60" s="51"/>
      <c r="AC60" s="51"/>
    </row>
    <row r="61" spans="1:29" ht="11.25" customHeight="1" x14ac:dyDescent="0.2">
      <c r="V61" s="51"/>
      <c r="W61" s="51"/>
      <c r="X61" s="51"/>
      <c r="Y61" s="51"/>
      <c r="Z61" s="51"/>
      <c r="AA61" s="51"/>
      <c r="AB61" s="51"/>
      <c r="AC61" s="51"/>
    </row>
    <row r="62" spans="1:29" ht="11.25" customHeight="1" x14ac:dyDescent="0.2">
      <c r="K62" s="49" t="s">
        <v>36</v>
      </c>
      <c r="V62" s="51"/>
      <c r="W62" s="51"/>
      <c r="X62" s="51"/>
      <c r="Y62" s="51"/>
      <c r="Z62" s="51"/>
      <c r="AA62" s="51"/>
      <c r="AB62" s="51"/>
      <c r="AC62" s="51"/>
    </row>
    <row r="63" spans="1:29" ht="11.25" customHeight="1" x14ac:dyDescent="0.2">
      <c r="V63" s="51"/>
      <c r="W63" s="51"/>
      <c r="X63" s="51"/>
      <c r="Y63" s="51"/>
      <c r="Z63" s="51"/>
      <c r="AA63" s="51"/>
      <c r="AB63" s="51"/>
      <c r="AC63" s="51"/>
    </row>
    <row r="64" spans="1:29" ht="11.25" customHeight="1" x14ac:dyDescent="0.2">
      <c r="V64" s="51"/>
      <c r="W64" s="51"/>
      <c r="X64" s="51"/>
      <c r="Y64" s="51"/>
      <c r="Z64" s="51"/>
      <c r="AA64" s="51"/>
      <c r="AB64" s="51"/>
      <c r="AC64" s="51"/>
    </row>
    <row r="65" spans="22:29" ht="11.25" customHeight="1" x14ac:dyDescent="0.2">
      <c r="V65" s="51"/>
      <c r="W65" s="51"/>
      <c r="X65" s="51"/>
      <c r="Y65" s="51"/>
      <c r="Z65" s="51"/>
      <c r="AA65" s="51"/>
      <c r="AB65" s="51"/>
      <c r="AC65" s="51"/>
    </row>
    <row r="66" spans="22:29" ht="11.25" customHeight="1" x14ac:dyDescent="0.2">
      <c r="V66" s="51"/>
      <c r="W66" s="51"/>
      <c r="X66" s="51"/>
      <c r="Y66" s="51"/>
      <c r="Z66" s="51"/>
      <c r="AA66" s="51"/>
      <c r="AB66" s="51"/>
      <c r="AC66" s="51"/>
    </row>
    <row r="67" spans="22:29" ht="11.25" customHeight="1" x14ac:dyDescent="0.2">
      <c r="V67" s="51"/>
      <c r="W67" s="51"/>
      <c r="X67" s="51"/>
      <c r="Y67" s="51"/>
      <c r="Z67" s="51"/>
      <c r="AA67" s="51"/>
      <c r="AB67" s="51"/>
      <c r="AC67" s="51"/>
    </row>
    <row r="68" spans="22:29" ht="11.25" customHeight="1" x14ac:dyDescent="0.2">
      <c r="V68" s="51"/>
      <c r="W68" s="51"/>
      <c r="X68" s="51"/>
      <c r="Y68" s="51"/>
      <c r="Z68" s="51"/>
      <c r="AA68" s="51"/>
      <c r="AB68" s="51"/>
      <c r="AC68" s="51"/>
    </row>
    <row r="69" spans="22:29" ht="11.25" customHeight="1" x14ac:dyDescent="0.2">
      <c r="V69" s="51"/>
      <c r="W69" s="51"/>
      <c r="X69" s="51"/>
      <c r="Y69" s="51"/>
      <c r="Z69" s="51"/>
      <c r="AA69" s="51"/>
      <c r="AB69" s="51"/>
      <c r="AC69" s="51"/>
    </row>
    <row r="70" spans="22:29" ht="11.25" customHeight="1" x14ac:dyDescent="0.2">
      <c r="V70" s="51"/>
      <c r="W70" s="51"/>
      <c r="X70" s="51"/>
      <c r="Y70" s="51"/>
      <c r="Z70" s="51"/>
      <c r="AA70" s="51"/>
      <c r="AB70" s="51"/>
      <c r="AC70" s="51"/>
    </row>
    <row r="71" spans="22:29" ht="11.25" customHeight="1" x14ac:dyDescent="0.2">
      <c r="V71" s="51"/>
      <c r="W71" s="51"/>
      <c r="X71" s="51"/>
      <c r="Y71" s="51"/>
      <c r="Z71" s="51"/>
      <c r="AA71" s="51"/>
      <c r="AB71" s="51"/>
      <c r="AC71" s="51"/>
    </row>
    <row r="72" spans="22:29" ht="11.25" customHeight="1" x14ac:dyDescent="0.2">
      <c r="V72" s="51"/>
      <c r="W72" s="51"/>
      <c r="X72" s="51"/>
      <c r="Y72" s="51"/>
      <c r="Z72" s="51"/>
      <c r="AA72" s="51"/>
      <c r="AB72" s="51"/>
      <c r="AC72" s="51"/>
    </row>
    <row r="73" spans="22:29" ht="11.25" customHeight="1" x14ac:dyDescent="0.2">
      <c r="V73" s="51"/>
      <c r="W73" s="51"/>
      <c r="X73" s="51"/>
      <c r="Y73" s="51"/>
      <c r="Z73" s="51"/>
      <c r="AA73" s="51"/>
      <c r="AB73" s="51"/>
      <c r="AC73" s="51"/>
    </row>
    <row r="74" spans="22:29" ht="11.25" customHeight="1" x14ac:dyDescent="0.2">
      <c r="V74" s="51"/>
      <c r="W74" s="51"/>
      <c r="X74" s="51"/>
      <c r="Y74" s="51"/>
      <c r="Z74" s="51"/>
      <c r="AA74" s="51"/>
      <c r="AB74" s="51"/>
      <c r="AC74" s="51"/>
    </row>
    <row r="75" spans="22:29" ht="11.25" customHeight="1" x14ac:dyDescent="0.2">
      <c r="V75" s="51"/>
      <c r="W75" s="51"/>
      <c r="X75" s="51"/>
      <c r="Y75" s="51"/>
      <c r="Z75" s="51"/>
      <c r="AA75" s="51"/>
      <c r="AB75" s="51"/>
      <c r="AC75" s="51"/>
    </row>
    <row r="76" spans="22:29" ht="11.25" customHeight="1" x14ac:dyDescent="0.2">
      <c r="V76" s="51"/>
      <c r="W76" s="51"/>
      <c r="X76" s="51"/>
      <c r="Y76" s="51"/>
      <c r="Z76" s="51"/>
      <c r="AA76" s="51"/>
      <c r="AB76" s="51"/>
      <c r="AC76" s="51"/>
    </row>
    <row r="77" spans="22:29" ht="11.25" customHeight="1" x14ac:dyDescent="0.2">
      <c r="V77" s="51"/>
      <c r="W77" s="51"/>
      <c r="X77" s="51"/>
      <c r="Y77" s="51"/>
      <c r="Z77" s="51"/>
      <c r="AA77" s="51"/>
      <c r="AB77" s="51"/>
      <c r="AC77" s="51"/>
    </row>
    <row r="78" spans="22:29" ht="11.25" customHeight="1" x14ac:dyDescent="0.2">
      <c r="V78" s="51"/>
      <c r="W78" s="51"/>
      <c r="X78" s="51"/>
      <c r="Y78" s="51"/>
      <c r="Z78" s="51"/>
      <c r="AA78" s="51"/>
      <c r="AB78" s="51"/>
      <c r="AC78" s="51"/>
    </row>
    <row r="79" spans="22:29" ht="11.25" customHeight="1" x14ac:dyDescent="0.2">
      <c r="V79" s="51"/>
      <c r="W79" s="51"/>
      <c r="X79" s="51"/>
      <c r="Y79" s="51"/>
      <c r="Z79" s="51"/>
      <c r="AA79" s="51"/>
      <c r="AB79" s="51"/>
      <c r="AC79" s="51"/>
    </row>
    <row r="80" spans="22:29" ht="11.25" customHeight="1" x14ac:dyDescent="0.2">
      <c r="V80" s="51"/>
      <c r="W80" s="51"/>
      <c r="X80" s="51"/>
      <c r="Y80" s="51"/>
      <c r="Z80" s="51"/>
      <c r="AA80" s="51"/>
      <c r="AB80" s="51"/>
      <c r="AC80" s="51"/>
    </row>
    <row r="81" spans="11:29" x14ac:dyDescent="0.2">
      <c r="V81" s="51"/>
      <c r="W81" s="51"/>
      <c r="X81" s="51"/>
      <c r="Y81" s="51"/>
      <c r="Z81" s="51"/>
      <c r="AA81" s="51"/>
      <c r="AB81" s="51"/>
      <c r="AC81" s="51"/>
    </row>
    <row r="82" spans="11:29" x14ac:dyDescent="0.2">
      <c r="V82" s="51"/>
      <c r="W82" s="51"/>
      <c r="X82" s="51"/>
      <c r="Y82" s="51"/>
      <c r="Z82" s="51"/>
      <c r="AA82" s="51"/>
      <c r="AB82" s="51"/>
      <c r="AC82" s="51"/>
    </row>
    <row r="83" spans="11:29" x14ac:dyDescent="0.2">
      <c r="V83" s="51"/>
      <c r="W83" s="51"/>
      <c r="X83" s="51"/>
      <c r="Y83" s="51"/>
      <c r="Z83" s="51"/>
      <c r="AA83" s="51"/>
      <c r="AB83" s="51"/>
      <c r="AC83" s="51"/>
    </row>
    <row r="84" spans="11:29" x14ac:dyDescent="0.2">
      <c r="V84" s="51"/>
      <c r="W84" s="51"/>
      <c r="X84" s="51"/>
      <c r="Y84" s="51"/>
      <c r="Z84" s="51"/>
      <c r="AA84" s="51"/>
      <c r="AB84" s="51"/>
      <c r="AC84" s="51"/>
    </row>
    <row r="85" spans="11:29" x14ac:dyDescent="0.2">
      <c r="V85" s="51"/>
      <c r="W85" s="51"/>
      <c r="X85" s="51"/>
      <c r="Y85" s="51"/>
      <c r="Z85" s="51"/>
      <c r="AA85" s="51"/>
      <c r="AB85" s="51"/>
      <c r="AC85" s="51"/>
    </row>
    <row r="86" spans="11:29" x14ac:dyDescent="0.2">
      <c r="V86" s="51"/>
      <c r="W86" s="51"/>
      <c r="X86" s="51"/>
      <c r="Y86" s="51"/>
      <c r="Z86" s="51"/>
      <c r="AA86" s="51"/>
      <c r="AB86" s="51"/>
      <c r="AC86" s="51"/>
    </row>
    <row r="87" spans="11:29" x14ac:dyDescent="0.2">
      <c r="V87" s="51"/>
      <c r="W87" s="51"/>
      <c r="X87" s="51"/>
      <c r="Y87" s="51"/>
      <c r="Z87" s="51"/>
      <c r="AA87" s="51"/>
      <c r="AB87" s="51"/>
      <c r="AC87" s="51"/>
    </row>
    <row r="88" spans="11:29" x14ac:dyDescent="0.2">
      <c r="V88" s="51"/>
      <c r="W88" s="51"/>
      <c r="X88" s="51"/>
      <c r="Y88" s="51"/>
      <c r="Z88" s="51"/>
      <c r="AA88" s="51"/>
      <c r="AB88" s="51"/>
      <c r="AC88" s="51"/>
    </row>
    <row r="89" spans="11:29" x14ac:dyDescent="0.2">
      <c r="V89" s="51"/>
      <c r="W89" s="51"/>
      <c r="X89" s="51"/>
      <c r="Y89" s="51"/>
      <c r="Z89" s="51"/>
      <c r="AA89" s="51"/>
      <c r="AB89" s="51"/>
      <c r="AC89" s="51"/>
    </row>
    <row r="90" spans="11:29" x14ac:dyDescent="0.2">
      <c r="K90" s="49" t="s">
        <v>36</v>
      </c>
      <c r="V90" s="51"/>
      <c r="W90" s="51"/>
      <c r="X90" s="51"/>
      <c r="Y90" s="51"/>
      <c r="Z90" s="51"/>
      <c r="AA90" s="51"/>
      <c r="AB90" s="51"/>
      <c r="AC90" s="51"/>
    </row>
    <row r="91" spans="11:29" x14ac:dyDescent="0.2">
      <c r="V91" s="51"/>
      <c r="W91" s="51"/>
      <c r="X91" s="51"/>
      <c r="Y91" s="51"/>
      <c r="Z91" s="51"/>
      <c r="AA91" s="51"/>
      <c r="AB91" s="51"/>
      <c r="AC91" s="51"/>
    </row>
    <row r="92" spans="11:29" x14ac:dyDescent="0.2">
      <c r="V92" s="51"/>
      <c r="W92" s="51"/>
      <c r="X92" s="51"/>
      <c r="Y92" s="51"/>
      <c r="Z92" s="51"/>
      <c r="AA92" s="51"/>
      <c r="AB92" s="51"/>
      <c r="AC92" s="51"/>
    </row>
    <row r="93" spans="11:29" x14ac:dyDescent="0.2">
      <c r="V93" s="51"/>
      <c r="W93" s="51"/>
      <c r="X93" s="51"/>
      <c r="Y93" s="51"/>
      <c r="Z93" s="51"/>
      <c r="AA93" s="51"/>
      <c r="AB93" s="51"/>
      <c r="AC93" s="51"/>
    </row>
  </sheetData>
  <dataValidations count="4">
    <dataValidation type="list" allowBlank="1" showInputMessage="1" showErrorMessage="1" sqref="D10:D20 D23:D59">
      <formula1>"Annual,Semiannual,EveryFourthMonth,Quarterly,Bimonthly,Monthly,Biweekly,Weekly,Daily,Once,NoFrequency"</formula1>
    </dataValidation>
    <dataValidation type="list" allowBlank="1" showInputMessage="1" showErrorMessage="1" sqref="E10:E20 E23:E59">
      <formula1>"Following,Modified Following,Preceding,Modified Preceding,Unadjusted,Half-Month Modified Following"</formula1>
    </dataValidation>
    <dataValidation type="list" allowBlank="1" showInputMessage="1" showErrorMessage="1" sqref="F23:F59 F10:F2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 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11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4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2.7109375" style="49" customWidth="1"/>
    <col min="31" max="31" width="3" style="49" customWidth="1"/>
    <col min="32" max="32" width="24.42578125" style="49" bestFit="1" customWidth="1"/>
    <col min="33" max="33" width="9" style="49" bestFit="1" customWidth="1"/>
    <col min="34" max="16384" width="9.140625" style="49"/>
  </cols>
  <sheetData>
    <row r="1" spans="1:33" ht="18" customHeight="1" x14ac:dyDescent="0.2">
      <c r="G1" s="53" t="s">
        <v>29</v>
      </c>
      <c r="H1" s="53" t="str">
        <f>"_SYNTH"&amp;Tenor</f>
        <v>_SYNTH1Y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GBP1Y</v>
      </c>
      <c r="W1" s="69"/>
      <c r="X1" s="69"/>
      <c r="Y1" s="72"/>
      <c r="Z1" s="72"/>
      <c r="AA1" s="69"/>
      <c r="AB1" s="69"/>
      <c r="AC1" s="76" t="s">
        <v>141</v>
      </c>
    </row>
    <row r="2" spans="1:33" ht="21.75" customHeight="1" x14ac:dyDescent="0.2">
      <c r="A2" s="68" t="s">
        <v>9</v>
      </c>
      <c r="B2" s="68" t="s">
        <v>30</v>
      </c>
      <c r="C2" s="68" t="s">
        <v>94</v>
      </c>
      <c r="D2" s="68" t="s">
        <v>131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58">
        <f t="array" ref="AC2:AC79">_xll.qlPiecewiseYieldCurveData(YieldCurve_1Y,Trigger)</f>
        <v>1</v>
      </c>
      <c r="AF2" s="260" t="s">
        <v>87</v>
      </c>
      <c r="AG2" s="261"/>
    </row>
    <row r="3" spans="1:33" ht="11.25" customHeight="1" x14ac:dyDescent="0.2">
      <c r="A3" s="111" t="s">
        <v>27</v>
      </c>
      <c r="B3" s="112" t="s">
        <v>74</v>
      </c>
      <c r="C3" s="113" t="s">
        <v>74</v>
      </c>
      <c r="D3" s="132"/>
      <c r="E3" s="132"/>
      <c r="F3" s="132"/>
      <c r="G3" s="114" t="str">
        <f>_xll.qlLibor(,Currency,C3,,Permanent,Trigger,ObjectOverwrite)</f>
        <v>obj_002a2#0001</v>
      </c>
      <c r="H3" s="122" t="str">
        <f t="shared" ref="H3" si="0">Currency&amp;$B3&amp;"D"&amp;$H$1&amp;QuoteSuffix</f>
        <v>GBPSND_SYNTH1Y_Quote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160" t="str">
        <f>IFERROR(INDEX($L$3:$L$79,MATCH(X3,$N$3:$N$79,0),1),"")</f>
        <v>Dp</v>
      </c>
      <c r="W3" s="160" t="str">
        <f t="array" ref="W3:W79">_xll.qlRateHelperSelection(_xll.ohFilter(RateHelpers,IncludeFlag),_xll.ohFilter(Priority,IncludeFlag),$AG$3,$AG$4,$AG$5,$AG$6,_xll.ohFilter(MinDistance,IncludeFlag),Trigger)</f>
        <v>obj_002c2</v>
      </c>
      <c r="X3" s="160" t="str">
        <f>IFERROR(_xll.qlRateHelperQuoteName(W3,Trigger),"")</f>
        <v>GBP1MD_SYNTH1Y_Quote</v>
      </c>
      <c r="Y3" s="202">
        <f>IFERROR(_xll.qlRateHelperRate(W3,Trigger),"")</f>
        <v>1.0625000000000001E-2</v>
      </c>
      <c r="Z3" s="203" t="str">
        <f>IF(ISERROR(_xll.qlSwapRateHelperSpread($W3)),IF(ISERROR(_xll.qlFuturesRateHelperConvexityAdjustment($W3)),"",_xll.qlFuturesRateHelperConvexityAdjustment($W3)),_xll.qlSwapRateHelperSpread($W3))</f>
        <v/>
      </c>
      <c r="AA3" s="161">
        <f>IFERROR(_xll.qlRateHelperEarliestDate(W3,Trigger),"")</f>
        <v>42275</v>
      </c>
      <c r="AB3" s="161">
        <f>IFERROR(_xll.qlRateHelperPillarDate(W3,Trigger),"")</f>
        <v>42305</v>
      </c>
      <c r="AC3" s="257">
        <v>0.9991274742947085</v>
      </c>
      <c r="AF3" s="108" t="s">
        <v>88</v>
      </c>
      <c r="AG3" s="109">
        <v>0</v>
      </c>
    </row>
    <row r="4" spans="1:33" ht="11.25" customHeight="1" x14ac:dyDescent="0.2">
      <c r="A4" s="56" t="s">
        <v>27</v>
      </c>
      <c r="B4" s="57" t="s">
        <v>93</v>
      </c>
      <c r="C4" s="59" t="s">
        <v>38</v>
      </c>
      <c r="D4" s="132"/>
      <c r="E4" s="132"/>
      <c r="F4" s="132"/>
      <c r="G4" s="58" t="str">
        <f>PROPER(Currency)&amp;FamilyName&amp;B4</f>
        <v>GbpLiborSW</v>
      </c>
      <c r="H4" s="159" t="str">
        <f t="shared" ref="H4:H18" si="1">Currency&amp;$B4&amp;"D"&amp;$H$1&amp;QuoteSuffix</f>
        <v>GBPSWD_SYNTH1Y_Quote</v>
      </c>
      <c r="I4" s="132"/>
      <c r="J4" s="61"/>
      <c r="K4" s="51"/>
      <c r="L4" s="10" t="str">
        <f t="shared" ref="L4:L18" si="2">A4</f>
        <v>Dp</v>
      </c>
      <c r="M4" s="95" t="str">
        <f t="shared" ref="M4:M18" si="3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163" t="str">
        <f t="shared" ref="V4:V67" si="4">IFERROR(INDEX($L$3:$L$79,MATCH(X4,$N$3:$N$79,0),1),"")</f>
        <v>Dp</v>
      </c>
      <c r="W4" s="163" t="str">
        <v>obj_002ad</v>
      </c>
      <c r="X4" s="163" t="str">
        <f>IFERROR(_xll.qlRateHelperQuoteName(W4,Trigger),"")</f>
        <v>GBP2MD_SYNTH1Y_Quote</v>
      </c>
      <c r="Y4" s="197">
        <f>IFERROR(_xll.qlRateHelperRate(W4,Trigger),"")</f>
        <v>1.0558E-2</v>
      </c>
      <c r="Z4" s="198" t="str">
        <f>IF(ISERROR(_xll.qlSwapRateHelperSpread($W4)),IF(ISERROR(_xll.qlFuturesRateHelperConvexityAdjustment($W4)),"",_xll.qlFuturesRateHelperConvexityAdjustment($W4)),_xll.qlSwapRateHelperSpread($W4))</f>
        <v/>
      </c>
      <c r="AA4" s="164">
        <f>IFERROR(_xll.qlRateHelperEarliestDate(W4,Trigger),"")</f>
        <v>42275</v>
      </c>
      <c r="AB4" s="164">
        <f>IFERROR(_xll.qlRateHelperPillarDate(W4,Trigger),"")</f>
        <v>42338</v>
      </c>
      <c r="AC4" s="257">
        <v>0.99818097515520987</v>
      </c>
      <c r="AF4" s="108" t="s">
        <v>89</v>
      </c>
      <c r="AG4" s="109">
        <v>0</v>
      </c>
    </row>
    <row r="5" spans="1:33" ht="11.25" customHeight="1" x14ac:dyDescent="0.2">
      <c r="A5" s="176" t="s">
        <v>27</v>
      </c>
      <c r="B5" s="177" t="s">
        <v>39</v>
      </c>
      <c r="C5" s="178" t="str">
        <f>B5</f>
        <v>2W</v>
      </c>
      <c r="D5" s="179"/>
      <c r="E5" s="179"/>
      <c r="F5" s="179"/>
      <c r="G5" s="180" t="str">
        <f>_xll.qlLibor(,Currency,C5,,Permanent,Trigger,ObjectOverwrite)</f>
        <v>obj_00327#0001</v>
      </c>
      <c r="H5" s="181" t="str">
        <f t="shared" si="1"/>
        <v>GBP2WD_SYNTH1Y_Quote</v>
      </c>
      <c r="I5" s="179"/>
      <c r="J5" s="182"/>
      <c r="K5" s="51"/>
      <c r="L5" s="10" t="str">
        <f t="shared" si="2"/>
        <v>Dp</v>
      </c>
      <c r="M5" s="95" t="str">
        <f t="shared" si="3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163" t="str">
        <f t="shared" si="4"/>
        <v>Dp</v>
      </c>
      <c r="W5" s="163" t="str">
        <v>obj_0032e</v>
      </c>
      <c r="X5" s="163" t="str">
        <f>IFERROR(_xll.qlRateHelperQuoteName(W5,Trigger),"")</f>
        <v>GBP3MD_SYNTH1Y_Quote</v>
      </c>
      <c r="Y5" s="197">
        <f>IFERROR(_xll.qlRateHelperRate(W5,Trigger),"")</f>
        <v>1.0501E-2</v>
      </c>
      <c r="Z5" s="198" t="str">
        <f>IF(ISERROR(_xll.qlSwapRateHelperSpread($W5)),IF(ISERROR(_xll.qlFuturesRateHelperConvexityAdjustment($W5)),"",_xll.qlFuturesRateHelperConvexityAdjustment($W5)),_xll.qlSwapRateHelperSpread($W5))</f>
        <v/>
      </c>
      <c r="AA5" s="164">
        <f>IFERROR(_xll.qlRateHelperEarliestDate(W5,Trigger),"")</f>
        <v>42275</v>
      </c>
      <c r="AB5" s="164">
        <f>IFERROR(_xll.qlRateHelperPillarDate(W5,Trigger),"")</f>
        <v>42367</v>
      </c>
      <c r="AC5" s="257">
        <v>0.99736015980409465</v>
      </c>
      <c r="AD5" s="81"/>
      <c r="AE5" s="81"/>
      <c r="AF5" s="108" t="s">
        <v>90</v>
      </c>
      <c r="AG5" s="109">
        <v>0</v>
      </c>
    </row>
    <row r="6" spans="1:33" ht="11.25" customHeight="1" x14ac:dyDescent="0.2">
      <c r="A6" s="183" t="s">
        <v>27</v>
      </c>
      <c r="B6" s="184" t="s">
        <v>40</v>
      </c>
      <c r="C6" s="185" t="str">
        <f t="shared" ref="C6:C18" si="5">B6</f>
        <v>3W</v>
      </c>
      <c r="D6" s="186"/>
      <c r="E6" s="186"/>
      <c r="F6" s="186"/>
      <c r="G6" s="187" t="str">
        <f>_xll.qlLibor(,Currency,C6,,Permanent,Trigger,ObjectOverwrite)</f>
        <v>obj_002ba#0001</v>
      </c>
      <c r="H6" s="188" t="str">
        <f t="shared" si="1"/>
        <v>GBP3WD_SYNTH1Y_Quote</v>
      </c>
      <c r="I6" s="186"/>
      <c r="J6" s="189"/>
      <c r="K6" s="51"/>
      <c r="L6" s="10" t="str">
        <f t="shared" si="2"/>
        <v>Dp</v>
      </c>
      <c r="M6" s="95" t="str">
        <f t="shared" si="3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163" t="str">
        <f t="shared" si="4"/>
        <v>Dp</v>
      </c>
      <c r="W6" s="163" t="str">
        <v>obj_002c9</v>
      </c>
      <c r="X6" s="163" t="str">
        <f>IFERROR(_xll.qlRateHelperQuoteName(W6,Trigger),"")</f>
        <v>GBP4MD_SYNTH1Y_Quote</v>
      </c>
      <c r="Y6" s="197">
        <f>IFERROR(_xll.qlRateHelperRate(W6,Trigger),"")</f>
        <v>1.0404E-2</v>
      </c>
      <c r="Z6" s="198" t="str">
        <f>IF(ISERROR(_xll.qlSwapRateHelperSpread($W6)),IF(ISERROR(_xll.qlFuturesRateHelperConvexityAdjustment($W6)),"",_xll.qlFuturesRateHelperConvexityAdjustment($W6)),_xll.qlSwapRateHelperSpread($W6))</f>
        <v/>
      </c>
      <c r="AA6" s="164">
        <f>IFERROR(_xll.qlRateHelperEarliestDate(W6,Trigger),"")</f>
        <v>42275</v>
      </c>
      <c r="AB6" s="164">
        <f>IFERROR(_xll.qlRateHelperPillarDate(W6,Trigger),"")</f>
        <v>42397</v>
      </c>
      <c r="AC6" s="257">
        <v>0.99653454973816968</v>
      </c>
      <c r="AF6" s="108" t="s">
        <v>91</v>
      </c>
      <c r="AG6" s="110" t="s">
        <v>92</v>
      </c>
    </row>
    <row r="7" spans="1:33" ht="11.25" customHeight="1" x14ac:dyDescent="0.2">
      <c r="A7" s="62" t="s">
        <v>27</v>
      </c>
      <c r="B7" s="63" t="s">
        <v>2</v>
      </c>
      <c r="C7" s="65" t="str">
        <f t="shared" si="5"/>
        <v>1M</v>
      </c>
      <c r="D7" s="126"/>
      <c r="E7" s="126"/>
      <c r="F7" s="126"/>
      <c r="G7" s="64" t="str">
        <f>PROPER(Currency)&amp;FamilyName&amp;B7</f>
        <v>GbpLibor1M</v>
      </c>
      <c r="H7" s="123" t="str">
        <f t="shared" si="1"/>
        <v>GBP1MD_SYNTH1Y_Quote</v>
      </c>
      <c r="I7" s="126"/>
      <c r="J7" s="67" t="str">
        <f>_xll.qlDepositRateHelper(,H7,G7,Permanent,Trigger,ObjectOverwrite)</f>
        <v>obj_002c2#0001</v>
      </c>
      <c r="K7" s="51"/>
      <c r="L7" s="10" t="str">
        <f t="shared" si="2"/>
        <v>Dp</v>
      </c>
      <c r="M7" s="95" t="str">
        <f t="shared" si="3"/>
        <v>obj_002c2#0001</v>
      </c>
      <c r="N7" s="149" t="str">
        <f>IFERROR(_xll.qlRateHelperQuoteName(M7,Trigger),"--")</f>
        <v>GBP1MD_SYNTH1Y_Quote</v>
      </c>
      <c r="O7" s="99">
        <f>IFERROR(_xll.qlRateHelperQuoteValue($M7,Trigger),"--")</f>
        <v>1.0625000000000001E-2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42275</v>
      </c>
      <c r="T7" s="100">
        <f>IFERROR(_xll.qlRateHelperPillarDate(M7,Trigger),"--")</f>
        <v>42305</v>
      </c>
      <c r="V7" s="163" t="str">
        <f t="shared" si="4"/>
        <v>Dp</v>
      </c>
      <c r="W7" s="163" t="str">
        <v>obj_002ce</v>
      </c>
      <c r="X7" s="163" t="str">
        <f>IFERROR(_xll.qlRateHelperQuoteName(W7,Trigger),"")</f>
        <v>GBP5MD_SYNTH1Y_Quote</v>
      </c>
      <c r="Y7" s="197">
        <f>IFERROR(_xll.qlRateHelperRate(W7,Trigger),"")</f>
        <v>1.0402E-2</v>
      </c>
      <c r="Z7" s="198" t="str">
        <f>IF(ISERROR(_xll.qlSwapRateHelperSpread($W7)),IF(ISERROR(_xll.qlFuturesRateHelperConvexityAdjustment($W7)),"",_xll.qlFuturesRateHelperConvexityAdjustment($W7)),_xll.qlSwapRateHelperSpread($W7))</f>
        <v/>
      </c>
      <c r="AA7" s="164">
        <f>IFERROR(_xll.qlRateHelperEarliestDate(W7,Trigger),"")</f>
        <v>42275</v>
      </c>
      <c r="AB7" s="164">
        <f>IFERROR(_xll.qlRateHelperPillarDate(W7,Trigger),"")</f>
        <v>42429</v>
      </c>
      <c r="AC7" s="257">
        <v>0.9956303882630092</v>
      </c>
    </row>
    <row r="8" spans="1:33" ht="11.25" customHeight="1" x14ac:dyDescent="0.2">
      <c r="A8" s="62" t="s">
        <v>27</v>
      </c>
      <c r="B8" s="63" t="s">
        <v>41</v>
      </c>
      <c r="C8" s="65" t="str">
        <f t="shared" si="5"/>
        <v>2M</v>
      </c>
      <c r="D8" s="126"/>
      <c r="E8" s="126"/>
      <c r="F8" s="126"/>
      <c r="G8" s="64" t="str">
        <f>PROPER(Currency)&amp;FamilyName&amp;B8</f>
        <v>GbpLibor2M</v>
      </c>
      <c r="H8" s="123" t="str">
        <f t="shared" si="1"/>
        <v>GBP2MD_SYNTH1Y_Quote</v>
      </c>
      <c r="I8" s="126"/>
      <c r="J8" s="67" t="str">
        <f>_xll.qlDepositRateHelper(,H8,G8,Permanent,Trigger,ObjectOverwrite)</f>
        <v>obj_002ad#0001</v>
      </c>
      <c r="K8" s="51"/>
      <c r="L8" s="10" t="str">
        <f t="shared" si="2"/>
        <v>Dp</v>
      </c>
      <c r="M8" s="95" t="str">
        <f t="shared" si="3"/>
        <v>obj_002ad#0001</v>
      </c>
      <c r="N8" s="149" t="str">
        <f>IFERROR(_xll.qlRateHelperQuoteName(M8,Trigger),"--")</f>
        <v>GBP2MD_SYNTH1Y_Quote</v>
      </c>
      <c r="O8" s="99">
        <f>IFERROR(_xll.qlRateHelperQuoteValue($M8,Trigger),"--")</f>
        <v>1.0558E-2</v>
      </c>
      <c r="P8" s="98" t="b">
        <v>1</v>
      </c>
      <c r="Q8" s="95">
        <v>10</v>
      </c>
      <c r="R8" s="95">
        <v>1</v>
      </c>
      <c r="S8" s="100">
        <f>IFERROR(_xll.qlRateHelperEarliestDate(M8,Trigger),"--")</f>
        <v>42275</v>
      </c>
      <c r="T8" s="100">
        <f>IFERROR(_xll.qlRateHelperPillarDate(M8,Trigger),"--")</f>
        <v>42338</v>
      </c>
      <c r="V8" s="163" t="str">
        <f t="shared" si="4"/>
        <v>Dp</v>
      </c>
      <c r="W8" s="163" t="str">
        <v>obj_002aa</v>
      </c>
      <c r="X8" s="163" t="str">
        <f>IFERROR(_xll.qlRateHelperQuoteName(W8,Trigger),"")</f>
        <v>GBP6MD_SYNTH1Y_Quote</v>
      </c>
      <c r="Y8" s="197">
        <f>IFERROR(_xll.qlRateHelperRate(W8,Trigger),"")</f>
        <v>1.0382000000000001E-2</v>
      </c>
      <c r="Z8" s="198" t="str">
        <f>IF(ISERROR(_xll.qlSwapRateHelperSpread($W8)),IF(ISERROR(_xll.qlFuturesRateHelperConvexityAdjustment($W8)),"",_xll.qlFuturesRateHelperConvexityAdjustment($W8)),_xll.qlSwapRateHelperSpread($W8))</f>
        <v/>
      </c>
      <c r="AA8" s="164">
        <f>IFERROR(_xll.qlRateHelperEarliestDate(W8,Trigger),"")</f>
        <v>42275</v>
      </c>
      <c r="AB8" s="164">
        <f>IFERROR(_xll.qlRateHelperPillarDate(W8,Trigger),"")</f>
        <v>42458</v>
      </c>
      <c r="AC8" s="257">
        <v>0.99482173211567959</v>
      </c>
    </row>
    <row r="9" spans="1:33" ht="11.25" customHeight="1" x14ac:dyDescent="0.2">
      <c r="A9" s="62" t="s">
        <v>27</v>
      </c>
      <c r="B9" s="63" t="s">
        <v>0</v>
      </c>
      <c r="C9" s="65" t="str">
        <f t="shared" si="5"/>
        <v>3M</v>
      </c>
      <c r="D9" s="126"/>
      <c r="E9" s="126"/>
      <c r="F9" s="126"/>
      <c r="G9" s="64" t="str">
        <f>PROPER(Currency)&amp;FamilyName&amp;B9</f>
        <v>GbpLibor3M</v>
      </c>
      <c r="H9" s="123" t="str">
        <f t="shared" si="1"/>
        <v>GBP3MD_SYNTH1Y_Quote</v>
      </c>
      <c r="I9" s="126"/>
      <c r="J9" s="67" t="str">
        <f>_xll.qlDepositRateHelper(,H9,G9,Permanent,Trigger,ObjectOverwrite)</f>
        <v>obj_0032e#0001</v>
      </c>
      <c r="K9" s="51"/>
      <c r="L9" s="10" t="str">
        <f t="shared" si="2"/>
        <v>Dp</v>
      </c>
      <c r="M9" s="95" t="str">
        <f t="shared" si="3"/>
        <v>obj_0032e#0001</v>
      </c>
      <c r="N9" s="149" t="str">
        <f>IFERROR(_xll.qlRateHelperQuoteName(M9,Trigger),"--")</f>
        <v>GBP3MD_SYNTH1Y_Quote</v>
      </c>
      <c r="O9" s="99">
        <f>IFERROR(_xll.qlRateHelperQuoteValue($M9,Trigger),"--")</f>
        <v>1.0501E-2</v>
      </c>
      <c r="P9" s="98" t="b">
        <v>1</v>
      </c>
      <c r="Q9" s="95">
        <v>10</v>
      </c>
      <c r="R9" s="95">
        <v>1</v>
      </c>
      <c r="S9" s="100">
        <f>IFERROR(_xll.qlRateHelperEarliestDate(M9,Trigger),"--")</f>
        <v>42275</v>
      </c>
      <c r="T9" s="100">
        <f>IFERROR(_xll.qlRateHelperPillarDate(M9,Trigger),"--")</f>
        <v>42367</v>
      </c>
      <c r="V9" s="163" t="str">
        <f t="shared" si="4"/>
        <v>Dp</v>
      </c>
      <c r="W9" s="163" t="str">
        <v>obj_002d0</v>
      </c>
      <c r="X9" s="163" t="str">
        <f>IFERROR(_xll.qlRateHelperQuoteName(W9,Trigger),"")</f>
        <v>GBP7MD_SYNTH1Y_Quote</v>
      </c>
      <c r="Y9" s="197">
        <f>IFERROR(_xll.qlRateHelperRate(W9,Trigger),"")</f>
        <v>1.0359999999999999E-2</v>
      </c>
      <c r="Z9" s="198" t="str">
        <f>IF(ISERROR(_xll.qlSwapRateHelperSpread($W9)),IF(ISERROR(_xll.qlFuturesRateHelperConvexityAdjustment($W9)),"",_xll.qlFuturesRateHelperConvexityAdjustment($W9)),_xll.qlSwapRateHelperSpread($W9))</f>
        <v/>
      </c>
      <c r="AA9" s="164">
        <f>IFERROR(_xll.qlRateHelperEarliestDate(W9,Trigger),"")</f>
        <v>42275</v>
      </c>
      <c r="AB9" s="164">
        <f>IFERROR(_xll.qlRateHelperPillarDate(W9,Trigger),"")</f>
        <v>42488</v>
      </c>
      <c r="AC9" s="257">
        <v>0.99399063219656036</v>
      </c>
    </row>
    <row r="10" spans="1:33" ht="11.25" customHeight="1" x14ac:dyDescent="0.2">
      <c r="A10" s="62" t="s">
        <v>27</v>
      </c>
      <c r="B10" s="63" t="s">
        <v>42</v>
      </c>
      <c r="C10" s="65" t="str">
        <f t="shared" si="5"/>
        <v>4M</v>
      </c>
      <c r="D10" s="126"/>
      <c r="E10" s="126"/>
      <c r="F10" s="126"/>
      <c r="G10" s="64" t="str">
        <f>_xll.qlLibor(,Currency,C10,,Permanent,Trigger,ObjectOverwrite)</f>
        <v>obj_002a4#0001</v>
      </c>
      <c r="H10" s="123" t="str">
        <f t="shared" si="1"/>
        <v>GBP4MD_SYNTH1Y_Quote</v>
      </c>
      <c r="I10" s="126"/>
      <c r="J10" s="67" t="str">
        <f>_xll.qlDepositRateHelper(,H10,G10,Permanent,Trigger,ObjectOverwrite)</f>
        <v>obj_002c9#0001</v>
      </c>
      <c r="K10" s="51"/>
      <c r="L10" s="10" t="str">
        <f t="shared" si="2"/>
        <v>Dp</v>
      </c>
      <c r="M10" s="95" t="str">
        <f t="shared" si="3"/>
        <v>obj_002c9#0001</v>
      </c>
      <c r="N10" s="149" t="str">
        <f>IFERROR(_xll.qlRateHelperQuoteName(M10,Trigger),"--")</f>
        <v>GBP4MD_SYNTH1Y_Quote</v>
      </c>
      <c r="O10" s="99">
        <f>IFERROR(_xll.qlRateHelperQuoteValue($M10,Trigger),"--")</f>
        <v>1.0404E-2</v>
      </c>
      <c r="P10" s="98" t="b">
        <v>1</v>
      </c>
      <c r="Q10" s="95">
        <v>10</v>
      </c>
      <c r="R10" s="95">
        <v>1</v>
      </c>
      <c r="S10" s="100">
        <f>IFERROR(_xll.qlRateHelperEarliestDate(M10,Trigger),"--")</f>
        <v>42275</v>
      </c>
      <c r="T10" s="100">
        <f>IFERROR(_xll.qlRateHelperPillarDate(M10,Trigger),"--")</f>
        <v>42397</v>
      </c>
      <c r="V10" s="163" t="str">
        <f t="shared" si="4"/>
        <v>Dp</v>
      </c>
      <c r="W10" s="163" t="str">
        <v>obj_002d6</v>
      </c>
      <c r="X10" s="163" t="str">
        <f>IFERROR(_xll.qlRateHelperQuoteName(W10,Trigger),"")</f>
        <v>GBP8MD_SYNTH1Y_Quote</v>
      </c>
      <c r="Y10" s="197">
        <f>IFERROR(_xll.qlRateHelperRate(W10,Trigger),"")</f>
        <v>1.0354E-2</v>
      </c>
      <c r="Z10" s="198" t="str">
        <f>IF(ISERROR(_xll.qlSwapRateHelperSpread($W10)),IF(ISERROR(_xll.qlFuturesRateHelperConvexityAdjustment($W10)),"",_xll.qlFuturesRateHelperConvexityAdjustment($W10)),_xll.qlSwapRateHelperSpread($W10))</f>
        <v/>
      </c>
      <c r="AA10" s="164">
        <f>IFERROR(_xll.qlRateHelperEarliestDate(W10,Trigger),"")</f>
        <v>42275</v>
      </c>
      <c r="AB10" s="164">
        <f>IFERROR(_xll.qlRateHelperPillarDate(W10,Trigger),"")</f>
        <v>42521</v>
      </c>
      <c r="AC10" s="257">
        <v>0.99307004704736002</v>
      </c>
    </row>
    <row r="11" spans="1:33" ht="11.25" customHeight="1" x14ac:dyDescent="0.2">
      <c r="A11" s="62" t="s">
        <v>27</v>
      </c>
      <c r="B11" s="63" t="s">
        <v>43</v>
      </c>
      <c r="C11" s="65" t="str">
        <f t="shared" si="5"/>
        <v>5M</v>
      </c>
      <c r="D11" s="126"/>
      <c r="E11" s="126"/>
      <c r="F11" s="126"/>
      <c r="G11" s="64" t="str">
        <f>_xll.qlLibor(,Currency,C11,,Permanent,Trigger,ObjectOverwrite)</f>
        <v>obj_002a8#0001</v>
      </c>
      <c r="H11" s="123" t="str">
        <f t="shared" si="1"/>
        <v>GBP5MD_SYNTH1Y_Quote</v>
      </c>
      <c r="I11" s="126"/>
      <c r="J11" s="67" t="str">
        <f>_xll.qlDepositRateHelper(,H11,G11,Permanent,Trigger,ObjectOverwrite)</f>
        <v>obj_002ce#0001</v>
      </c>
      <c r="K11" s="51"/>
      <c r="L11" s="10" t="str">
        <f t="shared" si="2"/>
        <v>Dp</v>
      </c>
      <c r="M11" s="95" t="str">
        <f t="shared" si="3"/>
        <v>obj_002ce#0001</v>
      </c>
      <c r="N11" s="149" t="str">
        <f>IFERROR(_xll.qlRateHelperQuoteName(M11,Trigger),"--")</f>
        <v>GBP5MD_SYNTH1Y_Quote</v>
      </c>
      <c r="O11" s="99">
        <f>IFERROR(_xll.qlRateHelperQuoteValue($M11,Trigger),"--")</f>
        <v>1.0402E-2</v>
      </c>
      <c r="P11" s="98" t="b">
        <v>1</v>
      </c>
      <c r="Q11" s="95">
        <v>10</v>
      </c>
      <c r="R11" s="95">
        <v>1</v>
      </c>
      <c r="S11" s="100">
        <f>IFERROR(_xll.qlRateHelperEarliestDate(M11,Trigger),"--")</f>
        <v>42275</v>
      </c>
      <c r="T11" s="100">
        <f>IFERROR(_xll.qlRateHelperPillarDate(M11,Trigger),"--")</f>
        <v>42429</v>
      </c>
      <c r="V11" s="163" t="str">
        <f t="shared" si="4"/>
        <v>Dp</v>
      </c>
      <c r="W11" s="163" t="str">
        <v>obj_002d2</v>
      </c>
      <c r="X11" s="163" t="str">
        <f>IFERROR(_xll.qlRateHelperQuoteName(W11,Trigger),"")</f>
        <v>GBP9MD_SYNTH1Y_Quote</v>
      </c>
      <c r="Y11" s="197">
        <f>IFERROR(_xll.qlRateHelperRate(W11,Trigger),"")</f>
        <v>1.0375000000000001E-2</v>
      </c>
      <c r="Z11" s="198" t="str">
        <f>IF(ISERROR(_xll.qlSwapRateHelperSpread($W11)),IF(ISERROR(_xll.qlFuturesRateHelperConvexityAdjustment($W11)),"",_xll.qlFuturesRateHelperConvexityAdjustment($W11)),_xll.qlSwapRateHelperSpread($W11))</f>
        <v/>
      </c>
      <c r="AA11" s="164">
        <f>IFERROR(_xll.qlRateHelperEarliestDate(W11,Trigger),"")</f>
        <v>42275</v>
      </c>
      <c r="AB11" s="164">
        <f>IFERROR(_xll.qlRateHelperPillarDate(W11,Trigger),"")</f>
        <v>42549</v>
      </c>
      <c r="AC11" s="257">
        <v>0.99227183354843895</v>
      </c>
    </row>
    <row r="12" spans="1:33" ht="11.25" customHeight="1" x14ac:dyDescent="0.2">
      <c r="A12" s="62" t="s">
        <v>27</v>
      </c>
      <c r="B12" s="63" t="s">
        <v>3</v>
      </c>
      <c r="C12" s="65" t="str">
        <f t="shared" si="5"/>
        <v>6M</v>
      </c>
      <c r="D12" s="126"/>
      <c r="E12" s="126"/>
      <c r="F12" s="126"/>
      <c r="G12" s="64" t="str">
        <f>PROPER(Currency)&amp;FamilyName&amp;B12</f>
        <v>GbpLibor6M</v>
      </c>
      <c r="H12" s="123" t="str">
        <f t="shared" si="1"/>
        <v>GBP6MD_SYNTH1Y_Quote</v>
      </c>
      <c r="I12" s="126"/>
      <c r="J12" s="67" t="str">
        <f>_xll.qlDepositRateHelper(,H12,G12,Permanent,Trigger,ObjectOverwrite)</f>
        <v>obj_002aa#0001</v>
      </c>
      <c r="K12" s="51" t="s">
        <v>36</v>
      </c>
      <c r="L12" s="10" t="str">
        <f t="shared" si="2"/>
        <v>Dp</v>
      </c>
      <c r="M12" s="95" t="str">
        <f t="shared" si="3"/>
        <v>obj_002aa#0001</v>
      </c>
      <c r="N12" s="149" t="str">
        <f>IFERROR(_xll.qlRateHelperQuoteName(M12,Trigger),"--")</f>
        <v>GBP6MD_SYNTH1Y_Quote</v>
      </c>
      <c r="O12" s="99">
        <f>IFERROR(_xll.qlRateHelperQuoteValue($M12,Trigger),"--")</f>
        <v>1.0382000000000001E-2</v>
      </c>
      <c r="P12" s="98" t="b">
        <v>1</v>
      </c>
      <c r="Q12" s="95">
        <v>10</v>
      </c>
      <c r="R12" s="95">
        <v>1</v>
      </c>
      <c r="S12" s="100">
        <f>IFERROR(_xll.qlRateHelperEarliestDate(M12,Trigger),"--")</f>
        <v>42275</v>
      </c>
      <c r="T12" s="100">
        <f>IFERROR(_xll.qlRateHelperPillarDate(M12,Trigger),"--")</f>
        <v>42458</v>
      </c>
      <c r="V12" s="163" t="str">
        <f t="shared" si="4"/>
        <v>Dp</v>
      </c>
      <c r="W12" s="163" t="str">
        <v>obj_002de</v>
      </c>
      <c r="X12" s="163" t="str">
        <f>IFERROR(_xll.qlRateHelperQuoteName(W12,Trigger),"")</f>
        <v>GBP10MD_SYNTH1Y_Quote</v>
      </c>
      <c r="Y12" s="197">
        <f>IFERROR(_xll.qlRateHelperRate(W12,Trigger),"")</f>
        <v>1.0352999999999999E-2</v>
      </c>
      <c r="Z12" s="198" t="str">
        <f>IF(ISERROR(_xll.qlSwapRateHelperSpread($W12)),IF(ISERROR(_xll.qlFuturesRateHelperConvexityAdjustment($W12)),"",_xll.qlFuturesRateHelperConvexityAdjustment($W12)),_xll.qlSwapRateHelperSpread($W12))</f>
        <v/>
      </c>
      <c r="AA12" s="164">
        <f>IFERROR(_xll.qlRateHelperEarliestDate(W12,Trigger),"")</f>
        <v>42275</v>
      </c>
      <c r="AB12" s="164">
        <f>IFERROR(_xll.qlRateHelperPillarDate(W12,Trigger),"")</f>
        <v>42579</v>
      </c>
      <c r="AC12" s="257">
        <v>0.99145094396343181</v>
      </c>
    </row>
    <row r="13" spans="1:33" ht="11.25" customHeight="1" x14ac:dyDescent="0.2">
      <c r="A13" s="62" t="s">
        <v>27</v>
      </c>
      <c r="B13" s="63" t="s">
        <v>44</v>
      </c>
      <c r="C13" s="65" t="str">
        <f t="shared" si="5"/>
        <v>7M</v>
      </c>
      <c r="D13" s="126"/>
      <c r="E13" s="126"/>
      <c r="F13" s="126"/>
      <c r="G13" s="64" t="str">
        <f>_xll.qlLibor(,Currency,C13,,Permanent,Trigger,ObjectOverwrite)</f>
        <v>obj_002b1#0001</v>
      </c>
      <c r="H13" s="123" t="str">
        <f t="shared" si="1"/>
        <v>GBP7MD_SYNTH1Y_Quote</v>
      </c>
      <c r="I13" s="126"/>
      <c r="J13" s="67" t="str">
        <f>_xll.qlDepositRateHelper(,H13,G13,Permanent,Trigger,ObjectOverwrite)</f>
        <v>obj_002d0#0001</v>
      </c>
      <c r="K13" s="51"/>
      <c r="L13" s="10" t="str">
        <f t="shared" si="2"/>
        <v>Dp</v>
      </c>
      <c r="M13" s="95" t="str">
        <f t="shared" si="3"/>
        <v>obj_002d0#0001</v>
      </c>
      <c r="N13" s="149" t="str">
        <f>IFERROR(_xll.qlRateHelperQuoteName(M13,Trigger),"--")</f>
        <v>GBP7MD_SYNTH1Y_Quote</v>
      </c>
      <c r="O13" s="99">
        <f>IFERROR(_xll.qlRateHelperQuoteValue($M13,Trigger),"--")</f>
        <v>1.0359999999999999E-2</v>
      </c>
      <c r="P13" s="98" t="b">
        <v>1</v>
      </c>
      <c r="Q13" s="95">
        <v>10</v>
      </c>
      <c r="R13" s="95">
        <v>1</v>
      </c>
      <c r="S13" s="100">
        <f>IFERROR(_xll.qlRateHelperEarliestDate(M13,Trigger),"--")</f>
        <v>42275</v>
      </c>
      <c r="T13" s="100">
        <f>IFERROR(_xll.qlRateHelperPillarDate(M13,Trigger),"--")</f>
        <v>42488</v>
      </c>
      <c r="V13" s="163" t="str">
        <f t="shared" si="4"/>
        <v>Dp</v>
      </c>
      <c r="W13" s="163" t="str">
        <v>obj_002cd</v>
      </c>
      <c r="X13" s="163" t="str">
        <f>IFERROR(_xll.qlRateHelperQuoteName(W13,Trigger),"")</f>
        <v>GBP11MD_SYNTH1Y_Quote</v>
      </c>
      <c r="Y13" s="197">
        <f>IFERROR(_xll.qlRateHelperRate(W13,Trigger),"")</f>
        <v>1.0383999999999999E-2</v>
      </c>
      <c r="Z13" s="198" t="str">
        <f>IF(ISERROR(_xll.qlSwapRateHelperSpread($W13)),IF(ISERROR(_xll.qlFuturesRateHelperConvexityAdjustment($W13)),"",_xll.qlFuturesRateHelperConvexityAdjustment($W13)),_xll.qlSwapRateHelperSpread($W13))</f>
        <v/>
      </c>
      <c r="AA13" s="164">
        <f>IFERROR(_xll.qlRateHelperEarliestDate(W13,Trigger),"")</f>
        <v>42275</v>
      </c>
      <c r="AB13" s="164">
        <f>IFERROR(_xll.qlRateHelperPillarDate(W13,Trigger),"")</f>
        <v>42612</v>
      </c>
      <c r="AC13" s="257">
        <v>0.99050362653499835</v>
      </c>
    </row>
    <row r="14" spans="1:33" ht="11.25" customHeight="1" x14ac:dyDescent="0.2">
      <c r="A14" s="62" t="s">
        <v>27</v>
      </c>
      <c r="B14" s="63" t="s">
        <v>45</v>
      </c>
      <c r="C14" s="65" t="str">
        <f t="shared" si="5"/>
        <v>8M</v>
      </c>
      <c r="D14" s="126"/>
      <c r="E14" s="126"/>
      <c r="F14" s="126"/>
      <c r="G14" s="64" t="str">
        <f>_xll.qlLibor(,Currency,C14,,Permanent,Trigger,ObjectOverwrite)</f>
        <v>obj_002b5#0001</v>
      </c>
      <c r="H14" s="123" t="str">
        <f t="shared" si="1"/>
        <v>GBP8MD_SYNTH1Y_Quote</v>
      </c>
      <c r="I14" s="126"/>
      <c r="J14" s="67" t="str">
        <f>_xll.qlDepositRateHelper(,H14,G14,Permanent,Trigger,ObjectOverwrite)</f>
        <v>obj_002d6#0001</v>
      </c>
      <c r="K14" s="51"/>
      <c r="L14" s="10" t="str">
        <f t="shared" si="2"/>
        <v>Dp</v>
      </c>
      <c r="M14" s="95" t="str">
        <f t="shared" si="3"/>
        <v>obj_002d6#0001</v>
      </c>
      <c r="N14" s="149" t="str">
        <f>IFERROR(_xll.qlRateHelperQuoteName(M14,Trigger),"--")</f>
        <v>GBP8MD_SYNTH1Y_Quote</v>
      </c>
      <c r="O14" s="99">
        <f>IFERROR(_xll.qlRateHelperQuoteValue($M14,Trigger),"--")</f>
        <v>1.0354E-2</v>
      </c>
      <c r="P14" s="98" t="b">
        <v>1</v>
      </c>
      <c r="Q14" s="95">
        <v>10</v>
      </c>
      <c r="R14" s="95">
        <v>1</v>
      </c>
      <c r="S14" s="100">
        <f>IFERROR(_xll.qlRateHelperEarliestDate(M14,Trigger),"--")</f>
        <v>42275</v>
      </c>
      <c r="T14" s="100">
        <f>IFERROR(_xll.qlRateHelperPillarDate(M14,Trigger),"--")</f>
        <v>42521</v>
      </c>
      <c r="V14" s="163" t="str">
        <f t="shared" si="4"/>
        <v>Dp</v>
      </c>
      <c r="W14" s="163" t="str">
        <v>obj_002bf</v>
      </c>
      <c r="X14" s="163" t="str">
        <f>IFERROR(_xll.qlRateHelperQuoteName(W14,Trigger),"")</f>
        <v>GBP1YD_SYNTH1Y_Quote</v>
      </c>
      <c r="Y14" s="197">
        <f>IFERROR(_xll.qlRateHelperRate(W14,Trigger),"")</f>
        <v>1.0428E-2</v>
      </c>
      <c r="Z14" s="198" t="str">
        <f>IF(ISERROR(_xll.qlSwapRateHelperSpread($W14)),IF(ISERROR(_xll.qlFuturesRateHelperConvexityAdjustment($W14)),"",_xll.qlFuturesRateHelperConvexityAdjustment($W14)),_xll.qlSwapRateHelperSpread($W14))</f>
        <v/>
      </c>
      <c r="AA14" s="164">
        <f>IFERROR(_xll.qlRateHelperEarliestDate(W14,Trigger),"")</f>
        <v>42275</v>
      </c>
      <c r="AB14" s="164">
        <f>IFERROR(_xll.qlRateHelperPillarDate(W14,Trigger),"")</f>
        <v>42641</v>
      </c>
      <c r="AC14" s="257">
        <v>0.98965163850195825</v>
      </c>
    </row>
    <row r="15" spans="1:33" ht="11.25" customHeight="1" x14ac:dyDescent="0.2">
      <c r="A15" s="62" t="s">
        <v>27</v>
      </c>
      <c r="B15" s="63" t="s">
        <v>46</v>
      </c>
      <c r="C15" s="65" t="str">
        <f t="shared" si="5"/>
        <v>9M</v>
      </c>
      <c r="D15" s="126"/>
      <c r="E15" s="126"/>
      <c r="F15" s="126"/>
      <c r="G15" s="64" t="str">
        <f>_xll.qlLibor(,Currency,C15,,Permanent,Trigger,ObjectOverwrite)</f>
        <v>obj_002b3#0001</v>
      </c>
      <c r="H15" s="123" t="str">
        <f t="shared" si="1"/>
        <v>GBP9MD_SYNTH1Y_Quote</v>
      </c>
      <c r="I15" s="126"/>
      <c r="J15" s="67" t="str">
        <f>_xll.qlDepositRateHelper(,H15,G15,Permanent,Trigger,ObjectOverwrite)</f>
        <v>obj_002d2#0001</v>
      </c>
      <c r="K15" s="51"/>
      <c r="L15" s="10" t="str">
        <f t="shared" si="2"/>
        <v>Dp</v>
      </c>
      <c r="M15" s="95" t="str">
        <f t="shared" si="3"/>
        <v>obj_002d2#0001</v>
      </c>
      <c r="N15" s="149" t="str">
        <f>IFERROR(_xll.qlRateHelperQuoteName(M15,Trigger),"--")</f>
        <v>GBP9MD_SYNTH1Y_Quote</v>
      </c>
      <c r="O15" s="99">
        <f>IFERROR(_xll.qlRateHelperQuoteValue($M15,Trigger),"--")</f>
        <v>1.0375000000000001E-2</v>
      </c>
      <c r="P15" s="98" t="b">
        <v>1</v>
      </c>
      <c r="Q15" s="95">
        <v>10</v>
      </c>
      <c r="R15" s="95">
        <v>1</v>
      </c>
      <c r="S15" s="100">
        <f>IFERROR(_xll.qlRateHelperEarliestDate(M15,Trigger),"--")</f>
        <v>42275</v>
      </c>
      <c r="T15" s="100">
        <f>IFERROR(_xll.qlRateHelperPillarDate(M15,Trigger),"--")</f>
        <v>42549</v>
      </c>
      <c r="V15" s="163" t="str">
        <f t="shared" si="4"/>
        <v>FRA</v>
      </c>
      <c r="W15" s="163" t="str">
        <v>obj_00328</v>
      </c>
      <c r="X15" s="163" t="str">
        <f>IFERROR(_xll.qlRateHelperQuoteName(W15,Trigger),"")</f>
        <v>GBP1x13F_Quote</v>
      </c>
      <c r="Y15" s="197">
        <f>IFERROR(_xll.qlRateHelperRate(W15,Trigger),"")</f>
        <v>1.0049999999999998E-2</v>
      </c>
      <c r="Z15" s="198" t="str">
        <f>IF(ISERROR(_xll.qlSwapRateHelperSpread($W15)),IF(ISERROR(_xll.qlFuturesRateHelperConvexityAdjustment($W15)),"",_xll.qlFuturesRateHelperConvexityAdjustment($W15)),_xll.qlSwapRateHelperSpread($W15))</f>
        <v/>
      </c>
      <c r="AA15" s="164">
        <f>IFERROR(_xll.qlRateHelperEarliestDate(W15,Trigger),"")</f>
        <v>42305</v>
      </c>
      <c r="AB15" s="164">
        <f>IFERROR(_xll.qlRateHelperPillarDate(W15,Trigger),"")</f>
        <v>42671</v>
      </c>
      <c r="AC15" s="257">
        <v>0.98915918869531672</v>
      </c>
    </row>
    <row r="16" spans="1:33" ht="11.25" customHeight="1" x14ac:dyDescent="0.2">
      <c r="A16" s="62" t="s">
        <v>27</v>
      </c>
      <c r="B16" s="63" t="s">
        <v>47</v>
      </c>
      <c r="C16" s="65" t="str">
        <f t="shared" si="5"/>
        <v>10M</v>
      </c>
      <c r="D16" s="126"/>
      <c r="E16" s="126"/>
      <c r="F16" s="126"/>
      <c r="G16" s="64" t="str">
        <f>_xll.qlLibor(,Currency,C16,,Permanent,Trigger,ObjectOverwrite)</f>
        <v>obj_002a6#0001</v>
      </c>
      <c r="H16" s="123" t="str">
        <f t="shared" si="1"/>
        <v>GBP10MD_SYNTH1Y_Quote</v>
      </c>
      <c r="I16" s="126"/>
      <c r="J16" s="67" t="str">
        <f>_xll.qlDepositRateHelper(,H16,G16,Permanent,Trigger,ObjectOverwrite)</f>
        <v>obj_002de#0001</v>
      </c>
      <c r="K16" s="51"/>
      <c r="L16" s="10" t="str">
        <f t="shared" si="2"/>
        <v>Dp</v>
      </c>
      <c r="M16" s="95" t="str">
        <f t="shared" si="3"/>
        <v>obj_002de#0001</v>
      </c>
      <c r="N16" s="149" t="str">
        <f>IFERROR(_xll.qlRateHelperQuoteName(M16,Trigger),"--")</f>
        <v>GBP10MD_SYNTH1Y_Quote</v>
      </c>
      <c r="O16" s="99">
        <f>IFERROR(_xll.qlRateHelperQuoteValue($M16,Trigger),"--")</f>
        <v>1.0352999999999999E-2</v>
      </c>
      <c r="P16" s="98" t="b">
        <v>1</v>
      </c>
      <c r="Q16" s="95">
        <v>10</v>
      </c>
      <c r="R16" s="95">
        <v>1</v>
      </c>
      <c r="S16" s="100">
        <f>IFERROR(_xll.qlRateHelperEarliestDate(M16,Trigger),"--")</f>
        <v>42275</v>
      </c>
      <c r="T16" s="100">
        <f>IFERROR(_xll.qlRateHelperPillarDate(M16,Trigger),"--")</f>
        <v>42579</v>
      </c>
      <c r="V16" s="163" t="str">
        <f t="shared" si="4"/>
        <v>FRA</v>
      </c>
      <c r="W16" s="163" t="str">
        <v>obj_0031f</v>
      </c>
      <c r="X16" s="163" t="str">
        <f>IFERROR(_xll.qlRateHelperQuoteName(W16,Trigger),"")</f>
        <v>GBP2x14F_Quote</v>
      </c>
      <c r="Y16" s="197">
        <f>IFERROR(_xll.qlRateHelperRate(W16,Trigger),"")</f>
        <v>1.0200000000000001E-2</v>
      </c>
      <c r="Z16" s="198" t="str">
        <f>IF(ISERROR(_xll.qlSwapRateHelperSpread($W16)),IF(ISERROR(_xll.qlFuturesRateHelperConvexityAdjustment($W16)),"",_xll.qlFuturesRateHelperConvexityAdjustment($W16)),_xll.qlSwapRateHelperSpread($W16))</f>
        <v/>
      </c>
      <c r="AA16" s="164">
        <f>IFERROR(_xll.qlRateHelperEarliestDate(W16,Trigger),"")</f>
        <v>42338</v>
      </c>
      <c r="AB16" s="164">
        <f>IFERROR(_xll.qlRateHelperPillarDate(W16,Trigger),"")</f>
        <v>42702</v>
      </c>
      <c r="AC16" s="257">
        <v>0.98814951929736439</v>
      </c>
    </row>
    <row r="17" spans="1:29" ht="11.25" customHeight="1" x14ac:dyDescent="0.2">
      <c r="A17" s="62" t="s">
        <v>27</v>
      </c>
      <c r="B17" s="63" t="s">
        <v>48</v>
      </c>
      <c r="C17" s="65" t="str">
        <f t="shared" si="5"/>
        <v>11M</v>
      </c>
      <c r="D17" s="126"/>
      <c r="E17" s="126"/>
      <c r="F17" s="126"/>
      <c r="G17" s="64" t="str">
        <f>_xll.qlLibor(,Currency,C17,,Permanent,Trigger,ObjectOverwrite)</f>
        <v>obj_002b2#0001</v>
      </c>
      <c r="H17" s="123" t="str">
        <f t="shared" si="1"/>
        <v>GBP11MD_SYNTH1Y_Quote</v>
      </c>
      <c r="I17" s="126"/>
      <c r="J17" s="67" t="str">
        <f>_xll.qlDepositRateHelper(,H17,G17,Permanent,Trigger,ObjectOverwrite)</f>
        <v>obj_002cd#0001</v>
      </c>
      <c r="K17" s="51"/>
      <c r="L17" s="10" t="str">
        <f t="shared" si="2"/>
        <v>Dp</v>
      </c>
      <c r="M17" s="95" t="str">
        <f t="shared" si="3"/>
        <v>obj_002cd#0001</v>
      </c>
      <c r="N17" s="149" t="str">
        <f>IFERROR(_xll.qlRateHelperQuoteName(M17,Trigger),"--")</f>
        <v>GBP11MD_SYNTH1Y_Quote</v>
      </c>
      <c r="O17" s="99">
        <f>IFERROR(_xll.qlRateHelperQuoteValue($M17,Trigger),"--")</f>
        <v>1.0383999999999999E-2</v>
      </c>
      <c r="P17" s="98" t="b">
        <v>1</v>
      </c>
      <c r="Q17" s="95">
        <v>10</v>
      </c>
      <c r="R17" s="95">
        <v>1</v>
      </c>
      <c r="S17" s="100">
        <f>IFERROR(_xll.qlRateHelperEarliestDate(M17,Trigger),"--")</f>
        <v>42275</v>
      </c>
      <c r="T17" s="100">
        <f>IFERROR(_xll.qlRateHelperPillarDate(M17,Trigger),"--")</f>
        <v>42612</v>
      </c>
      <c r="V17" s="163" t="str">
        <f t="shared" si="4"/>
        <v>FRA</v>
      </c>
      <c r="W17" s="163" t="str">
        <v>obj_00325</v>
      </c>
      <c r="X17" s="163" t="str">
        <f>IFERROR(_xll.qlRateHelperQuoteName(W17,Trigger),"")</f>
        <v>GBP3x15F_Quote</v>
      </c>
      <c r="Y17" s="197">
        <f>IFERROR(_xll.qlRateHelperRate(W17,Trigger),"")</f>
        <v>1.0449999999999999E-2</v>
      </c>
      <c r="Z17" s="198" t="str">
        <f>IF(ISERROR(_xll.qlSwapRateHelperSpread($W17)),IF(ISERROR(_xll.qlFuturesRateHelperConvexityAdjustment($W17)),"",_xll.qlFuturesRateHelperConvexityAdjustment($W17)),_xll.qlSwapRateHelperSpread($W17))</f>
        <v/>
      </c>
      <c r="AA17" s="164">
        <f>IFERROR(_xll.qlRateHelperEarliestDate(W17,Trigger),"")</f>
        <v>42367</v>
      </c>
      <c r="AB17" s="164">
        <f>IFERROR(_xll.qlRateHelperPillarDate(W17,Trigger),"")</f>
        <v>42732</v>
      </c>
      <c r="AC17" s="257">
        <v>0.98705350713341655</v>
      </c>
    </row>
    <row r="18" spans="1:29" ht="11.25" customHeight="1" x14ac:dyDescent="0.2">
      <c r="A18" s="1" t="s">
        <v>27</v>
      </c>
      <c r="B18" s="8" t="s">
        <v>29</v>
      </c>
      <c r="C18" s="9" t="str">
        <f t="shared" si="5"/>
        <v>1Y</v>
      </c>
      <c r="D18" s="127"/>
      <c r="E18" s="127"/>
      <c r="F18" s="127"/>
      <c r="G18" s="7" t="str">
        <f>PROPER(Currency)&amp;FamilyName&amp;B18</f>
        <v>GbpLibor1Y</v>
      </c>
      <c r="H18" s="124" t="str">
        <f t="shared" si="1"/>
        <v>GBP1YD_SYNTH1Y_Quote</v>
      </c>
      <c r="I18" s="127"/>
      <c r="J18" s="3" t="str">
        <f>_xll.qlDepositRateHelper(,H18,G18,Permanent,Trigger,ObjectOverwrite)</f>
        <v>obj_002bf#0001</v>
      </c>
      <c r="K18" s="51"/>
      <c r="L18" s="11" t="str">
        <f t="shared" si="2"/>
        <v>Dp</v>
      </c>
      <c r="M18" s="96" t="str">
        <f t="shared" si="3"/>
        <v>obj_002bf#0001</v>
      </c>
      <c r="N18" s="150" t="str">
        <f>IFERROR(_xll.qlRateHelperQuoteName(M18,Trigger),"--")</f>
        <v>GBP1YD_SYNTH1Y_Quote</v>
      </c>
      <c r="O18" s="102">
        <f>IFERROR(_xll.qlRateHelperQuoteValue($M18,Trigger),"--")</f>
        <v>1.0428E-2</v>
      </c>
      <c r="P18" s="101" t="b">
        <v>1</v>
      </c>
      <c r="Q18" s="96">
        <v>10</v>
      </c>
      <c r="R18" s="96">
        <v>1</v>
      </c>
      <c r="S18" s="103">
        <f>IFERROR(_xll.qlRateHelperEarliestDate(M18,Trigger),"--")</f>
        <v>42275</v>
      </c>
      <c r="T18" s="103">
        <f>IFERROR(_xll.qlRateHelperPillarDate(M18,Trigger),"--")</f>
        <v>42641</v>
      </c>
      <c r="V18" s="163" t="str">
        <f t="shared" si="4"/>
        <v>FRA</v>
      </c>
      <c r="W18" s="163" t="str">
        <v>obj_0031c</v>
      </c>
      <c r="X18" s="163" t="str">
        <f>IFERROR(_xll.qlRateHelperQuoteName(W18,Trigger),"")</f>
        <v>GBP4x16F_Quote</v>
      </c>
      <c r="Y18" s="197">
        <f>IFERROR(_xll.qlRateHelperRate(W18,Trigger),"")</f>
        <v>1.0749999999999999E-2</v>
      </c>
      <c r="Z18" s="198" t="str">
        <f>IF(ISERROR(_xll.qlSwapRateHelperSpread($W18)),IF(ISERROR(_xll.qlFuturesRateHelperConvexityAdjustment($W18)),"",_xll.qlFuturesRateHelperConvexityAdjustment($W18)),_xll.qlSwapRateHelperSpread($W18))</f>
        <v/>
      </c>
      <c r="AA18" s="164">
        <f>IFERROR(_xll.qlRateHelperEarliestDate(W18,Trigger),"")</f>
        <v>42397</v>
      </c>
      <c r="AB18" s="164">
        <f>IFERROR(_xll.qlRateHelperPillarDate(W18,Trigger),"")</f>
        <v>42765</v>
      </c>
      <c r="AC18" s="257">
        <v>0.9858495610707968</v>
      </c>
    </row>
    <row r="19" spans="1:29" ht="11.25" customHeight="1" x14ac:dyDescent="0.2">
      <c r="B19" s="49"/>
      <c r="C19" s="49" t="s">
        <v>119</v>
      </c>
      <c r="D19" s="49"/>
      <c r="E19" s="49"/>
      <c r="F19" s="49"/>
      <c r="G19" s="49"/>
      <c r="H19" s="49"/>
      <c r="K19" s="51"/>
      <c r="L19" s="71" t="str">
        <f>A21</f>
        <v>FRA</v>
      </c>
      <c r="M19" s="134" t="str">
        <f>IF(ISBLANK(J21),"--",J21)</f>
        <v>obj_00328#0001</v>
      </c>
      <c r="N19" s="148" t="str">
        <f>IFERROR(_xll.qlRateHelperQuoteName(M19,Trigger),"--")</f>
        <v>GBP1x13F_Quote</v>
      </c>
      <c r="O19" s="136">
        <f>IFERROR(_xll.qlRateHelperQuoteValue($M19,Trigger),"--")</f>
        <v>1.0049999999999998E-2</v>
      </c>
      <c r="P19" s="135" t="b">
        <v>1</v>
      </c>
      <c r="Q19" s="134">
        <v>20</v>
      </c>
      <c r="R19" s="134">
        <v>7</v>
      </c>
      <c r="S19" s="137">
        <f>IFERROR(_xll.qlRateHelperEarliestDate(M19,Trigger),"--")</f>
        <v>42305</v>
      </c>
      <c r="T19" s="137">
        <f>IFERROR(_xll.qlRateHelperPillarDate(M19,Trigger),"--")</f>
        <v>42671</v>
      </c>
      <c r="V19" s="163" t="str">
        <f t="shared" si="4"/>
        <v>FRA</v>
      </c>
      <c r="W19" s="163" t="str">
        <v>obj_0032a</v>
      </c>
      <c r="X19" s="163" t="str">
        <f>IFERROR(_xll.qlRateHelperQuoteName(W19,Trigger),"")</f>
        <v>GBP5x17F_Quote</v>
      </c>
      <c r="Y19" s="197">
        <f>IFERROR(_xll.qlRateHelperRate(W19,Trigger),"")</f>
        <v>1.1049999999999999E-2</v>
      </c>
      <c r="Z19" s="198" t="str">
        <f>IF(ISERROR(_xll.qlSwapRateHelperSpread($W19)),IF(ISERROR(_xll.qlFuturesRateHelperConvexityAdjustment($W19)),"",_xll.qlFuturesRateHelperConvexityAdjustment($W19)),_xll.qlSwapRateHelperSpread($W19))</f>
        <v/>
      </c>
      <c r="AA19" s="164">
        <f>IFERROR(_xll.qlRateHelperEarliestDate(W19,Trigger),"")</f>
        <v>42429</v>
      </c>
      <c r="AB19" s="164">
        <f>IFERROR(_xll.qlRateHelperPillarDate(W19,Trigger),"")</f>
        <v>42794</v>
      </c>
      <c r="AC19" s="257">
        <v>0.98474891277683385</v>
      </c>
    </row>
    <row r="20" spans="1:29" ht="11.25" customHeight="1" x14ac:dyDescent="0.2">
      <c r="A20" s="68" t="s">
        <v>9</v>
      </c>
      <c r="B20" s="68" t="s">
        <v>95</v>
      </c>
      <c r="C20" s="68" t="s">
        <v>96</v>
      </c>
      <c r="D20" s="68"/>
      <c r="E20" s="68"/>
      <c r="F20" s="68"/>
      <c r="G20" s="68" t="s">
        <v>4</v>
      </c>
      <c r="H20" s="68" t="s">
        <v>1</v>
      </c>
      <c r="I20" s="68"/>
      <c r="J20" s="68" t="s">
        <v>25</v>
      </c>
      <c r="K20" s="51"/>
      <c r="L20" s="10" t="str">
        <f t="shared" ref="L20:L42" si="6">A22</f>
        <v>FRA</v>
      </c>
      <c r="M20" s="95" t="str">
        <f t="shared" ref="M20:M42" si="7">IF(ISBLANK(J22),"--",J22)</f>
        <v>obj_0031f#0001</v>
      </c>
      <c r="N20" s="149" t="str">
        <f>IFERROR(_xll.qlRateHelperQuoteName(M20,Trigger),"--")</f>
        <v>GBP2x14F_Quote</v>
      </c>
      <c r="O20" s="99">
        <f>IFERROR(_xll.qlRateHelperQuoteValue($M20,Trigger),"--")</f>
        <v>1.0200000000000001E-2</v>
      </c>
      <c r="P20" s="98" t="b">
        <v>1</v>
      </c>
      <c r="Q20" s="95">
        <v>20</v>
      </c>
      <c r="R20" s="95">
        <v>7</v>
      </c>
      <c r="S20" s="100">
        <f>IFERROR(_xll.qlRateHelperEarliestDate(M20,Trigger),"--")</f>
        <v>42338</v>
      </c>
      <c r="T20" s="100">
        <f>IFERROR(_xll.qlRateHelperPillarDate(M20,Trigger),"--")</f>
        <v>42702</v>
      </c>
      <c r="V20" s="163" t="str">
        <f t="shared" si="4"/>
        <v>FRA</v>
      </c>
      <c r="W20" s="163" t="str">
        <v>obj_00321</v>
      </c>
      <c r="X20" s="163" t="str">
        <f>IFERROR(_xll.qlRateHelperQuoteName(W20,Trigger),"")</f>
        <v>GBP6x18F_Quote</v>
      </c>
      <c r="Y20" s="197">
        <f>IFERROR(_xll.qlRateHelperRate(W20,Trigger),"")</f>
        <v>1.125E-2</v>
      </c>
      <c r="Z20" s="198" t="str">
        <f>IF(ISERROR(_xll.qlSwapRateHelperSpread($W20)),IF(ISERROR(_xll.qlFuturesRateHelperConvexityAdjustment($W20)),"",_xll.qlFuturesRateHelperConvexityAdjustment($W20)),_xll.qlSwapRateHelperSpread($W20))</f>
        <v/>
      </c>
      <c r="AA20" s="164">
        <f>IFERROR(_xll.qlRateHelperEarliestDate(W20,Trigger),"")</f>
        <v>42458</v>
      </c>
      <c r="AB20" s="164">
        <f>IFERROR(_xll.qlRateHelperPillarDate(W20,Trigger),"")</f>
        <v>42822</v>
      </c>
      <c r="AC20" s="257">
        <v>0.98378982175008012</v>
      </c>
    </row>
    <row r="21" spans="1:29" ht="11.25" customHeight="1" x14ac:dyDescent="0.2">
      <c r="A21" s="56" t="s">
        <v>97</v>
      </c>
      <c r="B21" s="116">
        <v>1</v>
      </c>
      <c r="C21" s="59" t="str">
        <f>"x"&amp;B21+SUBSTITUTE($C$19,"M","")&amp;"F"</f>
        <v>x13F</v>
      </c>
      <c r="D21" s="132"/>
      <c r="E21" s="132"/>
      <c r="F21" s="132"/>
      <c r="G21" s="58" t="str">
        <f t="shared" ref="G21:G44" si="8">PROPER(Currency)&amp;FamilyName&amp;Tenor</f>
        <v>GbpLibor1Y</v>
      </c>
      <c r="H21" s="119" t="str">
        <f t="shared" ref="H21:H29" si="9">Currency&amp;B21&amp;C21&amp;QuoteSuffix</f>
        <v>GBP1x13F_Quote</v>
      </c>
      <c r="I21" s="132"/>
      <c r="J21" s="61" t="str">
        <f>_xll.qlFraRateHelper(,H21,B21&amp;"M",G21,PillarDate,,Permanent,Trigger,ObjectOverwrite)</f>
        <v>obj_00328#0001</v>
      </c>
      <c r="K21" s="51"/>
      <c r="L21" s="10" t="str">
        <f t="shared" si="6"/>
        <v>FRA</v>
      </c>
      <c r="M21" s="95" t="str">
        <f t="shared" si="7"/>
        <v>obj_00325#0001</v>
      </c>
      <c r="N21" s="149" t="str">
        <f>IFERROR(_xll.qlRateHelperQuoteName(M21,Trigger),"--")</f>
        <v>GBP3x15F_Quote</v>
      </c>
      <c r="O21" s="99">
        <f>IFERROR(_xll.qlRateHelperQuoteValue($M21,Trigger),"--")</f>
        <v>1.0449999999999999E-2</v>
      </c>
      <c r="P21" s="98" t="b">
        <v>1</v>
      </c>
      <c r="Q21" s="95">
        <v>20</v>
      </c>
      <c r="R21" s="95">
        <v>7</v>
      </c>
      <c r="S21" s="100">
        <f>IFERROR(_xll.qlRateHelperEarliestDate(M21,Trigger),"--")</f>
        <v>42367</v>
      </c>
      <c r="T21" s="100">
        <f>IFERROR(_xll.qlRateHelperPillarDate(M21,Trigger),"--")</f>
        <v>42732</v>
      </c>
      <c r="V21" s="163" t="str">
        <f t="shared" si="4"/>
        <v>FRA</v>
      </c>
      <c r="W21" s="163" t="str">
        <v>obj_0031a</v>
      </c>
      <c r="X21" s="163" t="str">
        <f>IFERROR(_xll.qlRateHelperQuoteName(W21,Trigger),"")</f>
        <v>GBP9x21F_Quote</v>
      </c>
      <c r="Y21" s="197">
        <f>IFERROR(_xll.qlRateHelperRate(W21,Trigger),"")</f>
        <v>1.2500000000000001E-2</v>
      </c>
      <c r="Z21" s="198" t="str">
        <f>IF(ISERROR(_xll.qlSwapRateHelperSpread($W21)),IF(ISERROR(_xll.qlFuturesRateHelperConvexityAdjustment($W21)),"",_xll.qlFuturesRateHelperConvexityAdjustment($W21)),_xll.qlSwapRateHelperSpread($W21))</f>
        <v/>
      </c>
      <c r="AA21" s="164">
        <f>IFERROR(_xll.qlRateHelperEarliestDate(W21,Trigger),"")</f>
        <v>42549</v>
      </c>
      <c r="AB21" s="164">
        <f>IFERROR(_xll.qlRateHelperPillarDate(W21,Trigger),"")</f>
        <v>42914</v>
      </c>
      <c r="AC21" s="257">
        <v>0.98002156399845808</v>
      </c>
    </row>
    <row r="22" spans="1:29" ht="11.25" customHeight="1" x14ac:dyDescent="0.2">
      <c r="A22" s="62" t="s">
        <v>97</v>
      </c>
      <c r="B22" s="117">
        <v>2</v>
      </c>
      <c r="C22" s="65" t="str">
        <f t="shared" ref="C22:C44" si="10">"x"&amp;B22+SUBSTITUTE($C$19,"M","")&amp;"F"</f>
        <v>x14F</v>
      </c>
      <c r="D22" s="126"/>
      <c r="E22" s="126"/>
      <c r="F22" s="126"/>
      <c r="G22" s="64" t="str">
        <f t="shared" si="8"/>
        <v>GbpLibor1Y</v>
      </c>
      <c r="H22" s="120" t="str">
        <f t="shared" si="9"/>
        <v>GBP2x14F_Quote</v>
      </c>
      <c r="I22" s="126"/>
      <c r="J22" s="67" t="str">
        <f>_xll.qlFraRateHelper(,H22,B22&amp;"M",G22,PillarDate,,Permanent,Trigger,ObjectOverwrite)</f>
        <v>obj_0031f#0001</v>
      </c>
      <c r="K22" s="51"/>
      <c r="L22" s="10" t="str">
        <f t="shared" si="6"/>
        <v>FRA</v>
      </c>
      <c r="M22" s="95" t="str">
        <f t="shared" si="7"/>
        <v>obj_0031c#0001</v>
      </c>
      <c r="N22" s="149" t="str">
        <f>IFERROR(_xll.qlRateHelperQuoteName(M22,Trigger),"--")</f>
        <v>GBP4x16F_Quote</v>
      </c>
      <c r="O22" s="99">
        <f>IFERROR(_xll.qlRateHelperQuoteValue($M22,Trigger),"--")</f>
        <v>1.0749999999999999E-2</v>
      </c>
      <c r="P22" s="98" t="b">
        <v>1</v>
      </c>
      <c r="Q22" s="95">
        <v>20</v>
      </c>
      <c r="R22" s="95">
        <v>7</v>
      </c>
      <c r="S22" s="100">
        <f>IFERROR(_xll.qlRateHelperEarliestDate(M22,Trigger),"--")</f>
        <v>42397</v>
      </c>
      <c r="T22" s="100">
        <f>IFERROR(_xll.qlRateHelperPillarDate(M22,Trigger),"--")</f>
        <v>42765</v>
      </c>
      <c r="V22" s="163" t="str">
        <f t="shared" si="4"/>
        <v>FRA</v>
      </c>
      <c r="W22" s="163" t="str">
        <v>obj_00320</v>
      </c>
      <c r="X22" s="163" t="str">
        <f>IFERROR(_xll.qlRateHelperQuoteName(W22,Trigger),"")</f>
        <v>GBP12x24F_Quote</v>
      </c>
      <c r="Y22" s="197">
        <f>IFERROR(_xll.qlRateHelperRate(W22,Trigger),"")</f>
        <v>1.345E-2</v>
      </c>
      <c r="Z22" s="198" t="str">
        <f>IF(ISERROR(_xll.qlSwapRateHelperSpread($W22)),IF(ISERROR(_xll.qlFuturesRateHelperConvexityAdjustment($W22)),"",_xll.qlFuturesRateHelperConvexityAdjustment($W22)),_xll.qlSwapRateHelperSpread($W22))</f>
        <v/>
      </c>
      <c r="AA22" s="164">
        <f>IFERROR(_xll.qlRateHelperEarliestDate(W22,Trigger),"")</f>
        <v>42641</v>
      </c>
      <c r="AB22" s="164">
        <f>IFERROR(_xll.qlRateHelperPillarDate(W22,Trigger),"")</f>
        <v>43006</v>
      </c>
      <c r="AC22" s="257">
        <v>0.97651747841724623</v>
      </c>
    </row>
    <row r="23" spans="1:29" ht="11.25" customHeight="1" x14ac:dyDescent="0.2">
      <c r="A23" s="62" t="s">
        <v>97</v>
      </c>
      <c r="B23" s="117">
        <v>3</v>
      </c>
      <c r="C23" s="65" t="str">
        <f t="shared" si="10"/>
        <v>x15F</v>
      </c>
      <c r="D23" s="126"/>
      <c r="E23" s="126"/>
      <c r="F23" s="126"/>
      <c r="G23" s="64" t="str">
        <f t="shared" si="8"/>
        <v>GbpLibor1Y</v>
      </c>
      <c r="H23" s="120" t="str">
        <f t="shared" si="9"/>
        <v>GBP3x15F_Quote</v>
      </c>
      <c r="I23" s="126"/>
      <c r="J23" s="67" t="str">
        <f>_xll.qlFraRateHelper(,H23,B23&amp;"M",G23,PillarDate,,Permanent,Trigger,ObjectOverwrite)</f>
        <v>obj_00325#0001</v>
      </c>
      <c r="K23" s="51"/>
      <c r="L23" s="10" t="str">
        <f t="shared" si="6"/>
        <v>FRA</v>
      </c>
      <c r="M23" s="95" t="str">
        <f t="shared" si="7"/>
        <v>obj_0032a#0001</v>
      </c>
      <c r="N23" s="149" t="str">
        <f>IFERROR(_xll.qlRateHelperQuoteName(M23,Trigger),"--")</f>
        <v>GBP5x17F_Quote</v>
      </c>
      <c r="O23" s="99">
        <f>IFERROR(_xll.qlRateHelperQuoteValue($M23,Trigger),"--")</f>
        <v>1.1049999999999999E-2</v>
      </c>
      <c r="P23" s="98" t="b">
        <v>1</v>
      </c>
      <c r="Q23" s="95">
        <v>20</v>
      </c>
      <c r="R23" s="95">
        <v>7</v>
      </c>
      <c r="S23" s="100">
        <f>IFERROR(_xll.qlRateHelperEarliestDate(M23,Trigger),"--")</f>
        <v>42429</v>
      </c>
      <c r="T23" s="100">
        <f>IFERROR(_xll.qlRateHelperPillarDate(M23,Trigger),"--")</f>
        <v>42794</v>
      </c>
      <c r="V23" s="163" t="str">
        <f t="shared" si="4"/>
        <v>BasSw</v>
      </c>
      <c r="W23" s="163" t="str">
        <v>obj_0029d</v>
      </c>
      <c r="X23" s="163" t="str">
        <f>IFERROR(_xll.qlRateHelperQuoteName(W23,Trigger),"")</f>
        <v>GBPSB6L3Y_S6L12L_Quote</v>
      </c>
      <c r="Y23" s="197">
        <f>IFERROR(_xll.qlRateHelperRate(W23,Trigger),"")</f>
        <v>1.3454999999994707E-2</v>
      </c>
      <c r="Z23" s="198">
        <f>IF(ISERROR(_xll.qlSwapRateHelperSpread($W23)),IF(ISERROR(_xll.qlFuturesRateHelperConvexityAdjustment($W23)),"",_xll.qlFuturesRateHelperConvexityAdjustment($W23)),_xll.qlSwapRateHelperSpread($W23))</f>
        <v>0</v>
      </c>
      <c r="AA23" s="164">
        <f>IFERROR(_xll.qlRateHelperEarliestDate(W23,Trigger),"")</f>
        <v>42275</v>
      </c>
      <c r="AB23" s="164">
        <f>IFERROR(_xll.qlRateHelperPillarDate(W23,Trigger),"")</f>
        <v>43371</v>
      </c>
      <c r="AC23" s="257">
        <v>0.960522348129624</v>
      </c>
    </row>
    <row r="24" spans="1:29" ht="11.25" customHeight="1" x14ac:dyDescent="0.2">
      <c r="A24" s="62" t="s">
        <v>97</v>
      </c>
      <c r="B24" s="117">
        <v>4</v>
      </c>
      <c r="C24" s="65" t="str">
        <f t="shared" si="10"/>
        <v>x16F</v>
      </c>
      <c r="D24" s="126"/>
      <c r="E24" s="126"/>
      <c r="F24" s="126"/>
      <c r="G24" s="64" t="str">
        <f t="shared" si="8"/>
        <v>GbpLibor1Y</v>
      </c>
      <c r="H24" s="120" t="str">
        <f t="shared" si="9"/>
        <v>GBP4x16F_Quote</v>
      </c>
      <c r="I24" s="126"/>
      <c r="J24" s="67" t="str">
        <f>_xll.qlFraRateHelper(,H24,B24&amp;"M",G24,PillarDate,,Permanent,Trigger,ObjectOverwrite)</f>
        <v>obj_0031c#0001</v>
      </c>
      <c r="K24" s="51"/>
      <c r="L24" s="10" t="str">
        <f t="shared" si="6"/>
        <v>FRA</v>
      </c>
      <c r="M24" s="95" t="str">
        <f t="shared" si="7"/>
        <v>obj_00321#0001</v>
      </c>
      <c r="N24" s="149" t="str">
        <f>IFERROR(_xll.qlRateHelperQuoteName(M24,Trigger),"--")</f>
        <v>GBP6x18F_Quote</v>
      </c>
      <c r="O24" s="99">
        <f>IFERROR(_xll.qlRateHelperQuoteValue($M24,Trigger),"--")</f>
        <v>1.125E-2</v>
      </c>
      <c r="P24" s="98" t="b">
        <v>1</v>
      </c>
      <c r="Q24" s="95">
        <v>20</v>
      </c>
      <c r="R24" s="95">
        <v>7</v>
      </c>
      <c r="S24" s="100">
        <f>IFERROR(_xll.qlRateHelperEarliestDate(M24,Trigger),"--")</f>
        <v>42458</v>
      </c>
      <c r="T24" s="100">
        <f>IFERROR(_xll.qlRateHelperPillarDate(M24,Trigger),"--")</f>
        <v>42822</v>
      </c>
      <c r="V24" s="163" t="str">
        <f t="shared" si="4"/>
        <v>BasSw</v>
      </c>
      <c r="W24" s="163" t="str">
        <v>obj_0028b</v>
      </c>
      <c r="X24" s="163" t="str">
        <f>IFERROR(_xll.qlRateHelperQuoteName(W24,Trigger),"")</f>
        <v>GBPSB6L4Y_S6L12L_Quote</v>
      </c>
      <c r="Y24" s="197">
        <f>IFERROR(_xll.qlRateHelperRate(W24,Trigger),"")</f>
        <v>1.5014999999968824E-2</v>
      </c>
      <c r="Z24" s="198">
        <f>IF(ISERROR(_xll.qlSwapRateHelperSpread($W24)),IF(ISERROR(_xll.qlFuturesRateHelperConvexityAdjustment($W24)),"",_xll.qlFuturesRateHelperConvexityAdjustment($W24)),_xll.qlSwapRateHelperSpread($W24))</f>
        <v>0</v>
      </c>
      <c r="AA24" s="164">
        <f>IFERROR(_xll.qlRateHelperEarliestDate(W24,Trigger),"")</f>
        <v>42275</v>
      </c>
      <c r="AB24" s="164">
        <f>IFERROR(_xll.qlRateHelperPillarDate(W24,Trigger),"")</f>
        <v>43738</v>
      </c>
      <c r="AC24" s="257">
        <v>0.94171298392911906</v>
      </c>
    </row>
    <row r="25" spans="1:29" ht="11.25" customHeight="1" x14ac:dyDescent="0.2">
      <c r="A25" s="62" t="s">
        <v>97</v>
      </c>
      <c r="B25" s="117">
        <v>5</v>
      </c>
      <c r="C25" s="65" t="str">
        <f t="shared" si="10"/>
        <v>x17F</v>
      </c>
      <c r="D25" s="126"/>
      <c r="E25" s="126"/>
      <c r="F25" s="126"/>
      <c r="G25" s="64" t="str">
        <f t="shared" si="8"/>
        <v>GbpLibor1Y</v>
      </c>
      <c r="H25" s="120" t="str">
        <f t="shared" si="9"/>
        <v>GBP5x17F_Quote</v>
      </c>
      <c r="I25" s="126"/>
      <c r="J25" s="67" t="str">
        <f>_xll.qlFraRateHelper(,H25,B25&amp;"M",G25,PillarDate,,Permanent,Trigger,ObjectOverwrite)</f>
        <v>obj_0032a#0001</v>
      </c>
      <c r="K25" s="51"/>
      <c r="L25" s="10" t="str">
        <f t="shared" si="6"/>
        <v>FRA</v>
      </c>
      <c r="M25" s="95" t="str">
        <f t="shared" si="7"/>
        <v>--</v>
      </c>
      <c r="N25" s="149" t="str">
        <f>IFERROR(_xll.qlRateHelperQuoteName(M25,Trigger),"--")</f>
        <v>--</v>
      </c>
      <c r="O25" s="99" t="str">
        <f>IFERROR(_xll.qlRateHelperQuoteValue($M25,Trigger),"--")</f>
        <v>--</v>
      </c>
      <c r="P25" s="98" t="b">
        <v>0</v>
      </c>
      <c r="Q25" s="95">
        <v>20</v>
      </c>
      <c r="R25" s="95">
        <v>7</v>
      </c>
      <c r="S25" s="100" t="str">
        <f>IFERROR(_xll.qlRateHelperEarliestDate(M25,Trigger),"--")</f>
        <v>--</v>
      </c>
      <c r="T25" s="100" t="str">
        <f>IFERROR(_xll.qlRateHelperPillarDate(M25,Trigger),"--")</f>
        <v>--</v>
      </c>
      <c r="V25" s="163" t="str">
        <f t="shared" si="4"/>
        <v>BasSw</v>
      </c>
      <c r="W25" s="163" t="str">
        <v>obj_00291</v>
      </c>
      <c r="X25" s="163" t="str">
        <f>IFERROR(_xll.qlRateHelperQuoteName(W25,Trigger),"")</f>
        <v>GBPSB6L5Y_S6L12L_Quote</v>
      </c>
      <c r="Y25" s="197">
        <f>IFERROR(_xll.qlRateHelperRate(W25,Trigger),"")</f>
        <v>1.6404999999973791E-2</v>
      </c>
      <c r="Z25" s="198">
        <f>IF(ISERROR(_xll.qlSwapRateHelperSpread($W25)),IF(ISERROR(_xll.qlFuturesRateHelperConvexityAdjustment($W25)),"",_xll.qlFuturesRateHelperConvexityAdjustment($W25)),_xll.qlSwapRateHelperSpread($W25))</f>
        <v>0</v>
      </c>
      <c r="AA25" s="164">
        <f>IFERROR(_xll.qlRateHelperEarliestDate(W25,Trigger),"")</f>
        <v>42275</v>
      </c>
      <c r="AB25" s="164">
        <f>IFERROR(_xll.qlRateHelperPillarDate(W25,Trigger),"")</f>
        <v>44102</v>
      </c>
      <c r="AC25" s="257">
        <v>0.92123765677377545</v>
      </c>
    </row>
    <row r="26" spans="1:29" ht="11.25" customHeight="1" x14ac:dyDescent="0.2">
      <c r="A26" s="62" t="s">
        <v>97</v>
      </c>
      <c r="B26" s="117">
        <v>6</v>
      </c>
      <c r="C26" s="65" t="str">
        <f t="shared" si="10"/>
        <v>x18F</v>
      </c>
      <c r="D26" s="126"/>
      <c r="E26" s="126"/>
      <c r="F26" s="126"/>
      <c r="G26" s="64" t="str">
        <f t="shared" si="8"/>
        <v>GbpLibor1Y</v>
      </c>
      <c r="H26" s="120" t="str">
        <f t="shared" si="9"/>
        <v>GBP6x18F_Quote</v>
      </c>
      <c r="I26" s="126"/>
      <c r="J26" s="67" t="str">
        <f>_xll.qlFraRateHelper(,H26,B26&amp;"M",G26,PillarDate,,Permanent,Trigger,ObjectOverwrite)</f>
        <v>obj_00321#0001</v>
      </c>
      <c r="K26" s="51"/>
      <c r="L26" s="10" t="str">
        <f t="shared" si="6"/>
        <v>FRA</v>
      </c>
      <c r="M26" s="95" t="str">
        <f t="shared" si="7"/>
        <v>--</v>
      </c>
      <c r="N26" s="149" t="str">
        <f>IFERROR(_xll.qlRateHelperQuoteName(M26,Trigger),"--")</f>
        <v>--</v>
      </c>
      <c r="O26" s="99" t="str">
        <f>IFERROR(_xll.qlRateHelperQuoteValue($M26,Trigger),"--")</f>
        <v>--</v>
      </c>
      <c r="P26" s="98" t="b">
        <v>0</v>
      </c>
      <c r="Q26" s="95">
        <v>20</v>
      </c>
      <c r="R26" s="95">
        <v>7</v>
      </c>
      <c r="S26" s="100" t="str">
        <f>IFERROR(_xll.qlRateHelperEarliestDate(M26,Trigger),"--")</f>
        <v>--</v>
      </c>
      <c r="T26" s="100" t="str">
        <f>IFERROR(_xll.qlRateHelperPillarDate(M26,Trigger),"--")</f>
        <v>--</v>
      </c>
      <c r="V26" s="163" t="str">
        <f t="shared" si="4"/>
        <v>BasSw</v>
      </c>
      <c r="W26" s="163" t="str">
        <v>obj_0027f</v>
      </c>
      <c r="X26" s="163" t="str">
        <f>IFERROR(_xll.qlRateHelperQuoteName(W26,Trigger),"")</f>
        <v>GBPSB6L6Y_S6L12L_Quote</v>
      </c>
      <c r="Y26" s="197">
        <f>IFERROR(_xll.qlRateHelperRate(W26,Trigger),"")</f>
        <v>1.7539999999997367E-2</v>
      </c>
      <c r="Z26" s="198">
        <f>IF(ISERROR(_xll.qlSwapRateHelperSpread($W26)),IF(ISERROR(_xll.qlFuturesRateHelperConvexityAdjustment($W26)),"",_xll.qlFuturesRateHelperConvexityAdjustment($W26)),_xll.qlSwapRateHelperSpread($W26))</f>
        <v>0</v>
      </c>
      <c r="AA26" s="164">
        <f>IFERROR(_xll.qlRateHelperEarliestDate(W26,Trigger),"")</f>
        <v>42275</v>
      </c>
      <c r="AB26" s="164">
        <f>IFERROR(_xll.qlRateHelperPillarDate(W26,Trigger),"")</f>
        <v>44467</v>
      </c>
      <c r="AC26" s="257">
        <v>0.89999543786382297</v>
      </c>
    </row>
    <row r="27" spans="1:29" ht="11.25" customHeight="1" x14ac:dyDescent="0.2">
      <c r="A27" s="62" t="s">
        <v>97</v>
      </c>
      <c r="B27" s="117">
        <v>7</v>
      </c>
      <c r="C27" s="65" t="str">
        <f t="shared" si="10"/>
        <v>x19F</v>
      </c>
      <c r="D27" s="126"/>
      <c r="E27" s="126"/>
      <c r="F27" s="126"/>
      <c r="G27" s="64" t="str">
        <f t="shared" si="8"/>
        <v>GbpLibor1Y</v>
      </c>
      <c r="H27" s="120" t="str">
        <f t="shared" si="9"/>
        <v>GBP7x19F_Quote</v>
      </c>
      <c r="I27" s="126"/>
      <c r="J27" s="67"/>
      <c r="K27" s="51"/>
      <c r="L27" s="10" t="str">
        <f t="shared" si="6"/>
        <v>FRA</v>
      </c>
      <c r="M27" s="95" t="str">
        <f t="shared" si="7"/>
        <v>obj_0031a#0001</v>
      </c>
      <c r="N27" s="149" t="str">
        <f>IFERROR(_xll.qlRateHelperQuoteName(M27,Trigger),"--")</f>
        <v>GBP9x21F_Quote</v>
      </c>
      <c r="O27" s="99">
        <f>IFERROR(_xll.qlRateHelperQuoteValue($M27,Trigger),"--")</f>
        <v>1.2500000000000001E-2</v>
      </c>
      <c r="P27" s="98" t="b">
        <v>1</v>
      </c>
      <c r="Q27" s="95">
        <v>20</v>
      </c>
      <c r="R27" s="95">
        <v>7</v>
      </c>
      <c r="S27" s="100">
        <f>IFERROR(_xll.qlRateHelperEarliestDate(M27,Trigger),"--")</f>
        <v>42549</v>
      </c>
      <c r="T27" s="100">
        <f>IFERROR(_xll.qlRateHelperPillarDate(M27,Trigger),"--")</f>
        <v>42914</v>
      </c>
      <c r="V27" s="163" t="str">
        <f t="shared" si="4"/>
        <v>BasSw</v>
      </c>
      <c r="W27" s="163" t="str">
        <v>obj_00285</v>
      </c>
      <c r="X27" s="163" t="str">
        <f>IFERROR(_xll.qlRateHelperQuoteName(W27,Trigger),"")</f>
        <v>GBPSB6L7Y_S6L12L_Quote</v>
      </c>
      <c r="Y27" s="197">
        <f>IFERROR(_xll.qlRateHelperRate(W27,Trigger),"")</f>
        <v>1.8459999999964772E-2</v>
      </c>
      <c r="Z27" s="198">
        <f>IF(ISERROR(_xll.qlSwapRateHelperSpread($W27)),IF(ISERROR(_xll.qlFuturesRateHelperConvexityAdjustment($W27)),"",_xll.qlFuturesRateHelperConvexityAdjustment($W27)),_xll.qlSwapRateHelperSpread($W27))</f>
        <v>0</v>
      </c>
      <c r="AA27" s="164">
        <f>IFERROR(_xll.qlRateHelperEarliestDate(W27,Trigger),"")</f>
        <v>42275</v>
      </c>
      <c r="AB27" s="164">
        <f>IFERROR(_xll.qlRateHelperPillarDate(W27,Trigger),"")</f>
        <v>44832</v>
      </c>
      <c r="AC27" s="257">
        <v>0.87852808688673933</v>
      </c>
    </row>
    <row r="28" spans="1:29" ht="11.25" customHeight="1" x14ac:dyDescent="0.2">
      <c r="A28" s="62" t="s">
        <v>97</v>
      </c>
      <c r="B28" s="117">
        <v>8</v>
      </c>
      <c r="C28" s="65" t="str">
        <f t="shared" si="10"/>
        <v>x20F</v>
      </c>
      <c r="D28" s="126"/>
      <c r="E28" s="126"/>
      <c r="F28" s="126"/>
      <c r="G28" s="64" t="str">
        <f t="shared" si="8"/>
        <v>GbpLibor1Y</v>
      </c>
      <c r="H28" s="120" t="str">
        <f t="shared" si="9"/>
        <v>GBP8x20F_Quote</v>
      </c>
      <c r="I28" s="126"/>
      <c r="J28" s="67"/>
      <c r="K28" s="51"/>
      <c r="L28" s="10" t="str">
        <f t="shared" si="6"/>
        <v>FRA</v>
      </c>
      <c r="M28" s="95" t="str">
        <f t="shared" si="7"/>
        <v>--</v>
      </c>
      <c r="N28" s="149" t="str">
        <f>IFERROR(_xll.qlRateHelperQuoteName(M28,Trigger),"--")</f>
        <v>--</v>
      </c>
      <c r="O28" s="99" t="str">
        <f>IFERROR(_xll.qlRateHelperQuoteValue($M28,Trigger),"--")</f>
        <v>--</v>
      </c>
      <c r="P28" s="98" t="b">
        <v>0</v>
      </c>
      <c r="Q28" s="95">
        <v>20</v>
      </c>
      <c r="R28" s="95">
        <v>7</v>
      </c>
      <c r="S28" s="100" t="str">
        <f>IFERROR(_xll.qlRateHelperEarliestDate(M28,Trigger),"--")</f>
        <v>--</v>
      </c>
      <c r="T28" s="100" t="str">
        <f>IFERROR(_xll.qlRateHelperPillarDate(M28,Trigger),"--")</f>
        <v>--</v>
      </c>
      <c r="V28" s="163" t="str">
        <f t="shared" si="4"/>
        <v>BasSw</v>
      </c>
      <c r="W28" s="163" t="str">
        <v>obj_00292</v>
      </c>
      <c r="X28" s="163" t="str">
        <f>IFERROR(_xll.qlRateHelperQuoteName(W28,Trigger),"")</f>
        <v>GBPSB6L8Y_S6L12L_Quote</v>
      </c>
      <c r="Y28" s="197">
        <f>IFERROR(_xll.qlRateHelperRate(W28,Trigger),"")</f>
        <v>1.9198000000027381E-2</v>
      </c>
      <c r="Z28" s="198">
        <f>IF(ISERROR(_xll.qlSwapRateHelperSpread($W28)),IF(ISERROR(_xll.qlFuturesRateHelperConvexityAdjustment($W28)),"",_xll.qlFuturesRateHelperConvexityAdjustment($W28)),_xll.qlSwapRateHelperSpread($W28))</f>
        <v>0</v>
      </c>
      <c r="AA28" s="164">
        <f>IFERROR(_xll.qlRateHelperEarliestDate(W28,Trigger),"")</f>
        <v>42275</v>
      </c>
      <c r="AB28" s="164">
        <f>IFERROR(_xll.qlRateHelperPillarDate(W28,Trigger),"")</f>
        <v>45197</v>
      </c>
      <c r="AC28" s="257">
        <v>0.85720910930767169</v>
      </c>
    </row>
    <row r="29" spans="1:29" ht="11.25" customHeight="1" x14ac:dyDescent="0.2">
      <c r="A29" s="62" t="s">
        <v>97</v>
      </c>
      <c r="B29" s="117">
        <v>9</v>
      </c>
      <c r="C29" s="65" t="str">
        <f t="shared" si="10"/>
        <v>x21F</v>
      </c>
      <c r="D29" s="126"/>
      <c r="E29" s="126"/>
      <c r="F29" s="126"/>
      <c r="G29" s="64" t="str">
        <f t="shared" si="8"/>
        <v>GbpLibor1Y</v>
      </c>
      <c r="H29" s="120" t="str">
        <f t="shared" si="9"/>
        <v>GBP9x21F_Quote</v>
      </c>
      <c r="I29" s="126"/>
      <c r="J29" s="67" t="str">
        <f>_xll.qlFraRateHelper(,H29,B29&amp;"M",G29,PillarDate,,Permanent,Trigger,ObjectOverwrite)</f>
        <v>obj_0031a#0001</v>
      </c>
      <c r="K29" s="51"/>
      <c r="L29" s="10" t="str">
        <f t="shared" si="6"/>
        <v>FRA</v>
      </c>
      <c r="M29" s="95" t="str">
        <f t="shared" si="7"/>
        <v>--</v>
      </c>
      <c r="N29" s="149" t="str">
        <f>IFERROR(_xll.qlRateHelperQuoteName(M29,Trigger),"--")</f>
        <v>--</v>
      </c>
      <c r="O29" s="99" t="str">
        <f>IFERROR(_xll.qlRateHelperQuoteValue($M29,Trigger),"--")</f>
        <v>--</v>
      </c>
      <c r="P29" s="98" t="b">
        <v>0</v>
      </c>
      <c r="Q29" s="95">
        <v>20</v>
      </c>
      <c r="R29" s="95">
        <v>7</v>
      </c>
      <c r="S29" s="100" t="str">
        <f>IFERROR(_xll.qlRateHelperEarliestDate(M29,Trigger),"--")</f>
        <v>--</v>
      </c>
      <c r="T29" s="100" t="str">
        <f>IFERROR(_xll.qlRateHelperPillarDate(M29,Trigger),"--")</f>
        <v>--</v>
      </c>
      <c r="V29" s="163" t="str">
        <f t="shared" si="4"/>
        <v>BasSw</v>
      </c>
      <c r="W29" s="163" t="str">
        <v>obj_00280</v>
      </c>
      <c r="X29" s="163" t="str">
        <f>IFERROR(_xll.qlRateHelperQuoteName(W29,Trigger),"")</f>
        <v>GBPSB6L9Y_S6L12L_Quote</v>
      </c>
      <c r="Y29" s="197">
        <f>IFERROR(_xll.qlRateHelperRate(W29,Trigger),"")</f>
        <v>1.9802999999939046E-2</v>
      </c>
      <c r="Z29" s="198">
        <f>IF(ISERROR(_xll.qlSwapRateHelperSpread($W29)),IF(ISERROR(_xll.qlFuturesRateHelperConvexityAdjustment($W29)),"",_xll.qlFuturesRateHelperConvexityAdjustment($W29)),_xll.qlSwapRateHelperSpread($W29))</f>
        <v>0</v>
      </c>
      <c r="AA29" s="164">
        <f>IFERROR(_xll.qlRateHelperEarliestDate(W29,Trigger),"")</f>
        <v>42275</v>
      </c>
      <c r="AB29" s="164">
        <f>IFERROR(_xll.qlRateHelperPillarDate(W29,Trigger),"")</f>
        <v>45565</v>
      </c>
      <c r="AC29" s="257">
        <v>0.83600835801654028</v>
      </c>
    </row>
    <row r="30" spans="1:29" ht="11.25" customHeight="1" x14ac:dyDescent="0.2">
      <c r="A30" s="62" t="s">
        <v>97</v>
      </c>
      <c r="B30" s="117">
        <v>10</v>
      </c>
      <c r="C30" s="65" t="str">
        <f t="shared" si="10"/>
        <v>x22F</v>
      </c>
      <c r="D30" s="126"/>
      <c r="E30" s="126"/>
      <c r="F30" s="126"/>
      <c r="G30" s="64" t="str">
        <f t="shared" si="8"/>
        <v>GbpLibor1Y</v>
      </c>
      <c r="H30" s="120" t="str">
        <f t="shared" ref="H30:H44" si="11">Currency&amp;B30&amp;C30&amp;QuoteSuffix</f>
        <v>GBP10x22F_Quote</v>
      </c>
      <c r="I30" s="126"/>
      <c r="J30" s="67"/>
      <c r="K30" s="51"/>
      <c r="L30" s="10" t="str">
        <f t="shared" si="6"/>
        <v>FRA</v>
      </c>
      <c r="M30" s="95" t="str">
        <f t="shared" si="7"/>
        <v>obj_00320#0001</v>
      </c>
      <c r="N30" s="149" t="str">
        <f>IFERROR(_xll.qlRateHelperQuoteName(M30,Trigger),"--")</f>
        <v>GBP12x24F_Quote</v>
      </c>
      <c r="O30" s="99">
        <f>IFERROR(_xll.qlRateHelperQuoteValue($M30,Trigger),"--")</f>
        <v>1.345E-2</v>
      </c>
      <c r="P30" s="98" t="b">
        <v>1</v>
      </c>
      <c r="Q30" s="95">
        <v>20</v>
      </c>
      <c r="R30" s="95">
        <v>7</v>
      </c>
      <c r="S30" s="100">
        <f>IFERROR(_xll.qlRateHelperEarliestDate(M30,Trigger),"--")</f>
        <v>42641</v>
      </c>
      <c r="T30" s="100">
        <f>IFERROR(_xll.qlRateHelperPillarDate(M30,Trigger),"--")</f>
        <v>43006</v>
      </c>
      <c r="V30" s="163" t="str">
        <f t="shared" si="4"/>
        <v>BasSw</v>
      </c>
      <c r="W30" s="163" t="str">
        <v>obj_0028a</v>
      </c>
      <c r="X30" s="163" t="str">
        <f>IFERROR(_xll.qlRateHelperQuoteName(W30,Trigger),"")</f>
        <v>GBPSB6L10Y_S6L12L_Quote</v>
      </c>
      <c r="Y30" s="197">
        <f>IFERROR(_xll.qlRateHelperRate(W30,Trigger),"")</f>
        <v>2.0320000000128673E-2</v>
      </c>
      <c r="Z30" s="198">
        <f>IF(ISERROR(_xll.qlSwapRateHelperSpread($W30)),IF(ISERROR(_xll.qlFuturesRateHelperConvexityAdjustment($W30)),"",_xll.qlFuturesRateHelperConvexityAdjustment($W30)),_xll.qlSwapRateHelperSpread($W30))</f>
        <v>0</v>
      </c>
      <c r="AA30" s="164">
        <f>IFERROR(_xll.qlRateHelperEarliestDate(W30,Trigger),"")</f>
        <v>42275</v>
      </c>
      <c r="AB30" s="164">
        <f>IFERROR(_xll.qlRateHelperPillarDate(W30,Trigger),"")</f>
        <v>45929</v>
      </c>
      <c r="AC30" s="257">
        <v>0.8151973884786814</v>
      </c>
    </row>
    <row r="31" spans="1:29" ht="11.25" customHeight="1" x14ac:dyDescent="0.2">
      <c r="A31" s="62" t="s">
        <v>97</v>
      </c>
      <c r="B31" s="117">
        <v>11</v>
      </c>
      <c r="C31" s="65" t="str">
        <f t="shared" si="10"/>
        <v>x23F</v>
      </c>
      <c r="D31" s="126"/>
      <c r="E31" s="126"/>
      <c r="F31" s="126"/>
      <c r="G31" s="64" t="str">
        <f t="shared" si="8"/>
        <v>GbpLibor1Y</v>
      </c>
      <c r="H31" s="120" t="str">
        <f t="shared" si="11"/>
        <v>GBP11x23F_Quote</v>
      </c>
      <c r="I31" s="126"/>
      <c r="J31" s="67"/>
      <c r="K31" s="51"/>
      <c r="L31" s="10" t="str">
        <f t="shared" si="6"/>
        <v>FRA</v>
      </c>
      <c r="M31" s="95" t="str">
        <f t="shared" si="7"/>
        <v>--</v>
      </c>
      <c r="N31" s="149" t="str">
        <f>IFERROR(_xll.qlRateHelperQuoteName(M31,Trigger),"--")</f>
        <v>--</v>
      </c>
      <c r="O31" s="99" t="str">
        <f>IFERROR(_xll.qlRateHelperQuoteValue($M31,Trigger),"--")</f>
        <v>--</v>
      </c>
      <c r="P31" s="98" t="b">
        <v>0</v>
      </c>
      <c r="Q31" s="95">
        <v>20</v>
      </c>
      <c r="R31" s="95">
        <v>7</v>
      </c>
      <c r="S31" s="100" t="str">
        <f>IFERROR(_xll.qlRateHelperEarliestDate(M31,Trigger),"--")</f>
        <v>--</v>
      </c>
      <c r="T31" s="100" t="str">
        <f>IFERROR(_xll.qlRateHelperPillarDate(M31,Trigger),"--")</f>
        <v>--</v>
      </c>
      <c r="V31" s="163" t="str">
        <f t="shared" si="4"/>
        <v>BasSw</v>
      </c>
      <c r="W31" s="163" t="str">
        <v>obj_00295</v>
      </c>
      <c r="X31" s="163" t="str">
        <f>IFERROR(_xll.qlRateHelperQuoteName(W31,Trigger),"")</f>
        <v>GBPSB6L12Y_S6L12L_Quote</v>
      </c>
      <c r="Y31" s="197">
        <f>IFERROR(_xll.qlRateHelperRate(W31,Trigger),"")</f>
        <v>2.111500000000029E-2</v>
      </c>
      <c r="Z31" s="198">
        <f>IF(ISERROR(_xll.qlSwapRateHelperSpread($W31)),IF(ISERROR(_xll.qlFuturesRateHelperConvexityAdjustment($W31)),"",_xll.qlFuturesRateHelperConvexityAdjustment($W31)),_xll.qlSwapRateHelperSpread($W31))</f>
        <v>0</v>
      </c>
      <c r="AA31" s="164">
        <f>IFERROR(_xll.qlRateHelperEarliestDate(W31,Trigger),"")</f>
        <v>42275</v>
      </c>
      <c r="AB31" s="164">
        <f>IFERROR(_xll.qlRateHelperPillarDate(W31,Trigger),"")</f>
        <v>46658</v>
      </c>
      <c r="AC31" s="257">
        <v>0.77483105741008118</v>
      </c>
    </row>
    <row r="32" spans="1:29" ht="11.25" customHeight="1" x14ac:dyDescent="0.2">
      <c r="A32" s="62" t="s">
        <v>97</v>
      </c>
      <c r="B32" s="117">
        <v>12</v>
      </c>
      <c r="C32" s="65" t="str">
        <f t="shared" si="10"/>
        <v>x24F</v>
      </c>
      <c r="D32" s="126"/>
      <c r="E32" s="126"/>
      <c r="F32" s="126"/>
      <c r="G32" s="64" t="str">
        <f t="shared" si="8"/>
        <v>GbpLibor1Y</v>
      </c>
      <c r="H32" s="120" t="str">
        <f t="shared" si="11"/>
        <v>GBP12x24F_Quote</v>
      </c>
      <c r="I32" s="126"/>
      <c r="J32" s="67" t="str">
        <f>_xll.qlFraRateHelper(,H32,B32&amp;"M",G32,PillarDate,,Permanent,Trigger,ObjectOverwrite)</f>
        <v>obj_00320#0001</v>
      </c>
      <c r="K32" s="51"/>
      <c r="L32" s="10" t="str">
        <f t="shared" si="6"/>
        <v>FRA</v>
      </c>
      <c r="M32" s="95" t="str">
        <f t="shared" si="7"/>
        <v>--</v>
      </c>
      <c r="N32" s="149" t="str">
        <f>IFERROR(_xll.qlRateHelperQuoteName(M32,Trigger),"--")</f>
        <v>--</v>
      </c>
      <c r="O32" s="99" t="str">
        <f>IFERROR(_xll.qlRateHelperQuoteValue($M32,Trigger),"--")</f>
        <v>--</v>
      </c>
      <c r="P32" s="98" t="b">
        <v>0</v>
      </c>
      <c r="Q32" s="95">
        <v>20</v>
      </c>
      <c r="R32" s="95">
        <v>7</v>
      </c>
      <c r="S32" s="100" t="str">
        <f>IFERROR(_xll.qlRateHelperEarliestDate(M32,Trigger),"--")</f>
        <v>--</v>
      </c>
      <c r="T32" s="100" t="str">
        <f>IFERROR(_xll.qlRateHelperPillarDate(M32,Trigger),"--")</f>
        <v>--</v>
      </c>
      <c r="V32" s="163" t="str">
        <f t="shared" si="4"/>
        <v>BasSw</v>
      </c>
      <c r="W32" s="163" t="str">
        <v>obj_0028c</v>
      </c>
      <c r="X32" s="163" t="str">
        <f>IFERROR(_xll.qlRateHelperQuoteName(W32,Trigger),"")</f>
        <v>GBPSB6L15Y_S6L12L_Quote</v>
      </c>
      <c r="Y32" s="197">
        <f>IFERROR(_xll.qlRateHelperRate(W32,Trigger),"")</f>
        <v>2.1877999999832302E-2</v>
      </c>
      <c r="Z32" s="198">
        <f>IF(ISERROR(_xll.qlSwapRateHelperSpread($W32)),IF(ISERROR(_xll.qlFuturesRateHelperConvexityAdjustment($W32)),"",_xll.qlFuturesRateHelperConvexityAdjustment($W32)),_xll.qlSwapRateHelperSpread($W32))</f>
        <v>0</v>
      </c>
      <c r="AA32" s="164">
        <f>IFERROR(_xll.qlRateHelperEarliestDate(W32,Trigger),"")</f>
        <v>42275</v>
      </c>
      <c r="AB32" s="164">
        <f>IFERROR(_xll.qlRateHelperPillarDate(W32,Trigger),"")</f>
        <v>47756</v>
      </c>
      <c r="AC32" s="257">
        <v>0.71810827109127662</v>
      </c>
    </row>
    <row r="33" spans="1:29" ht="11.25" customHeight="1" x14ac:dyDescent="0.2">
      <c r="A33" s="62" t="s">
        <v>97</v>
      </c>
      <c r="B33" s="117">
        <v>13</v>
      </c>
      <c r="C33" s="65" t="str">
        <f t="shared" si="10"/>
        <v>x25F</v>
      </c>
      <c r="D33" s="126"/>
      <c r="E33" s="126"/>
      <c r="F33" s="126"/>
      <c r="G33" s="64" t="str">
        <f t="shared" si="8"/>
        <v>GbpLibor1Y</v>
      </c>
      <c r="H33" s="120" t="str">
        <f t="shared" si="11"/>
        <v>GBP13x25F_Quote</v>
      </c>
      <c r="I33" s="126"/>
      <c r="J33" s="67"/>
      <c r="K33" s="51"/>
      <c r="L33" s="10" t="str">
        <f t="shared" si="6"/>
        <v>FRA</v>
      </c>
      <c r="M33" s="95" t="str">
        <f t="shared" si="7"/>
        <v>--</v>
      </c>
      <c r="N33" s="149" t="str">
        <f>IFERROR(_xll.qlRateHelperQuoteName(M33,Trigger),"--")</f>
        <v>--</v>
      </c>
      <c r="O33" s="99" t="str">
        <f>IFERROR(_xll.qlRateHelperQuoteValue($M33,Trigger),"--")</f>
        <v>--</v>
      </c>
      <c r="P33" s="98" t="b">
        <v>0</v>
      </c>
      <c r="Q33" s="95">
        <v>20</v>
      </c>
      <c r="R33" s="95">
        <v>7</v>
      </c>
      <c r="S33" s="100" t="str">
        <f>IFERROR(_xll.qlRateHelperEarliestDate(M33,Trigger),"--")</f>
        <v>--</v>
      </c>
      <c r="T33" s="100" t="str">
        <f>IFERROR(_xll.qlRateHelperPillarDate(M33,Trigger),"--")</f>
        <v>--</v>
      </c>
      <c r="V33" s="163" t="str">
        <f t="shared" si="4"/>
        <v>BasSw</v>
      </c>
      <c r="W33" s="163" t="str">
        <v>obj_00298</v>
      </c>
      <c r="X33" s="163" t="str">
        <f>IFERROR(_xll.qlRateHelperQuoteName(W33,Trigger),"")</f>
        <v>GBPSB6L20Y_S6L12L_Quote</v>
      </c>
      <c r="Y33" s="197">
        <f>IFERROR(_xll.qlRateHelperRate(W33,Trigger),"")</f>
        <v>2.238999999998946E-2</v>
      </c>
      <c r="Z33" s="198">
        <f>IF(ISERROR(_xll.qlSwapRateHelperSpread($W33)),IF(ISERROR(_xll.qlFuturesRateHelperConvexityAdjustment($W33)),"",_xll.qlFuturesRateHelperConvexityAdjustment($W33)),_xll.qlSwapRateHelperSpread($W33))</f>
        <v>0</v>
      </c>
      <c r="AA33" s="164">
        <f>IFERROR(_xll.qlRateHelperEarliestDate(W33,Trigger),"")</f>
        <v>42275</v>
      </c>
      <c r="AB33" s="164">
        <f>IFERROR(_xll.qlRateHelperPillarDate(W33,Trigger),"")</f>
        <v>49580</v>
      </c>
      <c r="AC33" s="257">
        <v>0.63655708447470549</v>
      </c>
    </row>
    <row r="34" spans="1:29" ht="11.25" customHeight="1" x14ac:dyDescent="0.2">
      <c r="A34" s="62" t="s">
        <v>97</v>
      </c>
      <c r="B34" s="117">
        <v>14</v>
      </c>
      <c r="C34" s="65" t="str">
        <f t="shared" si="10"/>
        <v>x26F</v>
      </c>
      <c r="D34" s="126"/>
      <c r="E34" s="126"/>
      <c r="F34" s="126"/>
      <c r="G34" s="64" t="str">
        <f t="shared" si="8"/>
        <v>GbpLibor1Y</v>
      </c>
      <c r="H34" s="120" t="str">
        <f t="shared" si="11"/>
        <v>GBP14x26F_Quote</v>
      </c>
      <c r="I34" s="126"/>
      <c r="J34" s="67"/>
      <c r="K34" s="51"/>
      <c r="L34" s="10" t="str">
        <f t="shared" si="6"/>
        <v>FRA</v>
      </c>
      <c r="M34" s="95" t="str">
        <f t="shared" si="7"/>
        <v>--</v>
      </c>
      <c r="N34" s="149" t="str">
        <f>IFERROR(_xll.qlRateHelperQuoteName(M34,Trigger),"--")</f>
        <v>--</v>
      </c>
      <c r="O34" s="99" t="str">
        <f>IFERROR(_xll.qlRateHelperQuoteValue($M34,Trigger),"--")</f>
        <v>--</v>
      </c>
      <c r="P34" s="98" t="b">
        <v>0</v>
      </c>
      <c r="Q34" s="95">
        <v>20</v>
      </c>
      <c r="R34" s="95">
        <v>7</v>
      </c>
      <c r="S34" s="100" t="str">
        <f>IFERROR(_xll.qlRateHelperEarliestDate(M34,Trigger),"--")</f>
        <v>--</v>
      </c>
      <c r="T34" s="100" t="str">
        <f>IFERROR(_xll.qlRateHelperPillarDate(M34,Trigger),"--")</f>
        <v>--</v>
      </c>
      <c r="V34" s="163" t="str">
        <f t="shared" si="4"/>
        <v>BasSw</v>
      </c>
      <c r="W34" s="163" t="str">
        <v>obj_00297</v>
      </c>
      <c r="X34" s="163" t="str">
        <f>IFERROR(_xll.qlRateHelperQuoteName(W34,Trigger),"")</f>
        <v>GBPSB6L25Y_S6L12L_Quote</v>
      </c>
      <c r="Y34" s="197">
        <f>IFERROR(_xll.qlRateHelperRate(W34,Trigger),"")</f>
        <v>2.2338000000001267E-2</v>
      </c>
      <c r="Z34" s="198">
        <f>IF(ISERROR(_xll.qlSwapRateHelperSpread($W34)),IF(ISERROR(_xll.qlFuturesRateHelperConvexityAdjustment($W34)),"",_xll.qlFuturesRateHelperConvexityAdjustment($W34)),_xll.qlSwapRateHelperSpread($W34))</f>
        <v>0</v>
      </c>
      <c r="AA34" s="164">
        <f>IFERROR(_xll.qlRateHelperEarliestDate(W34,Trigger),"")</f>
        <v>42275</v>
      </c>
      <c r="AB34" s="164">
        <f>IFERROR(_xll.qlRateHelperPillarDate(W34,Trigger),"")</f>
        <v>51407</v>
      </c>
      <c r="AC34" s="257">
        <v>0.5702969748066955</v>
      </c>
    </row>
    <row r="35" spans="1:29" ht="11.25" customHeight="1" x14ac:dyDescent="0.2">
      <c r="A35" s="62" t="s">
        <v>97</v>
      </c>
      <c r="B35" s="117">
        <v>15</v>
      </c>
      <c r="C35" s="65" t="str">
        <f t="shared" si="10"/>
        <v>x27F</v>
      </c>
      <c r="D35" s="126"/>
      <c r="E35" s="126"/>
      <c r="F35" s="126"/>
      <c r="G35" s="64" t="str">
        <f t="shared" si="8"/>
        <v>GbpLibor1Y</v>
      </c>
      <c r="H35" s="120" t="str">
        <f t="shared" si="11"/>
        <v>GBP15x27F_Quote</v>
      </c>
      <c r="I35" s="126"/>
      <c r="J35" s="67"/>
      <c r="K35" s="51"/>
      <c r="L35" s="10" t="str">
        <f t="shared" si="6"/>
        <v>FRA</v>
      </c>
      <c r="M35" s="95" t="str">
        <f t="shared" si="7"/>
        <v>--</v>
      </c>
      <c r="N35" s="149" t="str">
        <f>IFERROR(_xll.qlRateHelperQuoteName(M35,Trigger),"--")</f>
        <v>--</v>
      </c>
      <c r="O35" s="99" t="str">
        <f>IFERROR(_xll.qlRateHelperQuoteValue($M35,Trigger),"--")</f>
        <v>--</v>
      </c>
      <c r="P35" s="98" t="b">
        <v>0</v>
      </c>
      <c r="Q35" s="95">
        <v>20</v>
      </c>
      <c r="R35" s="95">
        <v>7</v>
      </c>
      <c r="S35" s="100" t="str">
        <f>IFERROR(_xll.qlRateHelperEarliestDate(M35,Trigger),"--")</f>
        <v>--</v>
      </c>
      <c r="T35" s="100" t="str">
        <f>IFERROR(_xll.qlRateHelperPillarDate(M35,Trigger),"--")</f>
        <v>--</v>
      </c>
      <c r="V35" s="163" t="str">
        <f t="shared" si="4"/>
        <v>BasSw</v>
      </c>
      <c r="W35" s="163" t="str">
        <v>obj_0029a</v>
      </c>
      <c r="X35" s="163" t="str">
        <f>IFERROR(_xll.qlRateHelperQuoteName(W35,Trigger),"")</f>
        <v>GBPSB6L30Y_S6L12L_Quote</v>
      </c>
      <c r="Y35" s="197">
        <f>IFERROR(_xll.qlRateHelperRate(W35,Trigger),"")</f>
        <v>2.3013000000000939E-2</v>
      </c>
      <c r="Z35" s="198">
        <f>IF(ISERROR(_xll.qlSwapRateHelperSpread($W35)),IF(ISERROR(_xll.qlFuturesRateHelperConvexityAdjustment($W35)),"",_xll.qlFuturesRateHelperConvexityAdjustment($W35)),_xll.qlSwapRateHelperSpread($W35))</f>
        <v>0</v>
      </c>
      <c r="AA35" s="164">
        <f>IFERROR(_xll.qlRateHelperEarliestDate(W35,Trigger),"")</f>
        <v>42275</v>
      </c>
      <c r="AB35" s="164">
        <f>IFERROR(_xll.qlRateHelperPillarDate(W35,Trigger),"")</f>
        <v>53233</v>
      </c>
      <c r="AC35" s="257">
        <v>0.49704693913263509</v>
      </c>
    </row>
    <row r="36" spans="1:29" ht="11.25" customHeight="1" x14ac:dyDescent="0.2">
      <c r="A36" s="62" t="s">
        <v>97</v>
      </c>
      <c r="B36" s="117">
        <v>16</v>
      </c>
      <c r="C36" s="65" t="str">
        <f t="shared" si="10"/>
        <v>x28F</v>
      </c>
      <c r="D36" s="126"/>
      <c r="E36" s="126"/>
      <c r="F36" s="126"/>
      <c r="G36" s="64" t="str">
        <f t="shared" si="8"/>
        <v>GbpLibor1Y</v>
      </c>
      <c r="H36" s="120" t="str">
        <f t="shared" si="11"/>
        <v>GBP16x28F_Quote</v>
      </c>
      <c r="I36" s="126"/>
      <c r="J36" s="67"/>
      <c r="K36" s="51"/>
      <c r="L36" s="10" t="str">
        <f t="shared" si="6"/>
        <v>FRA</v>
      </c>
      <c r="M36" s="95" t="str">
        <f t="shared" si="7"/>
        <v>--</v>
      </c>
      <c r="N36" s="149" t="str">
        <f>IFERROR(_xll.qlRateHelperQuoteName(M36,Trigger),"--")</f>
        <v>--</v>
      </c>
      <c r="O36" s="99" t="str">
        <f>IFERROR(_xll.qlRateHelperQuoteValue($M36,Trigger),"--")</f>
        <v>--</v>
      </c>
      <c r="P36" s="98" t="b">
        <v>0</v>
      </c>
      <c r="Q36" s="95">
        <v>20</v>
      </c>
      <c r="R36" s="95">
        <v>7</v>
      </c>
      <c r="S36" s="100" t="str">
        <f>IFERROR(_xll.qlRateHelperEarliestDate(M36,Trigger),"--")</f>
        <v>--</v>
      </c>
      <c r="T36" s="100" t="str">
        <f>IFERROR(_xll.qlRateHelperPillarDate(M36,Trigger),"--")</f>
        <v>--</v>
      </c>
      <c r="V36" s="163" t="str">
        <f t="shared" si="4"/>
        <v>BasSw</v>
      </c>
      <c r="W36" s="163" t="str">
        <v>obj_00281</v>
      </c>
      <c r="X36" s="163" t="str">
        <f>IFERROR(_xll.qlRateHelperQuoteName(W36,Trigger),"")</f>
        <v>GBPSB6L40Y_S6L12L_Quote</v>
      </c>
      <c r="Y36" s="197">
        <f>IFERROR(_xll.qlRateHelperRate(W36,Trigger),"")</f>
        <v>2.2622999999997968E-2</v>
      </c>
      <c r="Z36" s="198">
        <f>IF(ISERROR(_xll.qlSwapRateHelperSpread($W36)),IF(ISERROR(_xll.qlFuturesRateHelperConvexityAdjustment($W36)),"",_xll.qlFuturesRateHelperConvexityAdjustment($W36)),_xll.qlSwapRateHelperSpread($W36))</f>
        <v>0</v>
      </c>
      <c r="AA36" s="164">
        <f>IFERROR(_xll.qlRateHelperEarliestDate(W36,Trigger),"")</f>
        <v>42275</v>
      </c>
      <c r="AB36" s="164">
        <f>IFERROR(_xll.qlRateHelperPillarDate(W36,Trigger),"")</f>
        <v>56885</v>
      </c>
      <c r="AC36" s="257">
        <v>0.40452892984707411</v>
      </c>
    </row>
    <row r="37" spans="1:29" ht="11.25" customHeight="1" x14ac:dyDescent="0.2">
      <c r="A37" s="62" t="s">
        <v>97</v>
      </c>
      <c r="B37" s="117">
        <v>17</v>
      </c>
      <c r="C37" s="65" t="str">
        <f t="shared" si="10"/>
        <v>x29F</v>
      </c>
      <c r="D37" s="126"/>
      <c r="E37" s="126"/>
      <c r="F37" s="126"/>
      <c r="G37" s="64" t="str">
        <f t="shared" si="8"/>
        <v>GbpLibor1Y</v>
      </c>
      <c r="H37" s="120" t="str">
        <f t="shared" si="11"/>
        <v>GBP17x29F_Quote</v>
      </c>
      <c r="I37" s="126"/>
      <c r="J37" s="67"/>
      <c r="K37" s="51"/>
      <c r="L37" s="10" t="str">
        <f t="shared" si="6"/>
        <v>FRA</v>
      </c>
      <c r="M37" s="95" t="str">
        <f t="shared" si="7"/>
        <v>--</v>
      </c>
      <c r="N37" s="149" t="str">
        <f>IFERROR(_xll.qlRateHelperQuoteName(M37,Trigger),"--")</f>
        <v>--</v>
      </c>
      <c r="O37" s="99" t="str">
        <f>IFERROR(_xll.qlRateHelperQuoteValue($M37,Trigger),"--")</f>
        <v>--</v>
      </c>
      <c r="P37" s="98" t="b">
        <v>0</v>
      </c>
      <c r="Q37" s="95">
        <v>20</v>
      </c>
      <c r="R37" s="95">
        <v>7</v>
      </c>
      <c r="S37" s="100" t="str">
        <f>IFERROR(_xll.qlRateHelperEarliestDate(M37,Trigger),"--")</f>
        <v>--</v>
      </c>
      <c r="T37" s="100" t="str">
        <f>IFERROR(_xll.qlRateHelperPillarDate(M37,Trigger),"--")</f>
        <v>--</v>
      </c>
      <c r="V37" s="163" t="str">
        <f t="shared" si="4"/>
        <v>BasSw</v>
      </c>
      <c r="W37" s="163" t="str">
        <v>obj_00293</v>
      </c>
      <c r="X37" s="163" t="str">
        <f>IFERROR(_xll.qlRateHelperQuoteName(W37,Trigger),"")</f>
        <v>GBPSB6L50Y_S6L12L_Quote</v>
      </c>
      <c r="Y37" s="197">
        <f>IFERROR(_xll.qlRateHelperRate(W37,Trigger),"")</f>
        <v>2.2098000000012732E-2</v>
      </c>
      <c r="Z37" s="198">
        <f>IF(ISERROR(_xll.qlSwapRateHelperSpread($W37)),IF(ISERROR(_xll.qlFuturesRateHelperConvexityAdjustment($W37)),"",_xll.qlFuturesRateHelperConvexityAdjustment($W37)),_xll.qlSwapRateHelperSpread($W37))</f>
        <v>0</v>
      </c>
      <c r="AA37" s="164">
        <f>IFERROR(_xll.qlRateHelperEarliestDate(W37,Trigger),"")</f>
        <v>42275</v>
      </c>
      <c r="AB37" s="164">
        <f>IFERROR(_xll.qlRateHelperPillarDate(W37,Trigger),"")</f>
        <v>60538</v>
      </c>
      <c r="AC37" s="257">
        <v>0.33592993572714297</v>
      </c>
    </row>
    <row r="38" spans="1:29" ht="11.25" customHeight="1" x14ac:dyDescent="0.2">
      <c r="A38" s="62" t="s">
        <v>97</v>
      </c>
      <c r="B38" s="117">
        <v>18</v>
      </c>
      <c r="C38" s="65" t="str">
        <f t="shared" si="10"/>
        <v>x30F</v>
      </c>
      <c r="D38" s="126"/>
      <c r="E38" s="126"/>
      <c r="F38" s="126"/>
      <c r="G38" s="64" t="str">
        <f t="shared" si="8"/>
        <v>GbpLibor1Y</v>
      </c>
      <c r="H38" s="120" t="str">
        <f t="shared" si="11"/>
        <v>GBP18x30F_Quote</v>
      </c>
      <c r="I38" s="126"/>
      <c r="J38" s="67"/>
      <c r="K38" s="51"/>
      <c r="L38" s="10" t="str">
        <f t="shared" si="6"/>
        <v>FRA</v>
      </c>
      <c r="M38" s="95" t="str">
        <f t="shared" si="7"/>
        <v>--</v>
      </c>
      <c r="N38" s="149" t="str">
        <f>IFERROR(_xll.qlRateHelperQuoteName(M38,Trigger),"--")</f>
        <v>--</v>
      </c>
      <c r="O38" s="99" t="str">
        <f>IFERROR(_xll.qlRateHelperQuoteValue($M38,Trigger),"--")</f>
        <v>--</v>
      </c>
      <c r="P38" s="98" t="b">
        <v>0</v>
      </c>
      <c r="Q38" s="95">
        <v>20</v>
      </c>
      <c r="R38" s="95">
        <v>7</v>
      </c>
      <c r="S38" s="100" t="str">
        <f>IFERROR(_xll.qlRateHelperEarliestDate(M38,Trigger),"--")</f>
        <v>--</v>
      </c>
      <c r="T38" s="100" t="str">
        <f>IFERROR(_xll.qlRateHelperPillarDate(M38,Trigger),"--")</f>
        <v>--</v>
      </c>
      <c r="V38" s="163" t="str">
        <f t="shared" si="4"/>
        <v>BasSw</v>
      </c>
      <c r="W38" s="163" t="str">
        <v>obj_0027e</v>
      </c>
      <c r="X38" s="163" t="str">
        <f>IFERROR(_xll.qlRateHelperQuoteName(W38,Trigger),"")</f>
        <v>GBPSB6L60Y_S6L12L_Quote</v>
      </c>
      <c r="Y38" s="197">
        <f>IFERROR(_xll.qlRateHelperRate(W38,Trigger),"")</f>
        <v>2.1987999999983722E-2</v>
      </c>
      <c r="Z38" s="198">
        <f>IF(ISERROR(_xll.qlSwapRateHelperSpread($W38)),IF(ISERROR(_xll.qlFuturesRateHelperConvexityAdjustment($W38)),"",_xll.qlFuturesRateHelperConvexityAdjustment($W38)),_xll.qlSwapRateHelperSpread($W38))</f>
        <v>0</v>
      </c>
      <c r="AA38" s="164">
        <f>IFERROR(_xll.qlRateHelperEarliestDate(W38,Trigger),"")</f>
        <v>42275</v>
      </c>
      <c r="AB38" s="164">
        <f>IFERROR(_xll.qlRateHelperPillarDate(W38,Trigger),"")</f>
        <v>64192</v>
      </c>
      <c r="AC38" s="257">
        <v>0.27251893367916197</v>
      </c>
    </row>
    <row r="39" spans="1:29" ht="11.25" customHeight="1" x14ac:dyDescent="0.2">
      <c r="A39" s="62" t="s">
        <v>97</v>
      </c>
      <c r="B39" s="117">
        <v>19</v>
      </c>
      <c r="C39" s="65" t="str">
        <f t="shared" si="10"/>
        <v>x31F</v>
      </c>
      <c r="D39" s="126"/>
      <c r="E39" s="126"/>
      <c r="F39" s="126"/>
      <c r="G39" s="64" t="str">
        <f t="shared" si="8"/>
        <v>GbpLibor1Y</v>
      </c>
      <c r="H39" s="120" t="str">
        <f t="shared" si="11"/>
        <v>GBP19x31F_Quote</v>
      </c>
      <c r="I39" s="126"/>
      <c r="J39" s="67"/>
      <c r="K39" s="51"/>
      <c r="L39" s="10" t="str">
        <f t="shared" si="6"/>
        <v>FRA</v>
      </c>
      <c r="M39" s="95" t="str">
        <f t="shared" si="7"/>
        <v>--</v>
      </c>
      <c r="N39" s="149" t="str">
        <f>IFERROR(_xll.qlRateHelperQuoteName(M39,Trigger),"--")</f>
        <v>--</v>
      </c>
      <c r="O39" s="99" t="str">
        <f>IFERROR(_xll.qlRateHelperQuoteValue($M39,Trigger),"--")</f>
        <v>--</v>
      </c>
      <c r="P39" s="98" t="b">
        <v>0</v>
      </c>
      <c r="Q39" s="95">
        <v>20</v>
      </c>
      <c r="R39" s="95">
        <v>7</v>
      </c>
      <c r="S39" s="100" t="str">
        <f>IFERROR(_xll.qlRateHelperEarliestDate(M39,Trigger),"--")</f>
        <v>--</v>
      </c>
      <c r="T39" s="100" t="str">
        <f>IFERROR(_xll.qlRateHelperPillarDate(M39,Trigger),"--")</f>
        <v>--</v>
      </c>
      <c r="V39" s="163" t="str">
        <f t="shared" si="4"/>
        <v/>
      </c>
      <c r="W39" s="163" t="e">
        <v>#N/A</v>
      </c>
      <c r="X39" s="163" t="str">
        <f>IFERROR(_xll.qlRateHelperQuoteName(W39,Trigger),"")</f>
        <v/>
      </c>
      <c r="Y39" s="197" t="str">
        <f>IFERROR(_xll.qlRateHelperRate(W39,Trigger),"")</f>
        <v/>
      </c>
      <c r="Z39" s="198" t="str">
        <f>IF(ISERROR(_xll.qlSwapRateHelperSpread($W39)),IF(ISERROR(_xll.qlFuturesRateHelperConvexityAdjustment($W39)),"",_xll.qlFuturesRateHelperConvexityAdjustment($W39)),_xll.qlSwapRateHelperSpread($W39))</f>
        <v/>
      </c>
      <c r="AA39" s="164" t="str">
        <f>IFERROR(_xll.qlRateHelperEarliestDate(W39,Trigger),"")</f>
        <v/>
      </c>
      <c r="AB39" s="164" t="str">
        <f>IFERROR(_xll.qlRateHelperPillarDate(W39,Trigger),"")</f>
        <v/>
      </c>
      <c r="AC39" s="257" t="e">
        <v>#N/A</v>
      </c>
    </row>
    <row r="40" spans="1:29" ht="11.25" customHeight="1" x14ac:dyDescent="0.2">
      <c r="A40" s="62" t="s">
        <v>97</v>
      </c>
      <c r="B40" s="117">
        <v>20</v>
      </c>
      <c r="C40" s="65" t="str">
        <f t="shared" si="10"/>
        <v>x32F</v>
      </c>
      <c r="D40" s="126"/>
      <c r="E40" s="126"/>
      <c r="F40" s="126"/>
      <c r="G40" s="64" t="str">
        <f t="shared" si="8"/>
        <v>GbpLibor1Y</v>
      </c>
      <c r="H40" s="120" t="str">
        <f t="shared" si="11"/>
        <v>GBP20x32F_Quote</v>
      </c>
      <c r="I40" s="126"/>
      <c r="J40" s="67"/>
      <c r="K40" s="51"/>
      <c r="L40" s="10" t="str">
        <f t="shared" si="6"/>
        <v>FRA</v>
      </c>
      <c r="M40" s="95" t="str">
        <f t="shared" si="7"/>
        <v>--</v>
      </c>
      <c r="N40" s="149" t="str">
        <f>IFERROR(_xll.qlRateHelperQuoteName(M40,Trigger),"--")</f>
        <v>--</v>
      </c>
      <c r="O40" s="99" t="str">
        <f>IFERROR(_xll.qlRateHelperQuoteValue($M40,Trigger),"--")</f>
        <v>--</v>
      </c>
      <c r="P40" s="98" t="b">
        <v>0</v>
      </c>
      <c r="Q40" s="95">
        <v>20</v>
      </c>
      <c r="R40" s="95">
        <v>7</v>
      </c>
      <c r="S40" s="100" t="str">
        <f>IFERROR(_xll.qlRateHelperEarliestDate(M40,Trigger),"--")</f>
        <v>--</v>
      </c>
      <c r="T40" s="100" t="str">
        <f>IFERROR(_xll.qlRateHelperPillarDate(M40,Trigger),"--")</f>
        <v>--</v>
      </c>
      <c r="V40" s="163" t="str">
        <f t="shared" si="4"/>
        <v/>
      </c>
      <c r="W40" s="163" t="e">
        <v>#N/A</v>
      </c>
      <c r="X40" s="163" t="str">
        <f>IFERROR(_xll.qlRateHelperQuoteName(W40,Trigger),"")</f>
        <v/>
      </c>
      <c r="Y40" s="197" t="str">
        <f>IFERROR(_xll.qlRateHelperRate(W40,Trigger),"")</f>
        <v/>
      </c>
      <c r="Z40" s="198" t="str">
        <f>IF(ISERROR(_xll.qlSwapRateHelperSpread($W40)),IF(ISERROR(_xll.qlFuturesRateHelperConvexityAdjustment($W40)),"",_xll.qlFuturesRateHelperConvexityAdjustment($W40)),_xll.qlSwapRateHelperSpread($W40))</f>
        <v/>
      </c>
      <c r="AA40" s="164" t="str">
        <f>IFERROR(_xll.qlRateHelperEarliestDate(W40,Trigger),"")</f>
        <v/>
      </c>
      <c r="AB40" s="164" t="str">
        <f>IFERROR(_xll.qlRateHelperPillarDate(W40,Trigger),"")</f>
        <v/>
      </c>
      <c r="AC40" s="257" t="e">
        <v>#N/A</v>
      </c>
    </row>
    <row r="41" spans="1:29" ht="11.25" customHeight="1" x14ac:dyDescent="0.2">
      <c r="A41" s="62" t="s">
        <v>97</v>
      </c>
      <c r="B41" s="117">
        <v>21</v>
      </c>
      <c r="C41" s="65" t="str">
        <f t="shared" si="10"/>
        <v>x33F</v>
      </c>
      <c r="D41" s="126"/>
      <c r="E41" s="126"/>
      <c r="F41" s="126"/>
      <c r="G41" s="64" t="str">
        <f t="shared" si="8"/>
        <v>GbpLibor1Y</v>
      </c>
      <c r="H41" s="120" t="str">
        <f t="shared" si="11"/>
        <v>GBP21x33F_Quote</v>
      </c>
      <c r="I41" s="126"/>
      <c r="J41" s="67"/>
      <c r="L41" s="10" t="str">
        <f t="shared" si="6"/>
        <v>FRA</v>
      </c>
      <c r="M41" s="95" t="str">
        <f t="shared" si="7"/>
        <v>--</v>
      </c>
      <c r="N41" s="149" t="str">
        <f>IFERROR(_xll.qlRateHelperQuoteName(M41,Trigger),"--")</f>
        <v>--</v>
      </c>
      <c r="O41" s="99" t="str">
        <f>IFERROR(_xll.qlRateHelperQuoteValue($M41,Trigger),"--")</f>
        <v>--</v>
      </c>
      <c r="P41" s="98" t="b">
        <v>0</v>
      </c>
      <c r="Q41" s="95">
        <v>20</v>
      </c>
      <c r="R41" s="95">
        <v>7</v>
      </c>
      <c r="S41" s="100" t="str">
        <f>IFERROR(_xll.qlRateHelperEarliestDate(M41,Trigger),"--")</f>
        <v>--</v>
      </c>
      <c r="T41" s="100" t="str">
        <f>IFERROR(_xll.qlRateHelperPillarDate(M41,Trigger),"--")</f>
        <v>--</v>
      </c>
      <c r="V41" s="163" t="str">
        <f t="shared" si="4"/>
        <v/>
      </c>
      <c r="W41" s="163" t="e">
        <v>#N/A</v>
      </c>
      <c r="X41" s="163" t="str">
        <f>IFERROR(_xll.qlRateHelperQuoteName(W41,Trigger),"")</f>
        <v/>
      </c>
      <c r="Y41" s="197" t="str">
        <f>IFERROR(_xll.qlRateHelperRate(W41,Trigger),"")</f>
        <v/>
      </c>
      <c r="Z41" s="198" t="str">
        <f>IF(ISERROR(_xll.qlSwapRateHelperSpread($W41)),IF(ISERROR(_xll.qlFuturesRateHelperConvexityAdjustment($W41)),"",_xll.qlFuturesRateHelperConvexityAdjustment($W41)),_xll.qlSwapRateHelperSpread($W41))</f>
        <v/>
      </c>
      <c r="AA41" s="164" t="str">
        <f>IFERROR(_xll.qlRateHelperEarliestDate(W41,Trigger),"")</f>
        <v/>
      </c>
      <c r="AB41" s="164" t="str">
        <f>IFERROR(_xll.qlRateHelperPillarDate(W41,Trigger),"")</f>
        <v/>
      </c>
      <c r="AC41" s="257" t="e">
        <v>#N/A</v>
      </c>
    </row>
    <row r="42" spans="1:29" ht="11.25" customHeight="1" x14ac:dyDescent="0.2">
      <c r="A42" s="62" t="s">
        <v>97</v>
      </c>
      <c r="B42" s="117">
        <v>22</v>
      </c>
      <c r="C42" s="65" t="str">
        <f t="shared" si="10"/>
        <v>x34F</v>
      </c>
      <c r="D42" s="126"/>
      <c r="E42" s="126"/>
      <c r="F42" s="126"/>
      <c r="G42" s="64" t="str">
        <f t="shared" si="8"/>
        <v>GbpLibor1Y</v>
      </c>
      <c r="H42" s="120" t="str">
        <f t="shared" si="11"/>
        <v>GBP22x34F_Quote</v>
      </c>
      <c r="I42" s="126"/>
      <c r="J42" s="67"/>
      <c r="L42" s="11" t="str">
        <f t="shared" si="6"/>
        <v>FRA</v>
      </c>
      <c r="M42" s="96" t="str">
        <f t="shared" si="7"/>
        <v>--</v>
      </c>
      <c r="N42" s="150" t="str">
        <f>IFERROR(_xll.qlRateHelperQuoteName(M42,Trigger),"--")</f>
        <v>--</v>
      </c>
      <c r="O42" s="102" t="str">
        <f>IFERROR(_xll.qlRateHelperQuoteValue($M42,Trigger),"--")</f>
        <v>--</v>
      </c>
      <c r="P42" s="101" t="b">
        <v>0</v>
      </c>
      <c r="Q42" s="96">
        <v>20</v>
      </c>
      <c r="R42" s="96">
        <v>7</v>
      </c>
      <c r="S42" s="103" t="str">
        <f>IFERROR(_xll.qlRateHelperEarliestDate(M42,Trigger),"--")</f>
        <v>--</v>
      </c>
      <c r="T42" s="103" t="str">
        <f>IFERROR(_xll.qlRateHelperPillarDate(M42,Trigger),"--")</f>
        <v>--</v>
      </c>
      <c r="V42" s="163" t="str">
        <f t="shared" si="4"/>
        <v/>
      </c>
      <c r="W42" s="163" t="e">
        <v>#N/A</v>
      </c>
      <c r="X42" s="163" t="str">
        <f>IFERROR(_xll.qlRateHelperQuoteName(W42,Trigger),"")</f>
        <v/>
      </c>
      <c r="Y42" s="197" t="str">
        <f>IFERROR(_xll.qlRateHelperRate(W42,Trigger),"")</f>
        <v/>
      </c>
      <c r="Z42" s="198" t="str">
        <f>IF(ISERROR(_xll.qlSwapRateHelperSpread($W42)),IF(ISERROR(_xll.qlFuturesRateHelperConvexityAdjustment($W42)),"",_xll.qlFuturesRateHelperConvexityAdjustment($W42)),_xll.qlSwapRateHelperSpread($W42))</f>
        <v/>
      </c>
      <c r="AA42" s="164" t="str">
        <f>IFERROR(_xll.qlRateHelperEarliestDate(W42,Trigger),"")</f>
        <v/>
      </c>
      <c r="AB42" s="164" t="str">
        <f>IFERROR(_xll.qlRateHelperPillarDate(W42,Trigger),"")</f>
        <v/>
      </c>
      <c r="AC42" s="257" t="e">
        <v>#N/A</v>
      </c>
    </row>
    <row r="43" spans="1:29" ht="11.25" customHeight="1" x14ac:dyDescent="0.2">
      <c r="A43" s="62" t="s">
        <v>97</v>
      </c>
      <c r="B43" s="117">
        <v>23</v>
      </c>
      <c r="C43" s="65" t="str">
        <f t="shared" si="10"/>
        <v>x35F</v>
      </c>
      <c r="D43" s="126"/>
      <c r="E43" s="126"/>
      <c r="F43" s="126"/>
      <c r="G43" s="64" t="str">
        <f t="shared" si="8"/>
        <v>GbpLibor1Y</v>
      </c>
      <c r="H43" s="120" t="str">
        <f t="shared" si="11"/>
        <v>GBP23x35F_Quote</v>
      </c>
      <c r="I43" s="126"/>
      <c r="J43" s="67"/>
      <c r="L43" s="71" t="str">
        <f>A47</f>
        <v>BasSw</v>
      </c>
      <c r="M43" s="134" t="str">
        <f>IF(ISBLANK(J47),"--",J47)</f>
        <v>--</v>
      </c>
      <c r="N43" s="148" t="str">
        <f>IFERROR(_xll.qlRateHelperQuoteName(M43,Trigger),"--")</f>
        <v>--</v>
      </c>
      <c r="O43" s="136" t="str">
        <f>IFERROR(_xll.qlRateHelperQuoteValue($M43,Trigger),"--")</f>
        <v>--</v>
      </c>
      <c r="P43" s="135" t="b">
        <v>0</v>
      </c>
      <c r="Q43" s="134">
        <v>40</v>
      </c>
      <c r="R43" s="134">
        <v>1</v>
      </c>
      <c r="S43" s="137" t="str">
        <f>IFERROR(_xll.qlRateHelperEarliestDate(M43,Trigger),"--")</f>
        <v>--</v>
      </c>
      <c r="T43" s="137" t="str">
        <f>IFERROR(_xll.qlRateHelperPillarDate(M43,Trigger),"--")</f>
        <v>--</v>
      </c>
      <c r="V43" s="163" t="str">
        <f t="shared" si="4"/>
        <v/>
      </c>
      <c r="W43" s="163" t="e">
        <v>#N/A</v>
      </c>
      <c r="X43" s="163" t="str">
        <f>IFERROR(_xll.qlRateHelperQuoteName(W43,Trigger),"")</f>
        <v/>
      </c>
      <c r="Y43" s="197" t="str">
        <f>IFERROR(_xll.qlRateHelperRate(W43,Trigger),"")</f>
        <v/>
      </c>
      <c r="Z43" s="198" t="str">
        <f>IF(ISERROR(_xll.qlSwapRateHelperSpread($W43)),IF(ISERROR(_xll.qlFuturesRateHelperConvexityAdjustment($W43)),"",_xll.qlFuturesRateHelperConvexityAdjustment($W43)),_xll.qlSwapRateHelperSpread($W43))</f>
        <v/>
      </c>
      <c r="AA43" s="164" t="str">
        <f>IFERROR(_xll.qlRateHelperEarliestDate(W43,Trigger),"")</f>
        <v/>
      </c>
      <c r="AB43" s="164" t="str">
        <f>IFERROR(_xll.qlRateHelperPillarDate(W43,Trigger),"")</f>
        <v/>
      </c>
      <c r="AC43" s="257" t="e">
        <v>#N/A</v>
      </c>
    </row>
    <row r="44" spans="1:29" ht="11.25" customHeight="1" x14ac:dyDescent="0.2">
      <c r="A44" s="1" t="s">
        <v>97</v>
      </c>
      <c r="B44" s="118">
        <v>24</v>
      </c>
      <c r="C44" s="9" t="str">
        <f t="shared" si="10"/>
        <v>x36F</v>
      </c>
      <c r="D44" s="127"/>
      <c r="E44" s="127"/>
      <c r="F44" s="127"/>
      <c r="G44" s="7" t="str">
        <f t="shared" si="8"/>
        <v>GbpLibor1Y</v>
      </c>
      <c r="H44" s="121" t="str">
        <f t="shared" si="11"/>
        <v>GBP24x36F_Quote</v>
      </c>
      <c r="I44" s="127"/>
      <c r="J44" s="3"/>
      <c r="L44" s="10" t="str">
        <f t="shared" ref="L44:L78" si="12">A48</f>
        <v>BasSw</v>
      </c>
      <c r="M44" s="95" t="str">
        <f t="shared" ref="M44:M78" si="13">IF(ISBLANK(J48),"--",J48)</f>
        <v>--</v>
      </c>
      <c r="N44" s="149" t="str">
        <f>IFERROR(_xll.qlRateHelperQuoteName(M44,Trigger),"--")</f>
        <v>--</v>
      </c>
      <c r="O44" s="99" t="str">
        <f>IFERROR(_xll.qlRateHelperQuoteValue($M44,Trigger),"--")</f>
        <v>--</v>
      </c>
      <c r="P44" s="98" t="b">
        <v>0</v>
      </c>
      <c r="Q44" s="95">
        <v>40</v>
      </c>
      <c r="R44" s="95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163" t="str">
        <f t="shared" si="4"/>
        <v/>
      </c>
      <c r="W44" s="163" t="e">
        <v>#N/A</v>
      </c>
      <c r="X44" s="163" t="str">
        <f>IFERROR(_xll.qlRateHelperQuoteName(W44,Trigger),"")</f>
        <v/>
      </c>
      <c r="Y44" s="197" t="str">
        <f>IFERROR(_xll.qlRateHelperRate(W44,Trigger),"")</f>
        <v/>
      </c>
      <c r="Z44" s="198" t="str">
        <f>IF(ISERROR(_xll.qlSwapRateHelperSpread($W44)),IF(ISERROR(_xll.qlFuturesRateHelperConvexityAdjustment($W44)),"",_xll.qlFuturesRateHelperConvexityAdjustment($W44)),_xll.qlSwapRateHelperSpread($W44))</f>
        <v/>
      </c>
      <c r="AA44" s="164" t="str">
        <f>IFERROR(_xll.qlRateHelperEarliestDate(W44,Trigger),"")</f>
        <v/>
      </c>
      <c r="AB44" s="164" t="str">
        <f>IFERROR(_xll.qlRateHelperPillarDate(W44,Trigger),"")</f>
        <v/>
      </c>
      <c r="AC44" s="257" t="e">
        <v>#N/A</v>
      </c>
    </row>
    <row r="45" spans="1:29" ht="11.25" customHeight="1" x14ac:dyDescent="0.2">
      <c r="B45" s="49"/>
      <c r="C45" s="49"/>
      <c r="D45" s="49"/>
      <c r="E45" s="49"/>
      <c r="F45" s="49" t="s">
        <v>150</v>
      </c>
      <c r="G45" s="49" t="s">
        <v>151</v>
      </c>
      <c r="H45" s="201" t="s">
        <v>153</v>
      </c>
      <c r="L45" s="10" t="str">
        <f t="shared" si="12"/>
        <v>BasSw</v>
      </c>
      <c r="M45" s="95" t="str">
        <f t="shared" si="13"/>
        <v>--</v>
      </c>
      <c r="N45" s="149" t="str">
        <f>IFERROR(_xll.qlRateHelperQuoteName(M45,Trigger),"--")</f>
        <v>--</v>
      </c>
      <c r="O45" s="99" t="str">
        <f>IFERROR(_xll.qlRateHelperQuoteValue($M45,Trigger),"--")</f>
        <v>--</v>
      </c>
      <c r="P45" s="98" t="b">
        <v>0</v>
      </c>
      <c r="Q45" s="95">
        <v>40</v>
      </c>
      <c r="R45" s="95">
        <v>1</v>
      </c>
      <c r="S45" s="100" t="str">
        <f>IFERROR(_xll.qlRateHelperEarliestDate(M45,Trigger),"--")</f>
        <v>--</v>
      </c>
      <c r="T45" s="100" t="str">
        <f>IFERROR(_xll.qlRateHelperPillarDate(M45,Trigger),"--")</f>
        <v>--</v>
      </c>
      <c r="V45" s="163" t="str">
        <f t="shared" si="4"/>
        <v/>
      </c>
      <c r="W45" s="163" t="e">
        <v>#N/A</v>
      </c>
      <c r="X45" s="163" t="str">
        <f>IFERROR(_xll.qlRateHelperQuoteName(W45,Trigger),"")</f>
        <v/>
      </c>
      <c r="Y45" s="197" t="str">
        <f>IFERROR(_xll.qlRateHelperRate(W45,Trigger),"")</f>
        <v/>
      </c>
      <c r="Z45" s="198" t="str">
        <f>IF(ISERROR(_xll.qlSwapRateHelperSpread($W45)),IF(ISERROR(_xll.qlFuturesRateHelperConvexityAdjustment($W45)),"",_xll.qlFuturesRateHelperConvexityAdjustment($W45)),_xll.qlSwapRateHelperSpread($W45))</f>
        <v/>
      </c>
      <c r="AA45" s="164" t="str">
        <f>IFERROR(_xll.qlRateHelperEarliestDate(W45,Trigger),"")</f>
        <v/>
      </c>
      <c r="AB45" s="164" t="str">
        <f>IFERROR(_xll.qlRateHelperPillarDate(W45,Trigger),"")</f>
        <v/>
      </c>
      <c r="AC45" s="257" t="e">
        <v>#N/A</v>
      </c>
    </row>
    <row r="46" spans="1:29" ht="11.25" customHeight="1" x14ac:dyDescent="0.2">
      <c r="A46" s="68" t="s">
        <v>9</v>
      </c>
      <c r="B46" s="68" t="s">
        <v>30</v>
      </c>
      <c r="C46" s="68" t="s">
        <v>133</v>
      </c>
      <c r="D46" s="68" t="s">
        <v>5</v>
      </c>
      <c r="E46" s="68" t="s">
        <v>34</v>
      </c>
      <c r="F46" s="68" t="s">
        <v>118</v>
      </c>
      <c r="G46" s="68" t="s">
        <v>4</v>
      </c>
      <c r="H46" s="68" t="s">
        <v>1</v>
      </c>
      <c r="I46" s="68" t="s">
        <v>117</v>
      </c>
      <c r="J46" s="68" t="s">
        <v>25</v>
      </c>
      <c r="L46" s="10" t="str">
        <f t="shared" si="12"/>
        <v>BasSw</v>
      </c>
      <c r="M46" s="95" t="str">
        <f t="shared" si="13"/>
        <v>--</v>
      </c>
      <c r="N46" s="149" t="str">
        <f>IFERROR(_xll.qlRateHelperQuoteName(M46,Trigger),"--")</f>
        <v>--</v>
      </c>
      <c r="O46" s="99" t="str">
        <f>IFERROR(_xll.qlRateHelperQuoteValue($M46,Trigger),"--")</f>
        <v>--</v>
      </c>
      <c r="P46" s="98" t="b">
        <v>0</v>
      </c>
      <c r="Q46" s="95">
        <v>40</v>
      </c>
      <c r="R46" s="95">
        <v>1</v>
      </c>
      <c r="S46" s="100" t="str">
        <f>IFERROR(_xll.qlRateHelperEarliestDate(M46,Trigger),"--")</f>
        <v>--</v>
      </c>
      <c r="T46" s="100" t="str">
        <f>IFERROR(_xll.qlRateHelperPillarDate(M46,Trigger),"--")</f>
        <v>--</v>
      </c>
      <c r="V46" s="163" t="str">
        <f t="shared" si="4"/>
        <v/>
      </c>
      <c r="W46" s="163" t="e">
        <v>#N/A</v>
      </c>
      <c r="X46" s="163" t="str">
        <f>IFERROR(_xll.qlRateHelperQuoteName(W46,Trigger),"")</f>
        <v/>
      </c>
      <c r="Y46" s="197" t="str">
        <f>IFERROR(_xll.qlRateHelperRate(W46,Trigger),"")</f>
        <v/>
      </c>
      <c r="Z46" s="198" t="str">
        <f>IF(ISERROR(_xll.qlSwapRateHelperSpread($W46)),IF(ISERROR(_xll.qlFuturesRateHelperConvexityAdjustment($W46)),"",_xll.qlFuturesRateHelperConvexityAdjustment($W46)),_xll.qlSwapRateHelperSpread($W46))</f>
        <v/>
      </c>
      <c r="AA46" s="164" t="str">
        <f>IFERROR(_xll.qlRateHelperEarliestDate(W46,Trigger),"")</f>
        <v/>
      </c>
      <c r="AB46" s="164" t="str">
        <f>IFERROR(_xll.qlRateHelperPillarDate(W46,Trigger),"")</f>
        <v/>
      </c>
      <c r="AC46" s="257" t="e">
        <v>#N/A</v>
      </c>
    </row>
    <row r="47" spans="1:29" ht="11.25" customHeight="1" x14ac:dyDescent="0.2">
      <c r="A47" s="56" t="s">
        <v>120</v>
      </c>
      <c r="B47" s="57" t="s">
        <v>29</v>
      </c>
      <c r="C47" s="58" t="s">
        <v>6</v>
      </c>
      <c r="D47" s="64" t="s">
        <v>147</v>
      </c>
      <c r="E47" s="58" t="s">
        <v>7</v>
      </c>
      <c r="F47" s="58" t="s">
        <v>148</v>
      </c>
      <c r="G47" s="58" t="str">
        <f t="shared" ref="G47:G83" si="14">PROPER(Currency)&amp;FamilyName&amp;Tenor</f>
        <v>GbpLibor1Y</v>
      </c>
      <c r="H47" s="56" t="str">
        <f t="shared" ref="H47:H83" si="15">Currency&amp;$F$45&amp;$G$45&amp;B47&amp;"_S"&amp;$G$45&amp;$H$45&amp;QuoteSuffix</f>
        <v>GBPSB6L1Y_S6L12L_Quote</v>
      </c>
      <c r="I47" s="129">
        <v>0</v>
      </c>
      <c r="J47" s="61"/>
      <c r="L47" s="10" t="str">
        <f t="shared" si="12"/>
        <v>BasSw</v>
      </c>
      <c r="M47" s="95" t="str">
        <f t="shared" si="13"/>
        <v>--</v>
      </c>
      <c r="N47" s="149" t="str">
        <f>IFERROR(_xll.qlRateHelperQuoteName(M47,Trigger),"--")</f>
        <v>--</v>
      </c>
      <c r="O47" s="99" t="str">
        <f>IFERROR(_xll.qlRateHelperQuoteValue($M47,Trigger),"--")</f>
        <v>--</v>
      </c>
      <c r="P47" s="98" t="b">
        <v>0</v>
      </c>
      <c r="Q47" s="95">
        <v>40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163" t="str">
        <f t="shared" si="4"/>
        <v/>
      </c>
      <c r="W47" s="163" t="e">
        <v>#N/A</v>
      </c>
      <c r="X47" s="163" t="str">
        <f>IFERROR(_xll.qlRateHelperQuoteName(W47,Trigger),"")</f>
        <v/>
      </c>
      <c r="Y47" s="197" t="str">
        <f>IFERROR(_xll.qlRateHelperRate(W47,Trigger),"")</f>
        <v/>
      </c>
      <c r="Z47" s="198" t="str">
        <f>IF(ISERROR(_xll.qlSwapRateHelperSpread($W47)),IF(ISERROR(_xll.qlFuturesRateHelperConvexityAdjustment($W47)),"",_xll.qlFuturesRateHelperConvexityAdjustment($W47)),_xll.qlSwapRateHelperSpread($W47))</f>
        <v/>
      </c>
      <c r="AA47" s="164" t="str">
        <f>IFERROR(_xll.qlRateHelperEarliestDate(W47,Trigger),"")</f>
        <v/>
      </c>
      <c r="AB47" s="164" t="str">
        <f>IFERROR(_xll.qlRateHelperPillarDate(W47,Trigger),"")</f>
        <v/>
      </c>
      <c r="AC47" s="257" t="e">
        <v>#N/A</v>
      </c>
    </row>
    <row r="48" spans="1:29" ht="11.25" customHeight="1" x14ac:dyDescent="0.2">
      <c r="A48" s="62" t="s">
        <v>120</v>
      </c>
      <c r="B48" s="63" t="s">
        <v>49</v>
      </c>
      <c r="C48" s="64" t="s">
        <v>6</v>
      </c>
      <c r="D48" s="64" t="s">
        <v>147</v>
      </c>
      <c r="E48" s="64" t="s">
        <v>7</v>
      </c>
      <c r="F48" s="64" t="s">
        <v>148</v>
      </c>
      <c r="G48" s="64" t="str">
        <f t="shared" si="14"/>
        <v>GbpLibor1Y</v>
      </c>
      <c r="H48" s="62" t="str">
        <f t="shared" si="15"/>
        <v>GBPSB6L15M_S6L12L_Quote</v>
      </c>
      <c r="I48" s="130">
        <v>0</v>
      </c>
      <c r="J48" s="67"/>
      <c r="L48" s="10" t="str">
        <f t="shared" si="12"/>
        <v>BasSw</v>
      </c>
      <c r="M48" s="95" t="str">
        <f t="shared" si="13"/>
        <v>obj_0029d#0001</v>
      </c>
      <c r="N48" s="149" t="str">
        <f>IFERROR(_xll.qlRateHelperQuoteName(M48,Trigger),"--")</f>
        <v>GBPSB6L3Y_S6L12L_Quote</v>
      </c>
      <c r="O48" s="99">
        <f>IFERROR(_xll.qlRateHelperQuoteValue($M48,Trigger),"--")</f>
        <v>1.3454999999994707E-2</v>
      </c>
      <c r="P48" s="98" t="b">
        <v>1</v>
      </c>
      <c r="Q48" s="95">
        <v>40</v>
      </c>
      <c r="R48" s="95">
        <v>1</v>
      </c>
      <c r="S48" s="100">
        <f>IFERROR(_xll.qlRateHelperEarliestDate(M48,Trigger),"--")</f>
        <v>42275</v>
      </c>
      <c r="T48" s="100">
        <f>IFERROR(_xll.qlRateHelperPillarDate(M48,Trigger),"--")</f>
        <v>43371</v>
      </c>
      <c r="V48" s="163" t="str">
        <f t="shared" si="4"/>
        <v/>
      </c>
      <c r="W48" s="163" t="e">
        <v>#N/A</v>
      </c>
      <c r="X48" s="163" t="str">
        <f>IFERROR(_xll.qlRateHelperQuoteName(W48,Trigger),"")</f>
        <v/>
      </c>
      <c r="Y48" s="197" t="str">
        <f>IFERROR(_xll.qlRateHelperRate(W48,Trigger),"")</f>
        <v/>
      </c>
      <c r="Z48" s="198" t="str">
        <f>IF(ISERROR(_xll.qlSwapRateHelperSpread($W48)),IF(ISERROR(_xll.qlFuturesRateHelperConvexityAdjustment($W48)),"",_xll.qlFuturesRateHelperConvexityAdjustment($W48)),_xll.qlSwapRateHelperSpread($W48))</f>
        <v/>
      </c>
      <c r="AA48" s="164" t="str">
        <f>IFERROR(_xll.qlRateHelperEarliestDate(W48,Trigger),"")</f>
        <v/>
      </c>
      <c r="AB48" s="164" t="str">
        <f>IFERROR(_xll.qlRateHelperPillarDate(W48,Trigger),"")</f>
        <v/>
      </c>
      <c r="AC48" s="257" t="e">
        <v>#N/A</v>
      </c>
    </row>
    <row r="49" spans="1:29" ht="11.25" customHeight="1" x14ac:dyDescent="0.2">
      <c r="A49" s="62" t="s">
        <v>120</v>
      </c>
      <c r="B49" s="63" t="s">
        <v>50</v>
      </c>
      <c r="C49" s="64" t="s">
        <v>6</v>
      </c>
      <c r="D49" s="64" t="s">
        <v>147</v>
      </c>
      <c r="E49" s="64" t="s">
        <v>7</v>
      </c>
      <c r="F49" s="64" t="s">
        <v>148</v>
      </c>
      <c r="G49" s="64" t="str">
        <f t="shared" si="14"/>
        <v>GbpLibor1Y</v>
      </c>
      <c r="H49" s="62" t="str">
        <f t="shared" si="15"/>
        <v>GBPSB6L18M_S6L12L_Quote</v>
      </c>
      <c r="I49" s="130">
        <v>0</v>
      </c>
      <c r="J49" s="67"/>
      <c r="L49" s="10" t="str">
        <f t="shared" si="12"/>
        <v>BasSw</v>
      </c>
      <c r="M49" s="95" t="str">
        <f t="shared" si="13"/>
        <v>obj_0028b#0001</v>
      </c>
      <c r="N49" s="149" t="str">
        <f>IFERROR(_xll.qlRateHelperQuoteName(M49,Trigger),"--")</f>
        <v>GBPSB6L4Y_S6L12L_Quote</v>
      </c>
      <c r="O49" s="99">
        <f>IFERROR(_xll.qlRateHelperQuoteValue($M49,Trigger),"--")</f>
        <v>1.5014999999968824E-2</v>
      </c>
      <c r="P49" s="98" t="b">
        <v>1</v>
      </c>
      <c r="Q49" s="95">
        <v>40</v>
      </c>
      <c r="R49" s="95">
        <v>1</v>
      </c>
      <c r="S49" s="100">
        <f>IFERROR(_xll.qlRateHelperEarliestDate(M49,Trigger),"--")</f>
        <v>42275</v>
      </c>
      <c r="T49" s="100">
        <f>IFERROR(_xll.qlRateHelperPillarDate(M49,Trigger),"--")</f>
        <v>43738</v>
      </c>
      <c r="V49" s="163" t="str">
        <f t="shared" si="4"/>
        <v/>
      </c>
      <c r="W49" s="163" t="e">
        <v>#N/A</v>
      </c>
      <c r="X49" s="163" t="str">
        <f>IFERROR(_xll.qlRateHelperQuoteName(W49,Trigger),"")</f>
        <v/>
      </c>
      <c r="Y49" s="197" t="str">
        <f>IFERROR(_xll.qlRateHelperRate(W49,Trigger),"")</f>
        <v/>
      </c>
      <c r="Z49" s="198" t="str">
        <f>IF(ISERROR(_xll.qlSwapRateHelperSpread($W49)),IF(ISERROR(_xll.qlFuturesRateHelperConvexityAdjustment($W49)),"",_xll.qlFuturesRateHelperConvexityAdjustment($W49)),_xll.qlSwapRateHelperSpread($W49))</f>
        <v/>
      </c>
      <c r="AA49" s="164" t="str">
        <f>IFERROR(_xll.qlRateHelperEarliestDate(W49,Trigger),"")</f>
        <v/>
      </c>
      <c r="AB49" s="164" t="str">
        <f>IFERROR(_xll.qlRateHelperPillarDate(W49,Trigger),"")</f>
        <v/>
      </c>
      <c r="AC49" s="257" t="e">
        <v>#N/A</v>
      </c>
    </row>
    <row r="50" spans="1:29" ht="11.25" customHeight="1" x14ac:dyDescent="0.2">
      <c r="A50" s="62" t="s">
        <v>120</v>
      </c>
      <c r="B50" s="63" t="s">
        <v>51</v>
      </c>
      <c r="C50" s="64" t="s">
        <v>6</v>
      </c>
      <c r="D50" s="64" t="s">
        <v>147</v>
      </c>
      <c r="E50" s="64" t="s">
        <v>7</v>
      </c>
      <c r="F50" s="64" t="s">
        <v>148</v>
      </c>
      <c r="G50" s="64" t="str">
        <f t="shared" si="14"/>
        <v>GbpLibor1Y</v>
      </c>
      <c r="H50" s="62" t="str">
        <f t="shared" si="15"/>
        <v>GBPSB6L21M_S6L12L_Quote</v>
      </c>
      <c r="I50" s="130">
        <v>0</v>
      </c>
      <c r="J50" s="67"/>
      <c r="L50" s="10" t="str">
        <f t="shared" si="12"/>
        <v>BasSw</v>
      </c>
      <c r="M50" s="95" t="str">
        <f t="shared" si="13"/>
        <v>obj_00291#0001</v>
      </c>
      <c r="N50" s="149" t="str">
        <f>IFERROR(_xll.qlRateHelperQuoteName(M50,Trigger),"--")</f>
        <v>GBPSB6L5Y_S6L12L_Quote</v>
      </c>
      <c r="O50" s="99">
        <f>IFERROR(_xll.qlRateHelperQuoteValue($M50,Trigger),"--")</f>
        <v>1.6404999999973791E-2</v>
      </c>
      <c r="P50" s="98" t="b">
        <v>1</v>
      </c>
      <c r="Q50" s="95">
        <v>40</v>
      </c>
      <c r="R50" s="95">
        <v>1</v>
      </c>
      <c r="S50" s="100">
        <f>IFERROR(_xll.qlRateHelperEarliestDate(M50,Trigger),"--")</f>
        <v>42275</v>
      </c>
      <c r="T50" s="100">
        <f>IFERROR(_xll.qlRateHelperPillarDate(M50,Trigger),"--")</f>
        <v>44102</v>
      </c>
      <c r="V50" s="163" t="str">
        <f t="shared" si="4"/>
        <v/>
      </c>
      <c r="W50" s="163" t="e">
        <v>#N/A</v>
      </c>
      <c r="X50" s="163" t="str">
        <f>IFERROR(_xll.qlRateHelperQuoteName(W50,Trigger),"")</f>
        <v/>
      </c>
      <c r="Y50" s="197" t="str">
        <f>IFERROR(_xll.qlRateHelperRate(W50,Trigger),"")</f>
        <v/>
      </c>
      <c r="Z50" s="198" t="str">
        <f>IF(ISERROR(_xll.qlSwapRateHelperSpread($W50)),IF(ISERROR(_xll.qlFuturesRateHelperConvexityAdjustment($W50)),"",_xll.qlFuturesRateHelperConvexityAdjustment($W50)),_xll.qlSwapRateHelperSpread($W50))</f>
        <v/>
      </c>
      <c r="AA50" s="164" t="str">
        <f>IFERROR(_xll.qlRateHelperEarliestDate(W50,Trigger),"")</f>
        <v/>
      </c>
      <c r="AB50" s="164" t="str">
        <f>IFERROR(_xll.qlRateHelperPillarDate(W50,Trigger),"")</f>
        <v/>
      </c>
      <c r="AC50" s="257" t="e">
        <v>#N/A</v>
      </c>
    </row>
    <row r="51" spans="1:29" ht="11.25" customHeight="1" x14ac:dyDescent="0.2">
      <c r="A51" s="62" t="s">
        <v>120</v>
      </c>
      <c r="B51" s="63" t="s">
        <v>52</v>
      </c>
      <c r="C51" s="64" t="s">
        <v>6</v>
      </c>
      <c r="D51" s="64" t="s">
        <v>147</v>
      </c>
      <c r="E51" s="64" t="s">
        <v>7</v>
      </c>
      <c r="F51" s="64" t="s">
        <v>148</v>
      </c>
      <c r="G51" s="64" t="str">
        <f t="shared" si="14"/>
        <v>GbpLibor1Y</v>
      </c>
      <c r="H51" s="62" t="str">
        <f t="shared" si="15"/>
        <v>GBPSB6L2Y_S6L12L_Quote</v>
      </c>
      <c r="I51" s="130">
        <v>0</v>
      </c>
      <c r="J51" s="67"/>
      <c r="L51" s="10" t="str">
        <f t="shared" si="12"/>
        <v>BasSw</v>
      </c>
      <c r="M51" s="95" t="str">
        <f t="shared" si="13"/>
        <v>obj_0027f#0001</v>
      </c>
      <c r="N51" s="149" t="str">
        <f>IFERROR(_xll.qlRateHelperQuoteName(M51,Trigger),"--")</f>
        <v>GBPSB6L6Y_S6L12L_Quote</v>
      </c>
      <c r="O51" s="99">
        <f>IFERROR(_xll.qlRateHelperQuoteValue($M51,Trigger),"--")</f>
        <v>1.7539999999997367E-2</v>
      </c>
      <c r="P51" s="98" t="b">
        <v>1</v>
      </c>
      <c r="Q51" s="95">
        <v>40</v>
      </c>
      <c r="R51" s="95">
        <v>1</v>
      </c>
      <c r="S51" s="100">
        <f>IFERROR(_xll.qlRateHelperEarliestDate(M51,Trigger),"--")</f>
        <v>42275</v>
      </c>
      <c r="T51" s="100">
        <f>IFERROR(_xll.qlRateHelperPillarDate(M51,Trigger),"--")</f>
        <v>44467</v>
      </c>
      <c r="V51" s="163" t="str">
        <f t="shared" si="4"/>
        <v/>
      </c>
      <c r="W51" s="163" t="e">
        <v>#N/A</v>
      </c>
      <c r="X51" s="163" t="str">
        <f>IFERROR(_xll.qlRateHelperQuoteName(W51,Trigger),"")</f>
        <v/>
      </c>
      <c r="Y51" s="197" t="str">
        <f>IFERROR(_xll.qlRateHelperRate(W51,Trigger),"")</f>
        <v/>
      </c>
      <c r="Z51" s="198" t="str">
        <f>IF(ISERROR(_xll.qlSwapRateHelperSpread($W51)),IF(ISERROR(_xll.qlFuturesRateHelperConvexityAdjustment($W51)),"",_xll.qlFuturesRateHelperConvexityAdjustment($W51)),_xll.qlSwapRateHelperSpread($W51))</f>
        <v/>
      </c>
      <c r="AA51" s="164" t="str">
        <f>IFERROR(_xll.qlRateHelperEarliestDate(W51,Trigger),"")</f>
        <v/>
      </c>
      <c r="AB51" s="164" t="str">
        <f>IFERROR(_xll.qlRateHelperPillarDate(W51,Trigger),"")</f>
        <v/>
      </c>
      <c r="AC51" s="257" t="e">
        <v>#N/A</v>
      </c>
    </row>
    <row r="52" spans="1:29" ht="11.25" customHeight="1" x14ac:dyDescent="0.2">
      <c r="A52" s="62" t="s">
        <v>120</v>
      </c>
      <c r="B52" s="63" t="s">
        <v>53</v>
      </c>
      <c r="C52" s="64" t="s">
        <v>6</v>
      </c>
      <c r="D52" s="64" t="s">
        <v>147</v>
      </c>
      <c r="E52" s="64" t="s">
        <v>7</v>
      </c>
      <c r="F52" s="64" t="s">
        <v>148</v>
      </c>
      <c r="G52" s="64" t="str">
        <f t="shared" si="14"/>
        <v>GbpLibor1Y</v>
      </c>
      <c r="H52" s="62" t="str">
        <f t="shared" si="15"/>
        <v>GBPSB6L3Y_S6L12L_Quote</v>
      </c>
      <c r="I52" s="130">
        <v>0</v>
      </c>
      <c r="J52" s="67" t="str">
        <f>_xll.qlSwapRateHelper2(,H52,0,B52,Calendar,+D52,E52,F52,G52,I52,C52,Discounting,PillarDate,,Permanent,Trigger,ObjectOverwrite)</f>
        <v>obj_0029d#0001</v>
      </c>
      <c r="L52" s="10" t="str">
        <f t="shared" si="12"/>
        <v>BasSw</v>
      </c>
      <c r="M52" s="95" t="str">
        <f t="shared" si="13"/>
        <v>obj_00285#0001</v>
      </c>
      <c r="N52" s="149" t="str">
        <f>IFERROR(_xll.qlRateHelperQuoteName(M52,Trigger),"--")</f>
        <v>GBPSB6L7Y_S6L12L_Quote</v>
      </c>
      <c r="O52" s="99">
        <f>IFERROR(_xll.qlRateHelperQuoteValue($M52,Trigger),"--")</f>
        <v>1.8459999999964772E-2</v>
      </c>
      <c r="P52" s="98" t="b">
        <v>1</v>
      </c>
      <c r="Q52" s="95">
        <v>40</v>
      </c>
      <c r="R52" s="95">
        <v>1</v>
      </c>
      <c r="S52" s="100">
        <f>IFERROR(_xll.qlRateHelperEarliestDate(M52,Trigger),"--")</f>
        <v>42275</v>
      </c>
      <c r="T52" s="100">
        <f>IFERROR(_xll.qlRateHelperPillarDate(M52,Trigger),"--")</f>
        <v>44832</v>
      </c>
      <c r="V52" s="163" t="str">
        <f t="shared" si="4"/>
        <v/>
      </c>
      <c r="W52" s="163" t="e">
        <v>#N/A</v>
      </c>
      <c r="X52" s="163" t="str">
        <f>IFERROR(_xll.qlRateHelperQuoteName(W52,Trigger),"")</f>
        <v/>
      </c>
      <c r="Y52" s="197" t="str">
        <f>IFERROR(_xll.qlRateHelperRate(W52,Trigger),"")</f>
        <v/>
      </c>
      <c r="Z52" s="198" t="str">
        <f>IF(ISERROR(_xll.qlSwapRateHelperSpread($W52)),IF(ISERROR(_xll.qlFuturesRateHelperConvexityAdjustment($W52)),"",_xll.qlFuturesRateHelperConvexityAdjustment($W52)),_xll.qlSwapRateHelperSpread($W52))</f>
        <v/>
      </c>
      <c r="AA52" s="164" t="str">
        <f>IFERROR(_xll.qlRateHelperEarliestDate(W52,Trigger),"")</f>
        <v/>
      </c>
      <c r="AB52" s="164" t="str">
        <f>IFERROR(_xll.qlRateHelperPillarDate(W52,Trigger),"")</f>
        <v/>
      </c>
      <c r="AC52" s="257" t="e">
        <v>#N/A</v>
      </c>
    </row>
    <row r="53" spans="1:29" ht="11.25" customHeight="1" x14ac:dyDescent="0.2">
      <c r="A53" s="62" t="s">
        <v>120</v>
      </c>
      <c r="B53" s="63" t="s">
        <v>54</v>
      </c>
      <c r="C53" s="64" t="s">
        <v>6</v>
      </c>
      <c r="D53" s="64" t="s">
        <v>147</v>
      </c>
      <c r="E53" s="64" t="s">
        <v>7</v>
      </c>
      <c r="F53" s="64" t="s">
        <v>148</v>
      </c>
      <c r="G53" s="64" t="str">
        <f t="shared" si="14"/>
        <v>GbpLibor1Y</v>
      </c>
      <c r="H53" s="62" t="str">
        <f t="shared" si="15"/>
        <v>GBPSB6L4Y_S6L12L_Quote</v>
      </c>
      <c r="I53" s="130">
        <v>0</v>
      </c>
      <c r="J53" s="67" t="str">
        <f>_xll.qlSwapRateHelper2(,H53,0,B53,Calendar,+D53,E53,F53,G53,I53,C53,Discounting,PillarDate,,Permanent,Trigger,ObjectOverwrite)</f>
        <v>obj_0028b#0001</v>
      </c>
      <c r="L53" s="10" t="str">
        <f t="shared" si="12"/>
        <v>BasSw</v>
      </c>
      <c r="M53" s="95" t="str">
        <f t="shared" si="13"/>
        <v>obj_00292#0001</v>
      </c>
      <c r="N53" s="149" t="str">
        <f>IFERROR(_xll.qlRateHelperQuoteName(M53,Trigger),"--")</f>
        <v>GBPSB6L8Y_S6L12L_Quote</v>
      </c>
      <c r="O53" s="99">
        <f>IFERROR(_xll.qlRateHelperQuoteValue($M53,Trigger),"--")</f>
        <v>1.9198000000027381E-2</v>
      </c>
      <c r="P53" s="98" t="b">
        <v>1</v>
      </c>
      <c r="Q53" s="95">
        <v>40</v>
      </c>
      <c r="R53" s="95">
        <v>1</v>
      </c>
      <c r="S53" s="100">
        <f>IFERROR(_xll.qlRateHelperEarliestDate(M53,Trigger),"--")</f>
        <v>42275</v>
      </c>
      <c r="T53" s="100">
        <f>IFERROR(_xll.qlRateHelperPillarDate(M53,Trigger),"--")</f>
        <v>45197</v>
      </c>
      <c r="V53" s="163" t="str">
        <f t="shared" si="4"/>
        <v/>
      </c>
      <c r="W53" s="163" t="e">
        <v>#N/A</v>
      </c>
      <c r="X53" s="163" t="str">
        <f>IFERROR(_xll.qlRateHelperQuoteName(W53,Trigger),"")</f>
        <v/>
      </c>
      <c r="Y53" s="197" t="str">
        <f>IFERROR(_xll.qlRateHelperRate(W53,Trigger),"")</f>
        <v/>
      </c>
      <c r="Z53" s="198" t="str">
        <f>IF(ISERROR(_xll.qlSwapRateHelperSpread($W53)),IF(ISERROR(_xll.qlFuturesRateHelperConvexityAdjustment($W53)),"",_xll.qlFuturesRateHelperConvexityAdjustment($W53)),_xll.qlSwapRateHelperSpread($W53))</f>
        <v/>
      </c>
      <c r="AA53" s="164" t="str">
        <f>IFERROR(_xll.qlRateHelperEarliestDate(W53,Trigger),"")</f>
        <v/>
      </c>
      <c r="AB53" s="164" t="str">
        <f>IFERROR(_xll.qlRateHelperPillarDate(W53,Trigger),"")</f>
        <v/>
      </c>
      <c r="AC53" s="257" t="e">
        <v>#N/A</v>
      </c>
    </row>
    <row r="54" spans="1:29" ht="11.25" customHeight="1" x14ac:dyDescent="0.2">
      <c r="A54" s="62" t="s">
        <v>120</v>
      </c>
      <c r="B54" s="63" t="s">
        <v>55</v>
      </c>
      <c r="C54" s="64" t="s">
        <v>6</v>
      </c>
      <c r="D54" s="64" t="s">
        <v>147</v>
      </c>
      <c r="E54" s="64" t="s">
        <v>7</v>
      </c>
      <c r="F54" s="64" t="s">
        <v>148</v>
      </c>
      <c r="G54" s="64" t="str">
        <f t="shared" si="14"/>
        <v>GbpLibor1Y</v>
      </c>
      <c r="H54" s="62" t="str">
        <f t="shared" si="15"/>
        <v>GBPSB6L5Y_S6L12L_Quote</v>
      </c>
      <c r="I54" s="130">
        <v>0</v>
      </c>
      <c r="J54" s="67" t="str">
        <f>_xll.qlSwapRateHelper2(,H54,0,B54,Calendar,+D54,E54,F54,G54,I54,C54,Discounting,PillarDate,,Permanent,Trigger,ObjectOverwrite)</f>
        <v>obj_00291#0001</v>
      </c>
      <c r="L54" s="10" t="str">
        <f t="shared" si="12"/>
        <v>BasSw</v>
      </c>
      <c r="M54" s="95" t="str">
        <f t="shared" si="13"/>
        <v>obj_00280#0001</v>
      </c>
      <c r="N54" s="149" t="str">
        <f>IFERROR(_xll.qlRateHelperQuoteName(M54,Trigger),"--")</f>
        <v>GBPSB6L9Y_S6L12L_Quote</v>
      </c>
      <c r="O54" s="99">
        <f>IFERROR(_xll.qlRateHelperQuoteValue($M54,Trigger),"--")</f>
        <v>1.9802999999939046E-2</v>
      </c>
      <c r="P54" s="98" t="b">
        <v>1</v>
      </c>
      <c r="Q54" s="95">
        <v>40</v>
      </c>
      <c r="R54" s="95">
        <v>1</v>
      </c>
      <c r="S54" s="100">
        <f>IFERROR(_xll.qlRateHelperEarliestDate(M54,Trigger),"--")</f>
        <v>42275</v>
      </c>
      <c r="T54" s="100">
        <f>IFERROR(_xll.qlRateHelperPillarDate(M54,Trigger),"--")</f>
        <v>45565</v>
      </c>
      <c r="V54" s="163" t="str">
        <f t="shared" si="4"/>
        <v/>
      </c>
      <c r="W54" s="163" t="e">
        <v>#N/A</v>
      </c>
      <c r="X54" s="163" t="str">
        <f>IFERROR(_xll.qlRateHelperQuoteName(W54,Trigger),"")</f>
        <v/>
      </c>
      <c r="Y54" s="197" t="str">
        <f>IFERROR(_xll.qlRateHelperRate(W54,Trigger),"")</f>
        <v/>
      </c>
      <c r="Z54" s="198" t="str">
        <f>IF(ISERROR(_xll.qlSwapRateHelperSpread($W54)),IF(ISERROR(_xll.qlFuturesRateHelperConvexityAdjustment($W54)),"",_xll.qlFuturesRateHelperConvexityAdjustment($W54)),_xll.qlSwapRateHelperSpread($W54))</f>
        <v/>
      </c>
      <c r="AA54" s="164" t="str">
        <f>IFERROR(_xll.qlRateHelperEarliestDate(W54,Trigger),"")</f>
        <v/>
      </c>
      <c r="AB54" s="164" t="str">
        <f>IFERROR(_xll.qlRateHelperPillarDate(W54,Trigger),"")</f>
        <v/>
      </c>
      <c r="AC54" s="257" t="e">
        <v>#N/A</v>
      </c>
    </row>
    <row r="55" spans="1:29" ht="11.25" customHeight="1" x14ac:dyDescent="0.2">
      <c r="A55" s="62" t="s">
        <v>120</v>
      </c>
      <c r="B55" s="63" t="s">
        <v>56</v>
      </c>
      <c r="C55" s="64" t="s">
        <v>6</v>
      </c>
      <c r="D55" s="64" t="s">
        <v>147</v>
      </c>
      <c r="E55" s="64" t="s">
        <v>7</v>
      </c>
      <c r="F55" s="64" t="s">
        <v>148</v>
      </c>
      <c r="G55" s="64" t="str">
        <f t="shared" si="14"/>
        <v>GbpLibor1Y</v>
      </c>
      <c r="H55" s="62" t="str">
        <f t="shared" si="15"/>
        <v>GBPSB6L6Y_S6L12L_Quote</v>
      </c>
      <c r="I55" s="130">
        <v>0</v>
      </c>
      <c r="J55" s="67" t="str">
        <f>_xll.qlSwapRateHelper2(,H55,0,B55,Calendar,+D55,E55,F55,G55,I55,C55,Discounting,PillarDate,,Permanent,Trigger,ObjectOverwrite)</f>
        <v>obj_0027f#0001</v>
      </c>
      <c r="L55" s="10" t="str">
        <f t="shared" si="12"/>
        <v>BasSw</v>
      </c>
      <c r="M55" s="95" t="str">
        <f t="shared" si="13"/>
        <v>obj_0028a#0001</v>
      </c>
      <c r="N55" s="149" t="str">
        <f>IFERROR(_xll.qlRateHelperQuoteName(M55,Trigger),"--")</f>
        <v>GBPSB6L10Y_S6L12L_Quote</v>
      </c>
      <c r="O55" s="99">
        <f>IFERROR(_xll.qlRateHelperQuoteValue($M55,Trigger),"--")</f>
        <v>2.0320000000128673E-2</v>
      </c>
      <c r="P55" s="98" t="b">
        <v>1</v>
      </c>
      <c r="Q55" s="95">
        <v>40</v>
      </c>
      <c r="R55" s="95">
        <v>1</v>
      </c>
      <c r="S55" s="100">
        <f>IFERROR(_xll.qlRateHelperEarliestDate(M55,Trigger),"--")</f>
        <v>42275</v>
      </c>
      <c r="T55" s="100">
        <f>IFERROR(_xll.qlRateHelperPillarDate(M55,Trigger),"--")</f>
        <v>45929</v>
      </c>
      <c r="V55" s="163" t="str">
        <f t="shared" si="4"/>
        <v/>
      </c>
      <c r="W55" s="163" t="e">
        <v>#N/A</v>
      </c>
      <c r="X55" s="163" t="str">
        <f>IFERROR(_xll.qlRateHelperQuoteName(W55,Trigger),"")</f>
        <v/>
      </c>
      <c r="Y55" s="197" t="str">
        <f>IFERROR(_xll.qlRateHelperRate(W55,Trigger),"")</f>
        <v/>
      </c>
      <c r="Z55" s="198" t="str">
        <f>IF(ISERROR(_xll.qlSwapRateHelperSpread($W55)),IF(ISERROR(_xll.qlFuturesRateHelperConvexityAdjustment($W55)),"",_xll.qlFuturesRateHelperConvexityAdjustment($W55)),_xll.qlSwapRateHelperSpread($W55))</f>
        <v/>
      </c>
      <c r="AA55" s="164" t="str">
        <f>IFERROR(_xll.qlRateHelperEarliestDate(W55,Trigger),"")</f>
        <v/>
      </c>
      <c r="AB55" s="164" t="str">
        <f>IFERROR(_xll.qlRateHelperPillarDate(W55,Trigger),"")</f>
        <v/>
      </c>
      <c r="AC55" s="257" t="e">
        <v>#N/A</v>
      </c>
    </row>
    <row r="56" spans="1:29" ht="11.25" customHeight="1" x14ac:dyDescent="0.2">
      <c r="A56" s="62" t="s">
        <v>120</v>
      </c>
      <c r="B56" s="63" t="s">
        <v>57</v>
      </c>
      <c r="C56" s="64" t="s">
        <v>6</v>
      </c>
      <c r="D56" s="64" t="s">
        <v>147</v>
      </c>
      <c r="E56" s="64" t="s">
        <v>7</v>
      </c>
      <c r="F56" s="64" t="s">
        <v>148</v>
      </c>
      <c r="G56" s="64" t="str">
        <f t="shared" si="14"/>
        <v>GbpLibor1Y</v>
      </c>
      <c r="H56" s="62" t="str">
        <f t="shared" si="15"/>
        <v>GBPSB6L7Y_S6L12L_Quote</v>
      </c>
      <c r="I56" s="130">
        <v>0</v>
      </c>
      <c r="J56" s="67" t="str">
        <f>_xll.qlSwapRateHelper2(,H56,0,B56,Calendar,+D56,E56,F56,G56,I56,C56,Discounting,PillarDate,,Permanent,Trigger,ObjectOverwrite)</f>
        <v>obj_00285#0001</v>
      </c>
      <c r="L56" s="10" t="str">
        <f t="shared" si="12"/>
        <v>BasSw</v>
      </c>
      <c r="M56" s="95" t="str">
        <f t="shared" si="13"/>
        <v>obj_0028f#0001</v>
      </c>
      <c r="N56" s="149" t="str">
        <f>IFERROR(_xll.qlRateHelperQuoteName(M56,Trigger),"--")</f>
        <v>GBPSB6L11Y_S6L12L_Quote</v>
      </c>
      <c r="O56" s="99" t="str">
        <f>IFERROR(_xll.qlRateHelperQuoteValue($M56,Trigger),"--")</f>
        <v>--</v>
      </c>
      <c r="P56" s="98" t="b">
        <v>0</v>
      </c>
      <c r="Q56" s="95">
        <v>40</v>
      </c>
      <c r="R56" s="95">
        <v>1</v>
      </c>
      <c r="S56" s="100">
        <f>IFERROR(_xll.qlRateHelperEarliestDate(M56,Trigger),"--")</f>
        <v>42275</v>
      </c>
      <c r="T56" s="100">
        <f>IFERROR(_xll.qlRateHelperPillarDate(M56,Trigger),"--")</f>
        <v>46293</v>
      </c>
      <c r="V56" s="163" t="str">
        <f t="shared" si="4"/>
        <v/>
      </c>
      <c r="W56" s="163" t="e">
        <v>#N/A</v>
      </c>
      <c r="X56" s="163" t="str">
        <f>IFERROR(_xll.qlRateHelperQuoteName(W56,Trigger),"")</f>
        <v/>
      </c>
      <c r="Y56" s="197" t="str">
        <f>IFERROR(_xll.qlRateHelperRate(W56,Trigger),"")</f>
        <v/>
      </c>
      <c r="Z56" s="198" t="str">
        <f>IF(ISERROR(_xll.qlSwapRateHelperSpread($W56)),IF(ISERROR(_xll.qlFuturesRateHelperConvexityAdjustment($W56)),"",_xll.qlFuturesRateHelperConvexityAdjustment($W56)),_xll.qlSwapRateHelperSpread($W56))</f>
        <v/>
      </c>
      <c r="AA56" s="164" t="str">
        <f>IFERROR(_xll.qlRateHelperEarliestDate(W56,Trigger),"")</f>
        <v/>
      </c>
      <c r="AB56" s="164" t="str">
        <f>IFERROR(_xll.qlRateHelperPillarDate(W56,Trigger),"")</f>
        <v/>
      </c>
      <c r="AC56" s="257" t="e">
        <v>#N/A</v>
      </c>
    </row>
    <row r="57" spans="1:29" ht="11.25" customHeight="1" x14ac:dyDescent="0.2">
      <c r="A57" s="62" t="s">
        <v>120</v>
      </c>
      <c r="B57" s="63" t="s">
        <v>58</v>
      </c>
      <c r="C57" s="64" t="s">
        <v>6</v>
      </c>
      <c r="D57" s="64" t="s">
        <v>147</v>
      </c>
      <c r="E57" s="64" t="s">
        <v>7</v>
      </c>
      <c r="F57" s="64" t="s">
        <v>148</v>
      </c>
      <c r="G57" s="64" t="str">
        <f t="shared" si="14"/>
        <v>GbpLibor1Y</v>
      </c>
      <c r="H57" s="62" t="str">
        <f t="shared" si="15"/>
        <v>GBPSB6L8Y_S6L12L_Quote</v>
      </c>
      <c r="I57" s="130">
        <v>0</v>
      </c>
      <c r="J57" s="67" t="str">
        <f>_xll.qlSwapRateHelper2(,H57,0,B57,Calendar,+D57,E57,F57,G57,I57,C57,Discounting,PillarDate,,Permanent,Trigger,ObjectOverwrite)</f>
        <v>obj_00292#0001</v>
      </c>
      <c r="L57" s="10" t="str">
        <f t="shared" si="12"/>
        <v>BasSw</v>
      </c>
      <c r="M57" s="95" t="str">
        <f t="shared" si="13"/>
        <v>obj_00295#0001</v>
      </c>
      <c r="N57" s="149" t="str">
        <f>IFERROR(_xll.qlRateHelperQuoteName(M57,Trigger),"--")</f>
        <v>GBPSB6L12Y_S6L12L_Quote</v>
      </c>
      <c r="O57" s="99">
        <f>IFERROR(_xll.qlRateHelperQuoteValue($M57,Trigger),"--")</f>
        <v>2.111500000000029E-2</v>
      </c>
      <c r="P57" s="98" t="b">
        <v>1</v>
      </c>
      <c r="Q57" s="95">
        <v>40</v>
      </c>
      <c r="R57" s="95">
        <v>1</v>
      </c>
      <c r="S57" s="100">
        <f>IFERROR(_xll.qlRateHelperEarliestDate(M57,Trigger),"--")</f>
        <v>42275</v>
      </c>
      <c r="T57" s="100">
        <f>IFERROR(_xll.qlRateHelperPillarDate(M57,Trigger),"--")</f>
        <v>46658</v>
      </c>
      <c r="V57" s="163" t="str">
        <f t="shared" si="4"/>
        <v/>
      </c>
      <c r="W57" s="163" t="e">
        <v>#N/A</v>
      </c>
      <c r="X57" s="163" t="str">
        <f>IFERROR(_xll.qlRateHelperQuoteName(W57,Trigger),"")</f>
        <v/>
      </c>
      <c r="Y57" s="197" t="str">
        <f>IFERROR(_xll.qlRateHelperRate(W57,Trigger),"")</f>
        <v/>
      </c>
      <c r="Z57" s="198" t="str">
        <f>IF(ISERROR(_xll.qlSwapRateHelperSpread($W57)),IF(ISERROR(_xll.qlFuturesRateHelperConvexityAdjustment($W57)),"",_xll.qlFuturesRateHelperConvexityAdjustment($W57)),_xll.qlSwapRateHelperSpread($W57))</f>
        <v/>
      </c>
      <c r="AA57" s="164" t="str">
        <f>IFERROR(_xll.qlRateHelperEarliestDate(W57,Trigger),"")</f>
        <v/>
      </c>
      <c r="AB57" s="164" t="str">
        <f>IFERROR(_xll.qlRateHelperPillarDate(W57,Trigger),"")</f>
        <v/>
      </c>
      <c r="AC57" s="257" t="e">
        <v>#N/A</v>
      </c>
    </row>
    <row r="58" spans="1:29" ht="11.25" customHeight="1" x14ac:dyDescent="0.2">
      <c r="A58" s="62" t="s">
        <v>120</v>
      </c>
      <c r="B58" s="63" t="s">
        <v>59</v>
      </c>
      <c r="C58" s="64" t="s">
        <v>6</v>
      </c>
      <c r="D58" s="64" t="s">
        <v>147</v>
      </c>
      <c r="E58" s="64" t="s">
        <v>7</v>
      </c>
      <c r="F58" s="64" t="s">
        <v>148</v>
      </c>
      <c r="G58" s="64" t="str">
        <f t="shared" si="14"/>
        <v>GbpLibor1Y</v>
      </c>
      <c r="H58" s="62" t="str">
        <f t="shared" si="15"/>
        <v>GBPSB6L9Y_S6L12L_Quote</v>
      </c>
      <c r="I58" s="130">
        <v>0</v>
      </c>
      <c r="J58" s="67" t="str">
        <f>_xll.qlSwapRateHelper2(,H58,0,B58,Calendar,+D58,E58,F58,G58,I58,C58,Discounting,PillarDate,,Permanent,Trigger,ObjectOverwrite)</f>
        <v>obj_00280#0001</v>
      </c>
      <c r="L58" s="10" t="str">
        <f t="shared" si="12"/>
        <v>BasSw</v>
      </c>
      <c r="M58" s="95" t="str">
        <f t="shared" si="13"/>
        <v>obj_00283#0001</v>
      </c>
      <c r="N58" s="149" t="str">
        <f>IFERROR(_xll.qlRateHelperQuoteName(M58,Trigger),"--")</f>
        <v>GBPSB6L13Y_S6L12L_Quote</v>
      </c>
      <c r="O58" s="99" t="str">
        <f>IFERROR(_xll.qlRateHelperQuoteValue($M58,Trigger),"--")</f>
        <v>--</v>
      </c>
      <c r="P58" s="98" t="b">
        <v>0</v>
      </c>
      <c r="Q58" s="95">
        <v>40</v>
      </c>
      <c r="R58" s="95">
        <v>1</v>
      </c>
      <c r="S58" s="100">
        <f>IFERROR(_xll.qlRateHelperEarliestDate(M58,Trigger),"--")</f>
        <v>42275</v>
      </c>
      <c r="T58" s="100">
        <f>IFERROR(_xll.qlRateHelperPillarDate(M58,Trigger),"--")</f>
        <v>47024</v>
      </c>
      <c r="V58" s="163" t="str">
        <f t="shared" si="4"/>
        <v/>
      </c>
      <c r="W58" s="163" t="e">
        <v>#N/A</v>
      </c>
      <c r="X58" s="163" t="str">
        <f>IFERROR(_xll.qlRateHelperQuoteName(W58,Trigger),"")</f>
        <v/>
      </c>
      <c r="Y58" s="197" t="str">
        <f>IFERROR(_xll.qlRateHelperRate(W58,Trigger),"")</f>
        <v/>
      </c>
      <c r="Z58" s="198" t="str">
        <f>IF(ISERROR(_xll.qlSwapRateHelperSpread($W58)),IF(ISERROR(_xll.qlFuturesRateHelperConvexityAdjustment($W58)),"",_xll.qlFuturesRateHelperConvexityAdjustment($W58)),_xll.qlSwapRateHelperSpread($W58))</f>
        <v/>
      </c>
      <c r="AA58" s="164" t="str">
        <f>IFERROR(_xll.qlRateHelperEarliestDate(W58,Trigger),"")</f>
        <v/>
      </c>
      <c r="AB58" s="164" t="str">
        <f>IFERROR(_xll.qlRateHelperPillarDate(W58,Trigger),"")</f>
        <v/>
      </c>
      <c r="AC58" s="257" t="e">
        <v>#N/A</v>
      </c>
    </row>
    <row r="59" spans="1:29" ht="11.25" customHeight="1" x14ac:dyDescent="0.2">
      <c r="A59" s="62" t="s">
        <v>120</v>
      </c>
      <c r="B59" s="63" t="s">
        <v>60</v>
      </c>
      <c r="C59" s="64" t="s">
        <v>6</v>
      </c>
      <c r="D59" s="64" t="s">
        <v>147</v>
      </c>
      <c r="E59" s="64" t="s">
        <v>7</v>
      </c>
      <c r="F59" s="64" t="s">
        <v>148</v>
      </c>
      <c r="G59" s="64" t="str">
        <f t="shared" si="14"/>
        <v>GbpLibor1Y</v>
      </c>
      <c r="H59" s="62" t="str">
        <f t="shared" si="15"/>
        <v>GBPSB6L10Y_S6L12L_Quote</v>
      </c>
      <c r="I59" s="130">
        <v>0</v>
      </c>
      <c r="J59" s="67" t="str">
        <f>_xll.qlSwapRateHelper2(,H59,0,B59,Calendar,+D59,E59,F59,G59,I59,C59,Discounting,PillarDate,,Permanent,Trigger,ObjectOverwrite)</f>
        <v>obj_0028a#0001</v>
      </c>
      <c r="L59" s="10" t="str">
        <f t="shared" si="12"/>
        <v>BasSw</v>
      </c>
      <c r="M59" s="95" t="str">
        <f t="shared" si="13"/>
        <v>obj_00289#0001</v>
      </c>
      <c r="N59" s="149" t="str">
        <f>IFERROR(_xll.qlRateHelperQuoteName(M59,Trigger),"--")</f>
        <v>GBPSB6L14Y_S6L12L_Quote</v>
      </c>
      <c r="O59" s="99" t="str">
        <f>IFERROR(_xll.qlRateHelperQuoteValue($M59,Trigger),"--")</f>
        <v>--</v>
      </c>
      <c r="P59" s="98" t="b">
        <v>0</v>
      </c>
      <c r="Q59" s="95">
        <v>40</v>
      </c>
      <c r="R59" s="95">
        <v>1</v>
      </c>
      <c r="S59" s="100">
        <f>IFERROR(_xll.qlRateHelperEarliestDate(M59,Trigger),"--")</f>
        <v>42275</v>
      </c>
      <c r="T59" s="100">
        <f>IFERROR(_xll.qlRateHelperPillarDate(M59,Trigger),"--")</f>
        <v>47389</v>
      </c>
      <c r="V59" s="163" t="str">
        <f t="shared" si="4"/>
        <v/>
      </c>
      <c r="W59" s="163" t="e">
        <v>#N/A</v>
      </c>
      <c r="X59" s="163" t="str">
        <f>IFERROR(_xll.qlRateHelperQuoteName(W59,Trigger),"")</f>
        <v/>
      </c>
      <c r="Y59" s="197" t="str">
        <f>IFERROR(_xll.qlRateHelperRate(W59,Trigger),"")</f>
        <v/>
      </c>
      <c r="Z59" s="198" t="str">
        <f>IF(ISERROR(_xll.qlSwapRateHelperSpread($W59)),IF(ISERROR(_xll.qlFuturesRateHelperConvexityAdjustment($W59)),"",_xll.qlFuturesRateHelperConvexityAdjustment($W59)),_xll.qlSwapRateHelperSpread($W59))</f>
        <v/>
      </c>
      <c r="AA59" s="164" t="str">
        <f>IFERROR(_xll.qlRateHelperEarliestDate(W59,Trigger),"")</f>
        <v/>
      </c>
      <c r="AB59" s="164" t="str">
        <f>IFERROR(_xll.qlRateHelperPillarDate(W59,Trigger),"")</f>
        <v/>
      </c>
      <c r="AC59" s="257" t="e">
        <v>#N/A</v>
      </c>
    </row>
    <row r="60" spans="1:29" ht="11.25" customHeight="1" x14ac:dyDescent="0.2">
      <c r="A60" s="62" t="s">
        <v>120</v>
      </c>
      <c r="B60" s="63" t="s">
        <v>102</v>
      </c>
      <c r="C60" s="64" t="s">
        <v>6</v>
      </c>
      <c r="D60" s="64" t="s">
        <v>147</v>
      </c>
      <c r="E60" s="64" t="s">
        <v>7</v>
      </c>
      <c r="F60" s="64" t="s">
        <v>148</v>
      </c>
      <c r="G60" s="64" t="str">
        <f t="shared" si="14"/>
        <v>GbpLibor1Y</v>
      </c>
      <c r="H60" s="62" t="str">
        <f t="shared" si="15"/>
        <v>GBPSB6L11Y_S6L12L_Quote</v>
      </c>
      <c r="I60" s="130">
        <v>0</v>
      </c>
      <c r="J60" s="67" t="str">
        <f>_xll.qlSwapRateHelper2(,H60,0,B60,Calendar,+D60,E60,F60,G60,I60,C60,Discounting,PillarDate,,Permanent,Trigger,ObjectOverwrite)</f>
        <v>obj_0028f#0001</v>
      </c>
      <c r="L60" s="10" t="str">
        <f t="shared" si="12"/>
        <v>BasSw</v>
      </c>
      <c r="M60" s="95" t="str">
        <f t="shared" si="13"/>
        <v>obj_0028c#0001</v>
      </c>
      <c r="N60" s="149" t="str">
        <f>IFERROR(_xll.qlRateHelperQuoteName(M60,Trigger),"--")</f>
        <v>GBPSB6L15Y_S6L12L_Quote</v>
      </c>
      <c r="O60" s="99">
        <f>IFERROR(_xll.qlRateHelperQuoteValue($M60,Trigger),"--")</f>
        <v>2.1877999999832302E-2</v>
      </c>
      <c r="P60" s="98" t="b">
        <v>1</v>
      </c>
      <c r="Q60" s="95">
        <v>40</v>
      </c>
      <c r="R60" s="95">
        <v>1</v>
      </c>
      <c r="S60" s="100">
        <f>IFERROR(_xll.qlRateHelperEarliestDate(M60,Trigger),"--")</f>
        <v>42275</v>
      </c>
      <c r="T60" s="100">
        <f>IFERROR(_xll.qlRateHelperPillarDate(M60,Trigger),"--")</f>
        <v>47756</v>
      </c>
      <c r="V60" s="163" t="str">
        <f t="shared" si="4"/>
        <v/>
      </c>
      <c r="W60" s="163" t="e">
        <v>#N/A</v>
      </c>
      <c r="X60" s="163" t="str">
        <f>IFERROR(_xll.qlRateHelperQuoteName(W60,Trigger),"")</f>
        <v/>
      </c>
      <c r="Y60" s="197" t="str">
        <f>IFERROR(_xll.qlRateHelperRate(W60,Trigger),"")</f>
        <v/>
      </c>
      <c r="Z60" s="198" t="str">
        <f>IF(ISERROR(_xll.qlSwapRateHelperSpread($W60)),IF(ISERROR(_xll.qlFuturesRateHelperConvexityAdjustment($W60)),"",_xll.qlFuturesRateHelperConvexityAdjustment($W60)),_xll.qlSwapRateHelperSpread($W60))</f>
        <v/>
      </c>
      <c r="AA60" s="164" t="str">
        <f>IFERROR(_xll.qlRateHelperEarliestDate(W60,Trigger),"")</f>
        <v/>
      </c>
      <c r="AB60" s="164" t="str">
        <f>IFERROR(_xll.qlRateHelperPillarDate(W60,Trigger),"")</f>
        <v/>
      </c>
      <c r="AC60" s="257" t="e">
        <v>#N/A</v>
      </c>
    </row>
    <row r="61" spans="1:29" ht="11.25" customHeight="1" x14ac:dyDescent="0.2">
      <c r="A61" s="62" t="s">
        <v>120</v>
      </c>
      <c r="B61" s="63" t="s">
        <v>61</v>
      </c>
      <c r="C61" s="64" t="s">
        <v>6</v>
      </c>
      <c r="D61" s="64" t="s">
        <v>147</v>
      </c>
      <c r="E61" s="64" t="s">
        <v>7</v>
      </c>
      <c r="F61" s="64" t="s">
        <v>148</v>
      </c>
      <c r="G61" s="64" t="str">
        <f t="shared" si="14"/>
        <v>GbpLibor1Y</v>
      </c>
      <c r="H61" s="62" t="str">
        <f t="shared" si="15"/>
        <v>GBPSB6L12Y_S6L12L_Quote</v>
      </c>
      <c r="I61" s="130">
        <v>0</v>
      </c>
      <c r="J61" s="67" t="str">
        <f>_xll.qlSwapRateHelper2(,H61,0,B61,Calendar,+D61,E61,F61,G61,I61,C61,Discounting,PillarDate,,Permanent,Trigger,ObjectOverwrite)</f>
        <v>obj_00295#0001</v>
      </c>
      <c r="L61" s="10" t="str">
        <f t="shared" si="12"/>
        <v>BasSw</v>
      </c>
      <c r="M61" s="95" t="str">
        <f t="shared" si="13"/>
        <v>obj_0028e#0001</v>
      </c>
      <c r="N61" s="149" t="str">
        <f>IFERROR(_xll.qlRateHelperQuoteName(M61,Trigger),"--")</f>
        <v>GBPSB6L16Y_S6L12L_Quote</v>
      </c>
      <c r="O61" s="99" t="str">
        <f>IFERROR(_xll.qlRateHelperQuoteValue($M61,Trigger),"--")</f>
        <v>--</v>
      </c>
      <c r="P61" s="98" t="b">
        <v>0</v>
      </c>
      <c r="Q61" s="95">
        <v>40</v>
      </c>
      <c r="R61" s="95">
        <v>1</v>
      </c>
      <c r="S61" s="100">
        <f>IFERROR(_xll.qlRateHelperEarliestDate(M61,Trigger),"--")</f>
        <v>42275</v>
      </c>
      <c r="T61" s="100">
        <f>IFERROR(_xll.qlRateHelperPillarDate(M61,Trigger),"--")</f>
        <v>48120</v>
      </c>
      <c r="V61" s="163" t="str">
        <f t="shared" si="4"/>
        <v/>
      </c>
      <c r="W61" s="163" t="e">
        <v>#N/A</v>
      </c>
      <c r="X61" s="163" t="str">
        <f>IFERROR(_xll.qlRateHelperQuoteName(W61,Trigger),"")</f>
        <v/>
      </c>
      <c r="Y61" s="197" t="str">
        <f>IFERROR(_xll.qlRateHelperRate(W61,Trigger),"")</f>
        <v/>
      </c>
      <c r="Z61" s="198" t="str">
        <f>IF(ISERROR(_xll.qlSwapRateHelperSpread($W61)),IF(ISERROR(_xll.qlFuturesRateHelperConvexityAdjustment($W61)),"",_xll.qlFuturesRateHelperConvexityAdjustment($W61)),_xll.qlSwapRateHelperSpread($W61))</f>
        <v/>
      </c>
      <c r="AA61" s="164" t="str">
        <f>IFERROR(_xll.qlRateHelperEarliestDate(W61,Trigger),"")</f>
        <v/>
      </c>
      <c r="AB61" s="164" t="str">
        <f>IFERROR(_xll.qlRateHelperPillarDate(W61,Trigger),"")</f>
        <v/>
      </c>
      <c r="AC61" s="257" t="e">
        <v>#N/A</v>
      </c>
    </row>
    <row r="62" spans="1:29" ht="11.25" customHeight="1" x14ac:dyDescent="0.2">
      <c r="A62" s="62" t="s">
        <v>120</v>
      </c>
      <c r="B62" s="63" t="s">
        <v>103</v>
      </c>
      <c r="C62" s="64" t="s">
        <v>6</v>
      </c>
      <c r="D62" s="64" t="s">
        <v>147</v>
      </c>
      <c r="E62" s="64" t="s">
        <v>7</v>
      </c>
      <c r="F62" s="64" t="s">
        <v>148</v>
      </c>
      <c r="G62" s="64" t="str">
        <f t="shared" si="14"/>
        <v>GbpLibor1Y</v>
      </c>
      <c r="H62" s="62" t="str">
        <f t="shared" si="15"/>
        <v>GBPSB6L13Y_S6L12L_Quote</v>
      </c>
      <c r="I62" s="130">
        <v>0</v>
      </c>
      <c r="J62" s="67" t="str">
        <f>_xll.qlSwapRateHelper2(,H62,0,B62,Calendar,+D62,E62,F62,G62,I62,C62,Discounting,PillarDate,,Permanent,Trigger,ObjectOverwrite)</f>
        <v>obj_00283#0001</v>
      </c>
      <c r="L62" s="10" t="str">
        <f t="shared" si="12"/>
        <v>BasSw</v>
      </c>
      <c r="M62" s="95" t="str">
        <f t="shared" si="13"/>
        <v>obj_0029b#0001</v>
      </c>
      <c r="N62" s="149" t="str">
        <f>IFERROR(_xll.qlRateHelperQuoteName(M62,Trigger),"--")</f>
        <v>GBPSB6L17Y_S6L12L_Quote</v>
      </c>
      <c r="O62" s="99" t="str">
        <f>IFERROR(_xll.qlRateHelperQuoteValue($M62,Trigger),"--")</f>
        <v>--</v>
      </c>
      <c r="P62" s="98" t="b">
        <v>0</v>
      </c>
      <c r="Q62" s="95">
        <v>40</v>
      </c>
      <c r="R62" s="95">
        <v>1</v>
      </c>
      <c r="S62" s="100">
        <f>IFERROR(_xll.qlRateHelperEarliestDate(M62,Trigger),"--")</f>
        <v>42275</v>
      </c>
      <c r="T62" s="100">
        <f>IFERROR(_xll.qlRateHelperPillarDate(M62,Trigger),"--")</f>
        <v>48485</v>
      </c>
      <c r="V62" s="163" t="str">
        <f t="shared" si="4"/>
        <v/>
      </c>
      <c r="W62" s="163" t="e">
        <v>#N/A</v>
      </c>
      <c r="X62" s="163" t="str">
        <f>IFERROR(_xll.qlRateHelperQuoteName(W62,Trigger),"")</f>
        <v/>
      </c>
      <c r="Y62" s="197" t="str">
        <f>IFERROR(_xll.qlRateHelperRate(W62,Trigger),"")</f>
        <v/>
      </c>
      <c r="Z62" s="198" t="str">
        <f>IF(ISERROR(_xll.qlSwapRateHelperSpread($W62)),IF(ISERROR(_xll.qlFuturesRateHelperConvexityAdjustment($W62)),"",_xll.qlFuturesRateHelperConvexityAdjustment($W62)),_xll.qlSwapRateHelperSpread($W62))</f>
        <v/>
      </c>
      <c r="AA62" s="164" t="str">
        <f>IFERROR(_xll.qlRateHelperEarliestDate(W62,Trigger),"")</f>
        <v/>
      </c>
      <c r="AB62" s="164" t="str">
        <f>IFERROR(_xll.qlRateHelperPillarDate(W62,Trigger),"")</f>
        <v/>
      </c>
      <c r="AC62" s="257" t="e">
        <v>#N/A</v>
      </c>
    </row>
    <row r="63" spans="1:29" ht="11.25" customHeight="1" x14ac:dyDescent="0.2">
      <c r="A63" s="62" t="s">
        <v>120</v>
      </c>
      <c r="B63" s="63" t="s">
        <v>104</v>
      </c>
      <c r="C63" s="64" t="s">
        <v>6</v>
      </c>
      <c r="D63" s="64" t="s">
        <v>147</v>
      </c>
      <c r="E63" s="64" t="s">
        <v>7</v>
      </c>
      <c r="F63" s="64" t="s">
        <v>148</v>
      </c>
      <c r="G63" s="64" t="str">
        <f t="shared" si="14"/>
        <v>GbpLibor1Y</v>
      </c>
      <c r="H63" s="62" t="str">
        <f t="shared" si="15"/>
        <v>GBPSB6L14Y_S6L12L_Quote</v>
      </c>
      <c r="I63" s="130">
        <v>0</v>
      </c>
      <c r="J63" s="67" t="str">
        <f>_xll.qlSwapRateHelper2(,H63,0,B63,Calendar,+D63,E63,F63,G63,I63,C63,Discounting,PillarDate,,Permanent,Trigger,ObjectOverwrite)</f>
        <v>obj_00289#0001</v>
      </c>
      <c r="L63" s="10" t="str">
        <f t="shared" si="12"/>
        <v>BasSw</v>
      </c>
      <c r="M63" s="95" t="str">
        <f t="shared" si="13"/>
        <v>obj_00286#0001</v>
      </c>
      <c r="N63" s="149" t="str">
        <f>IFERROR(_xll.qlRateHelperQuoteName(M63,Trigger),"--")</f>
        <v>GBPSB6L18Y_S6L12L_Quote</v>
      </c>
      <c r="O63" s="99" t="str">
        <f>IFERROR(_xll.qlRateHelperQuoteValue($M63,Trigger),"--")</f>
        <v>--</v>
      </c>
      <c r="P63" s="98" t="b">
        <v>0</v>
      </c>
      <c r="Q63" s="95">
        <v>40</v>
      </c>
      <c r="R63" s="95">
        <v>1</v>
      </c>
      <c r="S63" s="100">
        <f>IFERROR(_xll.qlRateHelperEarliestDate(M63,Trigger),"--")</f>
        <v>42275</v>
      </c>
      <c r="T63" s="100">
        <f>IFERROR(_xll.qlRateHelperPillarDate(M63,Trigger),"--")</f>
        <v>48850</v>
      </c>
      <c r="V63" s="163" t="str">
        <f t="shared" si="4"/>
        <v/>
      </c>
      <c r="W63" s="163" t="e">
        <v>#N/A</v>
      </c>
      <c r="X63" s="163" t="str">
        <f>IFERROR(_xll.qlRateHelperQuoteName(W63,Trigger),"")</f>
        <v/>
      </c>
      <c r="Y63" s="197" t="str">
        <f>IFERROR(_xll.qlRateHelperRate(W63,Trigger),"")</f>
        <v/>
      </c>
      <c r="Z63" s="198" t="str">
        <f>IF(ISERROR(_xll.qlSwapRateHelperSpread($W63)),IF(ISERROR(_xll.qlFuturesRateHelperConvexityAdjustment($W63)),"",_xll.qlFuturesRateHelperConvexityAdjustment($W63)),_xll.qlSwapRateHelperSpread($W63))</f>
        <v/>
      </c>
      <c r="AA63" s="164" t="str">
        <f>IFERROR(_xll.qlRateHelperEarliestDate(W63,Trigger),"")</f>
        <v/>
      </c>
      <c r="AB63" s="164" t="str">
        <f>IFERROR(_xll.qlRateHelperPillarDate(W63,Trigger),"")</f>
        <v/>
      </c>
      <c r="AC63" s="257" t="e">
        <v>#N/A</v>
      </c>
    </row>
    <row r="64" spans="1:29" ht="11.25" customHeight="1" x14ac:dyDescent="0.2">
      <c r="A64" s="62" t="s">
        <v>120</v>
      </c>
      <c r="B64" s="63" t="s">
        <v>62</v>
      </c>
      <c r="C64" s="64" t="s">
        <v>6</v>
      </c>
      <c r="D64" s="64" t="s">
        <v>147</v>
      </c>
      <c r="E64" s="64" t="s">
        <v>7</v>
      </c>
      <c r="F64" s="64" t="s">
        <v>148</v>
      </c>
      <c r="G64" s="64" t="str">
        <f t="shared" si="14"/>
        <v>GbpLibor1Y</v>
      </c>
      <c r="H64" s="62" t="str">
        <f t="shared" si="15"/>
        <v>GBPSB6L15Y_S6L12L_Quote</v>
      </c>
      <c r="I64" s="130">
        <v>0</v>
      </c>
      <c r="J64" s="67" t="str">
        <f>_xll.qlSwapRateHelper2(,H64,0,B64,Calendar,+D64,E64,F64,G64,I64,C64,Discounting,PillarDate,,Permanent,Trigger,ObjectOverwrite)</f>
        <v>obj_0028c#0001</v>
      </c>
      <c r="L64" s="10" t="str">
        <f t="shared" si="12"/>
        <v>BasSw</v>
      </c>
      <c r="M64" s="95" t="str">
        <f t="shared" si="13"/>
        <v>obj_00299#0001</v>
      </c>
      <c r="N64" s="149" t="str">
        <f>IFERROR(_xll.qlRateHelperQuoteName(M64,Trigger),"--")</f>
        <v>GBPSB6L19Y_S6L12L_Quote</v>
      </c>
      <c r="O64" s="99" t="str">
        <f>IFERROR(_xll.qlRateHelperQuoteValue($M64,Trigger),"--")</f>
        <v>--</v>
      </c>
      <c r="P64" s="98" t="b">
        <v>0</v>
      </c>
      <c r="Q64" s="95">
        <v>40</v>
      </c>
      <c r="R64" s="95">
        <v>1</v>
      </c>
      <c r="S64" s="100">
        <f>IFERROR(_xll.qlRateHelperEarliestDate(M64,Trigger),"--")</f>
        <v>42275</v>
      </c>
      <c r="T64" s="100">
        <f>IFERROR(_xll.qlRateHelperPillarDate(M64,Trigger),"--")</f>
        <v>49215</v>
      </c>
      <c r="V64" s="163" t="str">
        <f t="shared" si="4"/>
        <v/>
      </c>
      <c r="W64" s="163" t="e">
        <v>#N/A</v>
      </c>
      <c r="X64" s="163" t="str">
        <f>IFERROR(_xll.qlRateHelperQuoteName(W64,Trigger),"")</f>
        <v/>
      </c>
      <c r="Y64" s="197" t="str">
        <f>IFERROR(_xll.qlRateHelperRate(W64,Trigger),"")</f>
        <v/>
      </c>
      <c r="Z64" s="198" t="str">
        <f>IF(ISERROR(_xll.qlSwapRateHelperSpread($W64)),IF(ISERROR(_xll.qlFuturesRateHelperConvexityAdjustment($W64)),"",_xll.qlFuturesRateHelperConvexityAdjustment($W64)),_xll.qlSwapRateHelperSpread($W64))</f>
        <v/>
      </c>
      <c r="AA64" s="164" t="str">
        <f>IFERROR(_xll.qlRateHelperEarliestDate(W64,Trigger),"")</f>
        <v/>
      </c>
      <c r="AB64" s="164" t="str">
        <f>IFERROR(_xll.qlRateHelperPillarDate(W64,Trigger),"")</f>
        <v/>
      </c>
      <c r="AC64" s="257" t="e">
        <v>#N/A</v>
      </c>
    </row>
    <row r="65" spans="1:29" ht="11.25" customHeight="1" x14ac:dyDescent="0.2">
      <c r="A65" s="62" t="s">
        <v>120</v>
      </c>
      <c r="B65" s="63" t="s">
        <v>105</v>
      </c>
      <c r="C65" s="64" t="s">
        <v>6</v>
      </c>
      <c r="D65" s="64" t="s">
        <v>147</v>
      </c>
      <c r="E65" s="64" t="s">
        <v>7</v>
      </c>
      <c r="F65" s="64" t="s">
        <v>148</v>
      </c>
      <c r="G65" s="64" t="str">
        <f t="shared" si="14"/>
        <v>GbpLibor1Y</v>
      </c>
      <c r="H65" s="62" t="str">
        <f t="shared" si="15"/>
        <v>GBPSB6L16Y_S6L12L_Quote</v>
      </c>
      <c r="I65" s="130">
        <v>0</v>
      </c>
      <c r="J65" s="67" t="str">
        <f>_xll.qlSwapRateHelper2(,H65,0,B65,Calendar,+D65,E65,F65,G65,I65,C65,Discounting,PillarDate,,Permanent,Trigger,ObjectOverwrite)</f>
        <v>obj_0028e#0001</v>
      </c>
      <c r="L65" s="10" t="str">
        <f t="shared" si="12"/>
        <v>BasSw</v>
      </c>
      <c r="M65" s="95" t="str">
        <f t="shared" si="13"/>
        <v>obj_00298#0001</v>
      </c>
      <c r="N65" s="149" t="str">
        <f>IFERROR(_xll.qlRateHelperQuoteName(M65,Trigger),"--")</f>
        <v>GBPSB6L20Y_S6L12L_Quote</v>
      </c>
      <c r="O65" s="99">
        <f>IFERROR(_xll.qlRateHelperQuoteValue($M65,Trigger),"--")</f>
        <v>2.238999999998946E-2</v>
      </c>
      <c r="P65" s="98" t="b">
        <v>1</v>
      </c>
      <c r="Q65" s="95">
        <v>40</v>
      </c>
      <c r="R65" s="95">
        <v>1</v>
      </c>
      <c r="S65" s="100">
        <f>IFERROR(_xll.qlRateHelperEarliestDate(M65,Trigger),"--")</f>
        <v>42275</v>
      </c>
      <c r="T65" s="100">
        <f>IFERROR(_xll.qlRateHelperPillarDate(M65,Trigger),"--")</f>
        <v>49580</v>
      </c>
      <c r="V65" s="163" t="str">
        <f t="shared" si="4"/>
        <v/>
      </c>
      <c r="W65" s="163" t="e">
        <v>#N/A</v>
      </c>
      <c r="X65" s="163" t="str">
        <f>IFERROR(_xll.qlRateHelperQuoteName(W65,Trigger),"")</f>
        <v/>
      </c>
      <c r="Y65" s="197" t="str">
        <f>IFERROR(_xll.qlRateHelperRate(W65,Trigger),"")</f>
        <v/>
      </c>
      <c r="Z65" s="198" t="str">
        <f>IF(ISERROR(_xll.qlSwapRateHelperSpread($W65)),IF(ISERROR(_xll.qlFuturesRateHelperConvexityAdjustment($W65)),"",_xll.qlFuturesRateHelperConvexityAdjustment($W65)),_xll.qlSwapRateHelperSpread($W65))</f>
        <v/>
      </c>
      <c r="AA65" s="164" t="str">
        <f>IFERROR(_xll.qlRateHelperEarliestDate(W65,Trigger),"")</f>
        <v/>
      </c>
      <c r="AB65" s="164" t="str">
        <f>IFERROR(_xll.qlRateHelperPillarDate(W65,Trigger),"")</f>
        <v/>
      </c>
      <c r="AC65" s="257" t="e">
        <v>#N/A</v>
      </c>
    </row>
    <row r="66" spans="1:29" ht="11.25" customHeight="1" x14ac:dyDescent="0.2">
      <c r="A66" s="62" t="s">
        <v>120</v>
      </c>
      <c r="B66" s="63" t="s">
        <v>106</v>
      </c>
      <c r="C66" s="64" t="s">
        <v>6</v>
      </c>
      <c r="D66" s="64" t="s">
        <v>147</v>
      </c>
      <c r="E66" s="64" t="s">
        <v>7</v>
      </c>
      <c r="F66" s="64" t="s">
        <v>148</v>
      </c>
      <c r="G66" s="64" t="str">
        <f t="shared" si="14"/>
        <v>GbpLibor1Y</v>
      </c>
      <c r="H66" s="62" t="str">
        <f t="shared" si="15"/>
        <v>GBPSB6L17Y_S6L12L_Quote</v>
      </c>
      <c r="I66" s="130">
        <v>0</v>
      </c>
      <c r="J66" s="67" t="str">
        <f>_xll.qlSwapRateHelper2(,H66,0,B66,Calendar,+D66,E66,F66,G66,I66,C66,Discounting,PillarDate,,Permanent,Trigger,ObjectOverwrite)</f>
        <v>obj_0029b#0001</v>
      </c>
      <c r="L66" s="10" t="str">
        <f t="shared" si="12"/>
        <v>BasSw</v>
      </c>
      <c r="M66" s="95" t="str">
        <f t="shared" si="13"/>
        <v>obj_0028d#0001</v>
      </c>
      <c r="N66" s="149" t="str">
        <f>IFERROR(_xll.qlRateHelperQuoteName(M66,Trigger),"--")</f>
        <v>GBPSB6L21Y_S6L12L_Quote</v>
      </c>
      <c r="O66" s="99" t="str">
        <f>IFERROR(_xll.qlRateHelperQuoteValue($M66,Trigger),"--")</f>
        <v>--</v>
      </c>
      <c r="P66" s="98" t="b">
        <v>0</v>
      </c>
      <c r="Q66" s="95">
        <v>40</v>
      </c>
      <c r="R66" s="95">
        <v>1</v>
      </c>
      <c r="S66" s="100">
        <f>IFERROR(_xll.qlRateHelperEarliestDate(M66,Trigger),"--")</f>
        <v>42275</v>
      </c>
      <c r="T66" s="100">
        <f>IFERROR(_xll.qlRateHelperPillarDate(M66,Trigger),"--")</f>
        <v>49947</v>
      </c>
      <c r="V66" s="163" t="str">
        <f t="shared" si="4"/>
        <v/>
      </c>
      <c r="W66" s="163" t="e">
        <v>#N/A</v>
      </c>
      <c r="X66" s="163" t="str">
        <f>IFERROR(_xll.qlRateHelperQuoteName(W66,Trigger),"")</f>
        <v/>
      </c>
      <c r="Y66" s="197" t="str">
        <f>IFERROR(_xll.qlRateHelperRate(W66,Trigger),"")</f>
        <v/>
      </c>
      <c r="Z66" s="198" t="str">
        <f>IF(ISERROR(_xll.qlSwapRateHelperSpread($W66)),IF(ISERROR(_xll.qlFuturesRateHelperConvexityAdjustment($W66)),"",_xll.qlFuturesRateHelperConvexityAdjustment($W66)),_xll.qlSwapRateHelperSpread($W66))</f>
        <v/>
      </c>
      <c r="AA66" s="164" t="str">
        <f>IFERROR(_xll.qlRateHelperEarliestDate(W66,Trigger),"")</f>
        <v/>
      </c>
      <c r="AB66" s="164" t="str">
        <f>IFERROR(_xll.qlRateHelperPillarDate(W66,Trigger),"")</f>
        <v/>
      </c>
      <c r="AC66" s="257" t="e">
        <v>#N/A</v>
      </c>
    </row>
    <row r="67" spans="1:29" ht="11.25" customHeight="1" x14ac:dyDescent="0.2">
      <c r="A67" s="62" t="s">
        <v>120</v>
      </c>
      <c r="B67" s="63" t="s">
        <v>107</v>
      </c>
      <c r="C67" s="64" t="s">
        <v>6</v>
      </c>
      <c r="D67" s="64" t="s">
        <v>147</v>
      </c>
      <c r="E67" s="64" t="s">
        <v>7</v>
      </c>
      <c r="F67" s="64" t="s">
        <v>148</v>
      </c>
      <c r="G67" s="64" t="str">
        <f t="shared" si="14"/>
        <v>GbpLibor1Y</v>
      </c>
      <c r="H67" s="62" t="str">
        <f t="shared" si="15"/>
        <v>GBPSB6L18Y_S6L12L_Quote</v>
      </c>
      <c r="I67" s="130">
        <v>0</v>
      </c>
      <c r="J67" s="67" t="str">
        <f>_xll.qlSwapRateHelper2(,H67,0,B67,Calendar,+D67,E67,F67,G67,I67,C67,Discounting,PillarDate,,Permanent,Trigger,ObjectOverwrite)</f>
        <v>obj_00286#0001</v>
      </c>
      <c r="L67" s="10" t="str">
        <f t="shared" si="12"/>
        <v>BasSw</v>
      </c>
      <c r="M67" s="95" t="str">
        <f t="shared" si="13"/>
        <v>obj_00290#0001</v>
      </c>
      <c r="N67" s="149" t="str">
        <f>IFERROR(_xll.qlRateHelperQuoteName(M67,Trigger),"--")</f>
        <v>GBPSB6L22Y_S6L12L_Quote</v>
      </c>
      <c r="O67" s="99" t="str">
        <f>IFERROR(_xll.qlRateHelperQuoteValue($M67,Trigger),"--")</f>
        <v>--</v>
      </c>
      <c r="P67" s="98" t="b">
        <v>0</v>
      </c>
      <c r="Q67" s="95">
        <v>40</v>
      </c>
      <c r="R67" s="95">
        <v>1</v>
      </c>
      <c r="S67" s="100">
        <f>IFERROR(_xll.qlRateHelperEarliestDate(M67,Trigger),"--")</f>
        <v>42275</v>
      </c>
      <c r="T67" s="100">
        <f>IFERROR(_xll.qlRateHelperPillarDate(M67,Trigger),"--")</f>
        <v>50311</v>
      </c>
      <c r="V67" s="163" t="str">
        <f t="shared" si="4"/>
        <v/>
      </c>
      <c r="W67" s="163" t="e">
        <v>#N/A</v>
      </c>
      <c r="X67" s="163" t="str">
        <f>IFERROR(_xll.qlRateHelperQuoteName(W67,Trigger),"")</f>
        <v/>
      </c>
      <c r="Y67" s="197" t="str">
        <f>IFERROR(_xll.qlRateHelperRate(W67,Trigger),"")</f>
        <v/>
      </c>
      <c r="Z67" s="198" t="str">
        <f>IF(ISERROR(_xll.qlSwapRateHelperSpread($W67)),IF(ISERROR(_xll.qlFuturesRateHelperConvexityAdjustment($W67)),"",_xll.qlFuturesRateHelperConvexityAdjustment($W67)),_xll.qlSwapRateHelperSpread($W67))</f>
        <v/>
      </c>
      <c r="AA67" s="164" t="str">
        <f>IFERROR(_xll.qlRateHelperEarliestDate(W67,Trigger),"")</f>
        <v/>
      </c>
      <c r="AB67" s="164" t="str">
        <f>IFERROR(_xll.qlRateHelperPillarDate(W67,Trigger),"")</f>
        <v/>
      </c>
      <c r="AC67" s="257" t="e">
        <v>#N/A</v>
      </c>
    </row>
    <row r="68" spans="1:29" ht="11.25" customHeight="1" x14ac:dyDescent="0.2">
      <c r="A68" s="62" t="s">
        <v>120</v>
      </c>
      <c r="B68" s="63" t="s">
        <v>108</v>
      </c>
      <c r="C68" s="64" t="s">
        <v>6</v>
      </c>
      <c r="D68" s="64" t="s">
        <v>147</v>
      </c>
      <c r="E68" s="64" t="s">
        <v>7</v>
      </c>
      <c r="F68" s="64" t="s">
        <v>148</v>
      </c>
      <c r="G68" s="64" t="str">
        <f t="shared" si="14"/>
        <v>GbpLibor1Y</v>
      </c>
      <c r="H68" s="62" t="str">
        <f t="shared" si="15"/>
        <v>GBPSB6L19Y_S6L12L_Quote</v>
      </c>
      <c r="I68" s="130">
        <v>0</v>
      </c>
      <c r="J68" s="67" t="str">
        <f>_xll.qlSwapRateHelper2(,H68,0,B68,Calendar,+D68,E68,F68,G68,I68,C68,Discounting,PillarDate,,Permanent,Trigger,ObjectOverwrite)</f>
        <v>obj_00299#0001</v>
      </c>
      <c r="L68" s="10" t="str">
        <f t="shared" si="12"/>
        <v>BasSw</v>
      </c>
      <c r="M68" s="95" t="str">
        <f t="shared" si="13"/>
        <v>obj_00296#0001</v>
      </c>
      <c r="N68" s="149" t="str">
        <f>IFERROR(_xll.qlRateHelperQuoteName(M68,Trigger),"--")</f>
        <v>GBPSB6L23Y_S6L12L_Quote</v>
      </c>
      <c r="O68" s="99" t="str">
        <f>IFERROR(_xll.qlRateHelperQuoteValue($M68,Trigger),"--")</f>
        <v>--</v>
      </c>
      <c r="P68" s="98" t="b">
        <v>0</v>
      </c>
      <c r="Q68" s="95">
        <v>40</v>
      </c>
      <c r="R68" s="95">
        <v>1</v>
      </c>
      <c r="S68" s="100">
        <f>IFERROR(_xll.qlRateHelperEarliestDate(M68,Trigger),"--")</f>
        <v>42275</v>
      </c>
      <c r="T68" s="100">
        <f>IFERROR(_xll.qlRateHelperPillarDate(M68,Trigger),"--")</f>
        <v>50676</v>
      </c>
      <c r="V68" s="163" t="str">
        <f t="shared" ref="V68:V79" si="16">IFERROR(INDEX($L$3:$L$79,MATCH(X68,$N$3:$N$79,0),1),"")</f>
        <v/>
      </c>
      <c r="W68" s="163" t="e">
        <v>#N/A</v>
      </c>
      <c r="X68" s="163" t="str">
        <f>IFERROR(_xll.qlRateHelperQuoteName(W68,Trigger),"")</f>
        <v/>
      </c>
      <c r="Y68" s="197" t="str">
        <f>IFERROR(_xll.qlRateHelperRate(W68,Trigger),"")</f>
        <v/>
      </c>
      <c r="Z68" s="198" t="str">
        <f>IF(ISERROR(_xll.qlSwapRateHelperSpread($W68)),IF(ISERROR(_xll.qlFuturesRateHelperConvexityAdjustment($W68)),"",_xll.qlFuturesRateHelperConvexityAdjustment($W68)),_xll.qlSwapRateHelperSpread($W68))</f>
        <v/>
      </c>
      <c r="AA68" s="164" t="str">
        <f>IFERROR(_xll.qlRateHelperEarliestDate(W68,Trigger),"")</f>
        <v/>
      </c>
      <c r="AB68" s="164" t="str">
        <f>IFERROR(_xll.qlRateHelperPillarDate(W68,Trigger),"")</f>
        <v/>
      </c>
      <c r="AC68" s="257" t="e">
        <v>#N/A</v>
      </c>
    </row>
    <row r="69" spans="1:29" ht="11.25" customHeight="1" x14ac:dyDescent="0.2">
      <c r="A69" s="62" t="s">
        <v>120</v>
      </c>
      <c r="B69" s="63" t="s">
        <v>63</v>
      </c>
      <c r="C69" s="64" t="s">
        <v>6</v>
      </c>
      <c r="D69" s="64" t="s">
        <v>147</v>
      </c>
      <c r="E69" s="64" t="s">
        <v>7</v>
      </c>
      <c r="F69" s="64" t="s">
        <v>148</v>
      </c>
      <c r="G69" s="64" t="str">
        <f t="shared" si="14"/>
        <v>GbpLibor1Y</v>
      </c>
      <c r="H69" s="62" t="str">
        <f t="shared" si="15"/>
        <v>GBPSB6L20Y_S6L12L_Quote</v>
      </c>
      <c r="I69" s="130">
        <v>0</v>
      </c>
      <c r="J69" s="67" t="str">
        <f>_xll.qlSwapRateHelper2(,H69,0,B69,Calendar,+D69,E69,F69,G69,I69,C69,Discounting,PillarDate,,Permanent,Trigger,ObjectOverwrite)</f>
        <v>obj_00298#0001</v>
      </c>
      <c r="L69" s="10" t="str">
        <f t="shared" si="12"/>
        <v>BasSw</v>
      </c>
      <c r="M69" s="95" t="str">
        <f t="shared" si="13"/>
        <v>obj_00284#0001</v>
      </c>
      <c r="N69" s="149" t="str">
        <f>IFERROR(_xll.qlRateHelperQuoteName(M69,Trigger),"--")</f>
        <v>GBPSB6L24Y_S6L12L_Quote</v>
      </c>
      <c r="O69" s="99" t="str">
        <f>IFERROR(_xll.qlRateHelperQuoteValue($M69,Trigger),"--")</f>
        <v>--</v>
      </c>
      <c r="P69" s="98" t="b">
        <v>0</v>
      </c>
      <c r="Q69" s="95">
        <v>40</v>
      </c>
      <c r="R69" s="95">
        <v>1</v>
      </c>
      <c r="S69" s="100">
        <f>IFERROR(_xll.qlRateHelperEarliestDate(M69,Trigger),"--")</f>
        <v>42275</v>
      </c>
      <c r="T69" s="100">
        <f>IFERROR(_xll.qlRateHelperPillarDate(M69,Trigger),"--")</f>
        <v>51041</v>
      </c>
      <c r="V69" s="163" t="str">
        <f t="shared" si="16"/>
        <v/>
      </c>
      <c r="W69" s="163" t="e">
        <v>#N/A</v>
      </c>
      <c r="X69" s="163" t="str">
        <f>IFERROR(_xll.qlRateHelperQuoteName(W69,Trigger),"")</f>
        <v/>
      </c>
      <c r="Y69" s="197" t="str">
        <f>IFERROR(_xll.qlRateHelperRate(W69,Trigger),"")</f>
        <v/>
      </c>
      <c r="Z69" s="198" t="str">
        <f>IF(ISERROR(_xll.qlSwapRateHelperSpread($W69)),IF(ISERROR(_xll.qlFuturesRateHelperConvexityAdjustment($W69)),"",_xll.qlFuturesRateHelperConvexityAdjustment($W69)),_xll.qlSwapRateHelperSpread($W69))</f>
        <v/>
      </c>
      <c r="AA69" s="164" t="str">
        <f>IFERROR(_xll.qlRateHelperEarliestDate(W69,Trigger),"")</f>
        <v/>
      </c>
      <c r="AB69" s="164" t="str">
        <f>IFERROR(_xll.qlRateHelperPillarDate(W69,Trigger),"")</f>
        <v/>
      </c>
      <c r="AC69" s="257" t="e">
        <v>#N/A</v>
      </c>
    </row>
    <row r="70" spans="1:29" ht="11.25" customHeight="1" x14ac:dyDescent="0.2">
      <c r="A70" s="62" t="s">
        <v>120</v>
      </c>
      <c r="B70" s="63" t="s">
        <v>109</v>
      </c>
      <c r="C70" s="64" t="s">
        <v>6</v>
      </c>
      <c r="D70" s="64" t="s">
        <v>147</v>
      </c>
      <c r="E70" s="64" t="s">
        <v>7</v>
      </c>
      <c r="F70" s="64" t="s">
        <v>148</v>
      </c>
      <c r="G70" s="64" t="str">
        <f t="shared" si="14"/>
        <v>GbpLibor1Y</v>
      </c>
      <c r="H70" s="62" t="str">
        <f t="shared" si="15"/>
        <v>GBPSB6L21Y_S6L12L_Quote</v>
      </c>
      <c r="I70" s="130">
        <v>0</v>
      </c>
      <c r="J70" s="67" t="str">
        <f>_xll.qlSwapRateHelper2(,H70,0,B70,Calendar,+D70,E70,F70,G70,I70,C70,Discounting,PillarDate,,Permanent,Trigger,ObjectOverwrite)</f>
        <v>obj_0028d#0001</v>
      </c>
      <c r="L70" s="10" t="str">
        <f t="shared" si="12"/>
        <v>BasSw</v>
      </c>
      <c r="M70" s="95" t="str">
        <f t="shared" si="13"/>
        <v>obj_00297#0001</v>
      </c>
      <c r="N70" s="149" t="str">
        <f>IFERROR(_xll.qlRateHelperQuoteName(M70,Trigger),"--")</f>
        <v>GBPSB6L25Y_S6L12L_Quote</v>
      </c>
      <c r="O70" s="99">
        <f>IFERROR(_xll.qlRateHelperQuoteValue($M70,Trigger),"--")</f>
        <v>2.2338000000001267E-2</v>
      </c>
      <c r="P70" s="98" t="b">
        <v>1</v>
      </c>
      <c r="Q70" s="95">
        <v>40</v>
      </c>
      <c r="R70" s="95">
        <v>1</v>
      </c>
      <c r="S70" s="100">
        <f>IFERROR(_xll.qlRateHelperEarliestDate(M70,Trigger),"--")</f>
        <v>42275</v>
      </c>
      <c r="T70" s="100">
        <f>IFERROR(_xll.qlRateHelperPillarDate(M70,Trigger),"--")</f>
        <v>51407</v>
      </c>
      <c r="V70" s="163" t="str">
        <f t="shared" si="16"/>
        <v/>
      </c>
      <c r="W70" s="163" t="e">
        <v>#N/A</v>
      </c>
      <c r="X70" s="163" t="str">
        <f>IFERROR(_xll.qlRateHelperQuoteName(W70,Trigger),"")</f>
        <v/>
      </c>
      <c r="Y70" s="197" t="str">
        <f>IFERROR(_xll.qlRateHelperRate(W70,Trigger),"")</f>
        <v/>
      </c>
      <c r="Z70" s="198" t="str">
        <f>IF(ISERROR(_xll.qlSwapRateHelperSpread($W70)),IF(ISERROR(_xll.qlFuturesRateHelperConvexityAdjustment($W70)),"",_xll.qlFuturesRateHelperConvexityAdjustment($W70)),_xll.qlSwapRateHelperSpread($W70))</f>
        <v/>
      </c>
      <c r="AA70" s="164" t="str">
        <f>IFERROR(_xll.qlRateHelperEarliestDate(W70,Trigger),"")</f>
        <v/>
      </c>
      <c r="AB70" s="164" t="str">
        <f>IFERROR(_xll.qlRateHelperPillarDate(W70,Trigger),"")</f>
        <v/>
      </c>
      <c r="AC70" s="257" t="e">
        <v>#N/A</v>
      </c>
    </row>
    <row r="71" spans="1:29" ht="11.25" customHeight="1" x14ac:dyDescent="0.2">
      <c r="A71" s="62" t="s">
        <v>120</v>
      </c>
      <c r="B71" s="63" t="s">
        <v>110</v>
      </c>
      <c r="C71" s="64" t="s">
        <v>6</v>
      </c>
      <c r="D71" s="64" t="s">
        <v>147</v>
      </c>
      <c r="E71" s="64" t="s">
        <v>7</v>
      </c>
      <c r="F71" s="64" t="s">
        <v>148</v>
      </c>
      <c r="G71" s="64" t="str">
        <f t="shared" si="14"/>
        <v>GbpLibor1Y</v>
      </c>
      <c r="H71" s="62" t="str">
        <f t="shared" si="15"/>
        <v>GBPSB6L22Y_S6L12L_Quote</v>
      </c>
      <c r="I71" s="130">
        <v>0</v>
      </c>
      <c r="J71" s="67" t="str">
        <f>_xll.qlSwapRateHelper2(,H71,0,B71,Calendar,+D71,E71,F71,G71,I71,C71,Discounting,PillarDate,,Permanent,Trigger,ObjectOverwrite)</f>
        <v>obj_00290#0001</v>
      </c>
      <c r="L71" s="10" t="str">
        <f t="shared" si="12"/>
        <v>BasSw</v>
      </c>
      <c r="M71" s="95" t="str">
        <f t="shared" si="13"/>
        <v>obj_00282#0001</v>
      </c>
      <c r="N71" s="149" t="str">
        <f>IFERROR(_xll.qlRateHelperQuoteName(M71,Trigger),"--")</f>
        <v>GBPSB6L26Y_S6L12L_Quote</v>
      </c>
      <c r="O71" s="99" t="str">
        <f>IFERROR(_xll.qlRateHelperQuoteValue($M71,Trigger),"--")</f>
        <v>--</v>
      </c>
      <c r="P71" s="98" t="b">
        <v>0</v>
      </c>
      <c r="Q71" s="95">
        <v>40</v>
      </c>
      <c r="R71" s="95">
        <v>1</v>
      </c>
      <c r="S71" s="100">
        <f>IFERROR(_xll.qlRateHelperEarliestDate(M71,Trigger),"--")</f>
        <v>42275</v>
      </c>
      <c r="T71" s="100">
        <f>IFERROR(_xll.qlRateHelperPillarDate(M71,Trigger),"--")</f>
        <v>51774</v>
      </c>
      <c r="V71" s="163" t="str">
        <f t="shared" si="16"/>
        <v/>
      </c>
      <c r="W71" s="163" t="e">
        <v>#N/A</v>
      </c>
      <c r="X71" s="163" t="str">
        <f>IFERROR(_xll.qlRateHelperQuoteName(W71,Trigger),"")</f>
        <v/>
      </c>
      <c r="Y71" s="197" t="str">
        <f>IFERROR(_xll.qlRateHelperRate(W71,Trigger),"")</f>
        <v/>
      </c>
      <c r="Z71" s="198" t="str">
        <f>IF(ISERROR(_xll.qlSwapRateHelperSpread($W71)),IF(ISERROR(_xll.qlFuturesRateHelperConvexityAdjustment($W71)),"",_xll.qlFuturesRateHelperConvexityAdjustment($W71)),_xll.qlSwapRateHelperSpread($W71))</f>
        <v/>
      </c>
      <c r="AA71" s="164" t="str">
        <f>IFERROR(_xll.qlRateHelperEarliestDate(W71,Trigger),"")</f>
        <v/>
      </c>
      <c r="AB71" s="164" t="str">
        <f>IFERROR(_xll.qlRateHelperPillarDate(W71,Trigger),"")</f>
        <v/>
      </c>
      <c r="AC71" s="257" t="e">
        <v>#N/A</v>
      </c>
    </row>
    <row r="72" spans="1:29" ht="11.25" customHeight="1" x14ac:dyDescent="0.2">
      <c r="A72" s="62" t="s">
        <v>120</v>
      </c>
      <c r="B72" s="63" t="s">
        <v>111</v>
      </c>
      <c r="C72" s="64" t="s">
        <v>6</v>
      </c>
      <c r="D72" s="64" t="s">
        <v>147</v>
      </c>
      <c r="E72" s="64" t="s">
        <v>7</v>
      </c>
      <c r="F72" s="64" t="s">
        <v>148</v>
      </c>
      <c r="G72" s="64" t="str">
        <f t="shared" si="14"/>
        <v>GbpLibor1Y</v>
      </c>
      <c r="H72" s="62" t="str">
        <f t="shared" si="15"/>
        <v>GBPSB6L23Y_S6L12L_Quote</v>
      </c>
      <c r="I72" s="130">
        <v>0</v>
      </c>
      <c r="J72" s="67" t="str">
        <f>_xll.qlSwapRateHelper2(,H72,0,B72,Calendar,+D72,E72,F72,G72,I72,C72,Discounting,PillarDate,,Permanent,Trigger,ObjectOverwrite)</f>
        <v>obj_00296#0001</v>
      </c>
      <c r="L72" s="10" t="str">
        <f t="shared" si="12"/>
        <v>BasSw</v>
      </c>
      <c r="M72" s="95" t="str">
        <f t="shared" si="13"/>
        <v>obj_0029c#0001</v>
      </c>
      <c r="N72" s="149" t="str">
        <f>IFERROR(_xll.qlRateHelperQuoteName(M72,Trigger),"--")</f>
        <v>GBPSB6L27Y_S6L12L_Quote</v>
      </c>
      <c r="O72" s="99" t="str">
        <f>IFERROR(_xll.qlRateHelperQuoteValue($M72,Trigger),"--")</f>
        <v>--</v>
      </c>
      <c r="P72" s="98" t="b">
        <v>0</v>
      </c>
      <c r="Q72" s="95">
        <v>40</v>
      </c>
      <c r="R72" s="95">
        <v>1</v>
      </c>
      <c r="S72" s="100">
        <f>IFERROR(_xll.qlRateHelperEarliestDate(M72,Trigger),"--")</f>
        <v>42275</v>
      </c>
      <c r="T72" s="100">
        <f>IFERROR(_xll.qlRateHelperPillarDate(M72,Trigger),"--")</f>
        <v>52138</v>
      </c>
      <c r="V72" s="163" t="str">
        <f t="shared" si="16"/>
        <v/>
      </c>
      <c r="W72" s="163" t="e">
        <v>#N/A</v>
      </c>
      <c r="X72" s="163" t="str">
        <f>IFERROR(_xll.qlRateHelperQuoteName(W72,Trigger),"")</f>
        <v/>
      </c>
      <c r="Y72" s="197" t="str">
        <f>IFERROR(_xll.qlRateHelperRate(W72,Trigger),"")</f>
        <v/>
      </c>
      <c r="Z72" s="198" t="str">
        <f>IF(ISERROR(_xll.qlSwapRateHelperSpread($W72)),IF(ISERROR(_xll.qlFuturesRateHelperConvexityAdjustment($W72)),"",_xll.qlFuturesRateHelperConvexityAdjustment($W72)),_xll.qlSwapRateHelperSpread($W72))</f>
        <v/>
      </c>
      <c r="AA72" s="164" t="str">
        <f>IFERROR(_xll.qlRateHelperEarliestDate(W72,Trigger),"")</f>
        <v/>
      </c>
      <c r="AB72" s="164" t="str">
        <f>IFERROR(_xll.qlRateHelperPillarDate(W72,Trigger),"")</f>
        <v/>
      </c>
      <c r="AC72" s="257" t="e">
        <v>#N/A</v>
      </c>
    </row>
    <row r="73" spans="1:29" ht="11.25" customHeight="1" x14ac:dyDescent="0.2">
      <c r="A73" s="62" t="s">
        <v>120</v>
      </c>
      <c r="B73" s="63" t="s">
        <v>112</v>
      </c>
      <c r="C73" s="64" t="s">
        <v>6</v>
      </c>
      <c r="D73" s="64" t="s">
        <v>147</v>
      </c>
      <c r="E73" s="64" t="s">
        <v>7</v>
      </c>
      <c r="F73" s="64" t="s">
        <v>148</v>
      </c>
      <c r="G73" s="64" t="str">
        <f t="shared" si="14"/>
        <v>GbpLibor1Y</v>
      </c>
      <c r="H73" s="62" t="str">
        <f t="shared" si="15"/>
        <v>GBPSB6L24Y_S6L12L_Quote</v>
      </c>
      <c r="I73" s="130">
        <v>0</v>
      </c>
      <c r="J73" s="67" t="str">
        <f>_xll.qlSwapRateHelper2(,H73,0,B73,Calendar,+D73,E73,F73,G73,I73,C73,Discounting,PillarDate,,Permanent,Trigger,ObjectOverwrite)</f>
        <v>obj_00284#0001</v>
      </c>
      <c r="L73" s="10" t="str">
        <f t="shared" si="12"/>
        <v>BasSw</v>
      </c>
      <c r="M73" s="95" t="str">
        <f t="shared" si="13"/>
        <v>obj_00287#0001</v>
      </c>
      <c r="N73" s="149" t="str">
        <f>IFERROR(_xll.qlRateHelperQuoteName(M73,Trigger),"--")</f>
        <v>GBPSB6L28Y_S6L12L_Quote</v>
      </c>
      <c r="O73" s="99" t="str">
        <f>IFERROR(_xll.qlRateHelperQuoteValue($M73,Trigger),"--")</f>
        <v>--</v>
      </c>
      <c r="P73" s="98" t="b">
        <v>0</v>
      </c>
      <c r="Q73" s="95">
        <v>40</v>
      </c>
      <c r="R73" s="95">
        <v>1</v>
      </c>
      <c r="S73" s="100">
        <f>IFERROR(_xll.qlRateHelperEarliestDate(M73,Trigger),"--")</f>
        <v>42275</v>
      </c>
      <c r="T73" s="100">
        <f>IFERROR(_xll.qlRateHelperPillarDate(M73,Trigger),"--")</f>
        <v>52502</v>
      </c>
      <c r="V73" s="163" t="str">
        <f t="shared" si="16"/>
        <v/>
      </c>
      <c r="W73" s="163" t="e">
        <v>#N/A</v>
      </c>
      <c r="X73" s="163" t="str">
        <f>IFERROR(_xll.qlRateHelperQuoteName(W73,Trigger),"")</f>
        <v/>
      </c>
      <c r="Y73" s="197" t="str">
        <f>IFERROR(_xll.qlRateHelperRate(W73,Trigger),"")</f>
        <v/>
      </c>
      <c r="Z73" s="198" t="str">
        <f>IF(ISERROR(_xll.qlSwapRateHelperSpread($W73)),IF(ISERROR(_xll.qlFuturesRateHelperConvexityAdjustment($W73)),"",_xll.qlFuturesRateHelperConvexityAdjustment($W73)),_xll.qlSwapRateHelperSpread($W73))</f>
        <v/>
      </c>
      <c r="AA73" s="164" t="str">
        <f>IFERROR(_xll.qlRateHelperEarliestDate(W73,Trigger),"")</f>
        <v/>
      </c>
      <c r="AB73" s="164" t="str">
        <f>IFERROR(_xll.qlRateHelperPillarDate(W73,Trigger),"")</f>
        <v/>
      </c>
      <c r="AC73" s="257" t="e">
        <v>#N/A</v>
      </c>
    </row>
    <row r="74" spans="1:29" ht="11.25" customHeight="1" x14ac:dyDescent="0.2">
      <c r="A74" s="62" t="s">
        <v>120</v>
      </c>
      <c r="B74" s="63" t="s">
        <v>64</v>
      </c>
      <c r="C74" s="64" t="s">
        <v>6</v>
      </c>
      <c r="D74" s="64" t="s">
        <v>147</v>
      </c>
      <c r="E74" s="64" t="s">
        <v>7</v>
      </c>
      <c r="F74" s="64" t="s">
        <v>148</v>
      </c>
      <c r="G74" s="64" t="str">
        <f t="shared" si="14"/>
        <v>GbpLibor1Y</v>
      </c>
      <c r="H74" s="62" t="str">
        <f t="shared" si="15"/>
        <v>GBPSB6L25Y_S6L12L_Quote</v>
      </c>
      <c r="I74" s="130">
        <v>0</v>
      </c>
      <c r="J74" s="67" t="str">
        <f>_xll.qlSwapRateHelper2(,H74,0,B74,Calendar,+D74,E74,F74,G74,I74,C74,Discounting,PillarDate,,Permanent,Trigger,ObjectOverwrite)</f>
        <v>obj_00297#0001</v>
      </c>
      <c r="L74" s="10" t="str">
        <f t="shared" si="12"/>
        <v>BasSw</v>
      </c>
      <c r="M74" s="95" t="str">
        <f t="shared" si="13"/>
        <v>obj_00294#0001</v>
      </c>
      <c r="N74" s="149" t="str">
        <f>IFERROR(_xll.qlRateHelperQuoteName(M74,Trigger),"--")</f>
        <v>GBPSB6L29Y_S6L12L_Quote</v>
      </c>
      <c r="O74" s="99" t="str">
        <f>IFERROR(_xll.qlRateHelperQuoteValue($M74,Trigger),"--")</f>
        <v>--</v>
      </c>
      <c r="P74" s="98" t="b">
        <v>0</v>
      </c>
      <c r="Q74" s="95">
        <v>40</v>
      </c>
      <c r="R74" s="95">
        <v>1</v>
      </c>
      <c r="S74" s="100">
        <f>IFERROR(_xll.qlRateHelperEarliestDate(M74,Trigger),"--")</f>
        <v>42275</v>
      </c>
      <c r="T74" s="100">
        <f>IFERROR(_xll.qlRateHelperPillarDate(M74,Trigger),"--")</f>
        <v>52868</v>
      </c>
      <c r="V74" s="163" t="str">
        <f t="shared" si="16"/>
        <v/>
      </c>
      <c r="W74" s="163" t="e">
        <v>#N/A</v>
      </c>
      <c r="X74" s="163" t="str">
        <f>IFERROR(_xll.qlRateHelperQuoteName(W74,Trigger),"")</f>
        <v/>
      </c>
      <c r="Y74" s="197" t="str">
        <f>IFERROR(_xll.qlRateHelperRate(W74,Trigger),"")</f>
        <v/>
      </c>
      <c r="Z74" s="198" t="str">
        <f>IF(ISERROR(_xll.qlSwapRateHelperSpread($W74)),IF(ISERROR(_xll.qlFuturesRateHelperConvexityAdjustment($W74)),"",_xll.qlFuturesRateHelperConvexityAdjustment($W74)),_xll.qlSwapRateHelperSpread($W74))</f>
        <v/>
      </c>
      <c r="AA74" s="164" t="str">
        <f>IFERROR(_xll.qlRateHelperEarliestDate(W74,Trigger),"")</f>
        <v/>
      </c>
      <c r="AB74" s="164" t="str">
        <f>IFERROR(_xll.qlRateHelperPillarDate(W74,Trigger),"")</f>
        <v/>
      </c>
      <c r="AC74" s="257" t="e">
        <v>#N/A</v>
      </c>
    </row>
    <row r="75" spans="1:29" ht="11.25" customHeight="1" x14ac:dyDescent="0.2">
      <c r="A75" s="62" t="s">
        <v>120</v>
      </c>
      <c r="B75" s="63" t="s">
        <v>113</v>
      </c>
      <c r="C75" s="64" t="s">
        <v>6</v>
      </c>
      <c r="D75" s="64" t="s">
        <v>147</v>
      </c>
      <c r="E75" s="64" t="s">
        <v>7</v>
      </c>
      <c r="F75" s="64" t="s">
        <v>148</v>
      </c>
      <c r="G75" s="64" t="str">
        <f t="shared" si="14"/>
        <v>GbpLibor1Y</v>
      </c>
      <c r="H75" s="62" t="str">
        <f t="shared" si="15"/>
        <v>GBPSB6L26Y_S6L12L_Quote</v>
      </c>
      <c r="I75" s="130">
        <v>0</v>
      </c>
      <c r="J75" s="67" t="str">
        <f>_xll.qlSwapRateHelper2(,H75,0,B75,Calendar,+D75,E75,F75,G75,I75,C75,Discounting,PillarDate,,Permanent,Trigger,ObjectOverwrite)</f>
        <v>obj_00282#0001</v>
      </c>
      <c r="L75" s="10" t="str">
        <f t="shared" si="12"/>
        <v>BasSw</v>
      </c>
      <c r="M75" s="95" t="str">
        <f t="shared" si="13"/>
        <v>obj_0029a#0001</v>
      </c>
      <c r="N75" s="149" t="str">
        <f>IFERROR(_xll.qlRateHelperQuoteName(M75,Trigger),"--")</f>
        <v>GBPSB6L30Y_S6L12L_Quote</v>
      </c>
      <c r="O75" s="99">
        <f>IFERROR(_xll.qlRateHelperQuoteValue($M75,Trigger),"--")</f>
        <v>2.3013000000000939E-2</v>
      </c>
      <c r="P75" s="98" t="b">
        <v>1</v>
      </c>
      <c r="Q75" s="95">
        <v>40</v>
      </c>
      <c r="R75" s="95">
        <v>1</v>
      </c>
      <c r="S75" s="100">
        <f>IFERROR(_xll.qlRateHelperEarliestDate(M75,Trigger),"--")</f>
        <v>42275</v>
      </c>
      <c r="T75" s="100">
        <f>IFERROR(_xll.qlRateHelperPillarDate(M75,Trigger),"--")</f>
        <v>53233</v>
      </c>
      <c r="V75" s="163" t="str">
        <f t="shared" si="16"/>
        <v/>
      </c>
      <c r="W75" s="163" t="e">
        <v>#N/A</v>
      </c>
      <c r="X75" s="163" t="str">
        <f>IFERROR(_xll.qlRateHelperQuoteName(W75,Trigger),"")</f>
        <v/>
      </c>
      <c r="Y75" s="197" t="str">
        <f>IFERROR(_xll.qlRateHelperRate(W75,Trigger),"")</f>
        <v/>
      </c>
      <c r="Z75" s="198" t="str">
        <f>IF(ISERROR(_xll.qlSwapRateHelperSpread($W75)),IF(ISERROR(_xll.qlFuturesRateHelperConvexityAdjustment($W75)),"",_xll.qlFuturesRateHelperConvexityAdjustment($W75)),_xll.qlSwapRateHelperSpread($W75))</f>
        <v/>
      </c>
      <c r="AA75" s="164" t="str">
        <f>IFERROR(_xll.qlRateHelperEarliestDate(W75,Trigger),"")</f>
        <v/>
      </c>
      <c r="AB75" s="164" t="str">
        <f>IFERROR(_xll.qlRateHelperPillarDate(W75,Trigger),"")</f>
        <v/>
      </c>
      <c r="AC75" s="257" t="e">
        <v>#N/A</v>
      </c>
    </row>
    <row r="76" spans="1:29" ht="11.25" customHeight="1" x14ac:dyDescent="0.2">
      <c r="A76" s="62" t="s">
        <v>120</v>
      </c>
      <c r="B76" s="63" t="s">
        <v>65</v>
      </c>
      <c r="C76" s="64" t="s">
        <v>6</v>
      </c>
      <c r="D76" s="64" t="s">
        <v>147</v>
      </c>
      <c r="E76" s="64" t="s">
        <v>7</v>
      </c>
      <c r="F76" s="64" t="s">
        <v>148</v>
      </c>
      <c r="G76" s="64" t="str">
        <f t="shared" si="14"/>
        <v>GbpLibor1Y</v>
      </c>
      <c r="H76" s="62" t="str">
        <f t="shared" si="15"/>
        <v>GBPSB6L27Y_S6L12L_Quote</v>
      </c>
      <c r="I76" s="130">
        <v>0</v>
      </c>
      <c r="J76" s="67" t="str">
        <f>_xll.qlSwapRateHelper2(,H76,0,B76,Calendar,+D76,E76,F76,G76,I76,C76,Discounting,PillarDate,,Permanent,Trigger,ObjectOverwrite)</f>
        <v>obj_0029c#0001</v>
      </c>
      <c r="L76" s="10" t="str">
        <f>A80</f>
        <v>BasSw</v>
      </c>
      <c r="M76" s="95" t="str">
        <f t="shared" si="13"/>
        <v>obj_00288#0001</v>
      </c>
      <c r="N76" s="149" t="str">
        <f>IFERROR(_xll.qlRateHelperQuoteName(M76,Trigger),"--")</f>
        <v>GBPSB6L35Y_S6L12L_Quote</v>
      </c>
      <c r="O76" s="99" t="str">
        <f>IFERROR(_xll.qlRateHelperQuoteValue($M76,Trigger),"--")</f>
        <v>--</v>
      </c>
      <c r="P76" s="98" t="b">
        <v>0</v>
      </c>
      <c r="Q76" s="95">
        <v>40</v>
      </c>
      <c r="R76" s="95">
        <v>1</v>
      </c>
      <c r="S76" s="100">
        <f>IFERROR(_xll.qlRateHelperEarliestDate(M76,Trigger),"--")</f>
        <v>42275</v>
      </c>
      <c r="T76" s="100">
        <f>IFERROR(_xll.qlRateHelperPillarDate(M76,Trigger),"--")</f>
        <v>55059</v>
      </c>
      <c r="V76" s="163" t="str">
        <f t="shared" si="16"/>
        <v/>
      </c>
      <c r="W76" s="163" t="e">
        <v>#N/A</v>
      </c>
      <c r="X76" s="163" t="str">
        <f>IFERROR(_xll.qlRateHelperQuoteName(W76,Trigger),"")</f>
        <v/>
      </c>
      <c r="Y76" s="197" t="str">
        <f>IFERROR(_xll.qlRateHelperRate(W76,Trigger),"")</f>
        <v/>
      </c>
      <c r="Z76" s="198" t="str">
        <f>IF(ISERROR(_xll.qlSwapRateHelperSpread($W76)),IF(ISERROR(_xll.qlFuturesRateHelperConvexityAdjustment($W76)),"",_xll.qlFuturesRateHelperConvexityAdjustment($W76)),_xll.qlSwapRateHelperSpread($W76))</f>
        <v/>
      </c>
      <c r="AA76" s="164" t="str">
        <f>IFERROR(_xll.qlRateHelperEarliestDate(W76,Trigger),"")</f>
        <v/>
      </c>
      <c r="AB76" s="164" t="str">
        <f>IFERROR(_xll.qlRateHelperPillarDate(W76,Trigger),"")</f>
        <v/>
      </c>
      <c r="AC76" s="257" t="e">
        <v>#N/A</v>
      </c>
    </row>
    <row r="77" spans="1:29" ht="11.25" customHeight="1" x14ac:dyDescent="0.2">
      <c r="A77" s="62" t="s">
        <v>120</v>
      </c>
      <c r="B77" s="63" t="s">
        <v>114</v>
      </c>
      <c r="C77" s="64" t="s">
        <v>6</v>
      </c>
      <c r="D77" s="64" t="s">
        <v>147</v>
      </c>
      <c r="E77" s="64" t="s">
        <v>7</v>
      </c>
      <c r="F77" s="64" t="s">
        <v>148</v>
      </c>
      <c r="G77" s="64" t="str">
        <f t="shared" si="14"/>
        <v>GbpLibor1Y</v>
      </c>
      <c r="H77" s="62" t="str">
        <f t="shared" si="15"/>
        <v>GBPSB6L28Y_S6L12L_Quote</v>
      </c>
      <c r="I77" s="130">
        <v>0</v>
      </c>
      <c r="J77" s="67" t="str">
        <f>_xll.qlSwapRateHelper2(,H77,0,B77,Calendar,+D77,E77,F77,G77,I77,C77,Discounting,PillarDate,,Permanent,Trigger,ObjectOverwrite)</f>
        <v>obj_00287#0001</v>
      </c>
      <c r="L77" s="10" t="str">
        <f t="shared" si="12"/>
        <v>BasSw</v>
      </c>
      <c r="M77" s="95" t="str">
        <f t="shared" si="13"/>
        <v>obj_00281#0001</v>
      </c>
      <c r="N77" s="149" t="str">
        <f>IFERROR(_xll.qlRateHelperQuoteName(M77,Trigger),"--")</f>
        <v>GBPSB6L40Y_S6L12L_Quote</v>
      </c>
      <c r="O77" s="99">
        <f>IFERROR(_xll.qlRateHelperQuoteValue($M77,Trigger),"--")</f>
        <v>2.2622999999997968E-2</v>
      </c>
      <c r="P77" s="98" t="b">
        <v>1</v>
      </c>
      <c r="Q77" s="95">
        <v>40</v>
      </c>
      <c r="R77" s="95">
        <v>1</v>
      </c>
      <c r="S77" s="100">
        <f>IFERROR(_xll.qlRateHelperEarliestDate(M77,Trigger),"--")</f>
        <v>42275</v>
      </c>
      <c r="T77" s="100">
        <f>IFERROR(_xll.qlRateHelperPillarDate(M77,Trigger),"--")</f>
        <v>56885</v>
      </c>
      <c r="V77" s="163" t="str">
        <f t="shared" si="16"/>
        <v/>
      </c>
      <c r="W77" s="163" t="e">
        <v>#N/A</v>
      </c>
      <c r="X77" s="163" t="str">
        <f>IFERROR(_xll.qlRateHelperQuoteName(W77,Trigger),"")</f>
        <v/>
      </c>
      <c r="Y77" s="197" t="str">
        <f>IFERROR(_xll.qlRateHelperRate(W77,Trigger),"")</f>
        <v/>
      </c>
      <c r="Z77" s="198" t="str">
        <f>IF(ISERROR(_xll.qlSwapRateHelperSpread($W77)),IF(ISERROR(_xll.qlFuturesRateHelperConvexityAdjustment($W77)),"",_xll.qlFuturesRateHelperConvexityAdjustment($W77)),_xll.qlSwapRateHelperSpread($W77))</f>
        <v/>
      </c>
      <c r="AA77" s="164" t="str">
        <f>IFERROR(_xll.qlRateHelperEarliestDate(W77,Trigger),"")</f>
        <v/>
      </c>
      <c r="AB77" s="164" t="str">
        <f>IFERROR(_xll.qlRateHelperPillarDate(W77,Trigger),"")</f>
        <v/>
      </c>
      <c r="AC77" s="257" t="e">
        <v>#N/A</v>
      </c>
    </row>
    <row r="78" spans="1:29" ht="11.25" customHeight="1" x14ac:dyDescent="0.2">
      <c r="A78" s="62" t="s">
        <v>120</v>
      </c>
      <c r="B78" s="63" t="s">
        <v>115</v>
      </c>
      <c r="C78" s="64" t="s">
        <v>6</v>
      </c>
      <c r="D78" s="64" t="s">
        <v>147</v>
      </c>
      <c r="E78" s="64" t="s">
        <v>7</v>
      </c>
      <c r="F78" s="64" t="s">
        <v>148</v>
      </c>
      <c r="G78" s="64" t="str">
        <f t="shared" si="14"/>
        <v>GbpLibor1Y</v>
      </c>
      <c r="H78" s="62" t="str">
        <f t="shared" si="15"/>
        <v>GBPSB6L29Y_S6L12L_Quote</v>
      </c>
      <c r="I78" s="130">
        <v>0</v>
      </c>
      <c r="J78" s="67" t="str">
        <f>_xll.qlSwapRateHelper2(,H78,0,B78,Calendar,+D78,E78,F78,G78,I78,C78,Discounting,PillarDate,,Permanent,Trigger,ObjectOverwrite)</f>
        <v>obj_00294#0001</v>
      </c>
      <c r="L78" s="10" t="str">
        <f t="shared" si="12"/>
        <v>BasSw</v>
      </c>
      <c r="M78" s="95" t="str">
        <f t="shared" si="13"/>
        <v>obj_00293#0001</v>
      </c>
      <c r="N78" s="149" t="str">
        <f>IFERROR(_xll.qlRateHelperQuoteName(M78,Trigger),"--")</f>
        <v>GBPSB6L50Y_S6L12L_Quote</v>
      </c>
      <c r="O78" s="99">
        <f>IFERROR(_xll.qlRateHelperQuoteValue($M78,Trigger),"--")</f>
        <v>2.2098000000012732E-2</v>
      </c>
      <c r="P78" s="98" t="b">
        <v>1</v>
      </c>
      <c r="Q78" s="95">
        <v>40</v>
      </c>
      <c r="R78" s="95">
        <v>1</v>
      </c>
      <c r="S78" s="100">
        <f>IFERROR(_xll.qlRateHelperEarliestDate(M78,Trigger),"--")</f>
        <v>42275</v>
      </c>
      <c r="T78" s="100">
        <f>IFERROR(_xll.qlRateHelperPillarDate(M78,Trigger),"--")</f>
        <v>60538</v>
      </c>
      <c r="V78" s="163" t="str">
        <f t="shared" si="16"/>
        <v/>
      </c>
      <c r="W78" s="163" t="e">
        <v>#N/A</v>
      </c>
      <c r="X78" s="163" t="str">
        <f>IFERROR(_xll.qlRateHelperQuoteName(W78,Trigger),"")</f>
        <v/>
      </c>
      <c r="Y78" s="197" t="str">
        <f>IFERROR(_xll.qlRateHelperRate(W78,Trigger),"")</f>
        <v/>
      </c>
      <c r="Z78" s="198" t="str">
        <f>IF(ISERROR(_xll.qlSwapRateHelperSpread($W78)),IF(ISERROR(_xll.qlFuturesRateHelperConvexityAdjustment($W78)),"",_xll.qlFuturesRateHelperConvexityAdjustment($W78)),_xll.qlSwapRateHelperSpread($W78))</f>
        <v/>
      </c>
      <c r="AA78" s="164" t="str">
        <f>IFERROR(_xll.qlRateHelperEarliestDate(W78,Trigger),"")</f>
        <v/>
      </c>
      <c r="AB78" s="164" t="str">
        <f>IFERROR(_xll.qlRateHelperPillarDate(W78,Trigger),"")</f>
        <v/>
      </c>
      <c r="AC78" s="257" t="e">
        <v>#N/A</v>
      </c>
    </row>
    <row r="79" spans="1:29" ht="11.25" customHeight="1" x14ac:dyDescent="0.2">
      <c r="A79" s="62" t="s">
        <v>120</v>
      </c>
      <c r="B79" s="63" t="s">
        <v>66</v>
      </c>
      <c r="C79" s="64" t="s">
        <v>6</v>
      </c>
      <c r="D79" s="64" t="s">
        <v>147</v>
      </c>
      <c r="E79" s="64" t="s">
        <v>7</v>
      </c>
      <c r="F79" s="64" t="s">
        <v>148</v>
      </c>
      <c r="G79" s="64" t="str">
        <f t="shared" si="14"/>
        <v>GbpLibor1Y</v>
      </c>
      <c r="H79" s="62" t="str">
        <f t="shared" si="15"/>
        <v>GBPSB6L30Y_S6L12L_Quote</v>
      </c>
      <c r="I79" s="130">
        <v>0</v>
      </c>
      <c r="J79" s="67" t="str">
        <f>_xll.qlSwapRateHelper2(,H79,0,B79,Calendar,+D79,E79,F79,G79,I79,C79,Discounting,PillarDate,,Permanent,Trigger,ObjectOverwrite)</f>
        <v>obj_0029a#0001</v>
      </c>
      <c r="L79" s="11" t="str">
        <f t="shared" ref="L79" si="17">A83</f>
        <v>BasSw</v>
      </c>
      <c r="M79" s="96" t="str">
        <f t="shared" ref="M79" si="18">IF(ISBLANK(J83),"--",J83)</f>
        <v>obj_0027e#0001</v>
      </c>
      <c r="N79" s="150" t="str">
        <f>IFERROR(_xll.qlRateHelperQuoteName(M79,Trigger),"--")</f>
        <v>GBPSB6L60Y_S6L12L_Quote</v>
      </c>
      <c r="O79" s="102">
        <f>IFERROR(_xll.qlRateHelperQuoteValue($M79,Trigger),"--")</f>
        <v>2.1987999999983722E-2</v>
      </c>
      <c r="P79" s="101" t="b">
        <v>1</v>
      </c>
      <c r="Q79" s="96">
        <v>40</v>
      </c>
      <c r="R79" s="96">
        <v>1</v>
      </c>
      <c r="S79" s="103">
        <f>IFERROR(_xll.qlRateHelperEarliestDate(M79,Trigger),"--")</f>
        <v>42275</v>
      </c>
      <c r="T79" s="103">
        <f>IFERROR(_xll.qlRateHelperPillarDate(M79,Trigger),"--")</f>
        <v>64192</v>
      </c>
      <c r="V79" s="166" t="str">
        <f t="shared" si="16"/>
        <v/>
      </c>
      <c r="W79" s="166" t="e">
        <v>#N/A</v>
      </c>
      <c r="X79" s="166" t="str">
        <f>IFERROR(_xll.qlRateHelperQuoteName(W79,Trigger),"")</f>
        <v/>
      </c>
      <c r="Y79" s="195" t="str">
        <f>IFERROR(_xll.qlRateHelperRate(W79,Trigger),"")</f>
        <v/>
      </c>
      <c r="Z79" s="196" t="str">
        <f>IF(ISERROR(_xll.qlSwapRateHelperSpread($W79)),IF(ISERROR(_xll.qlFuturesRateHelperConvexityAdjustment($W79)),"",_xll.qlFuturesRateHelperConvexityAdjustment($W79)),_xll.qlSwapRateHelperSpread($W79))</f>
        <v/>
      </c>
      <c r="AA79" s="167" t="str">
        <f>IFERROR(_xll.qlRateHelperEarliestDate(W79,Trigger),"")</f>
        <v/>
      </c>
      <c r="AB79" s="167" t="str">
        <f>IFERROR(_xll.qlRateHelperPillarDate(W79,Trigger),"")</f>
        <v/>
      </c>
      <c r="AC79" s="259" t="e">
        <v>#N/A</v>
      </c>
    </row>
    <row r="80" spans="1:29" ht="11.25" customHeight="1" x14ac:dyDescent="0.2">
      <c r="A80" s="62" t="s">
        <v>120</v>
      </c>
      <c r="B80" s="63" t="s">
        <v>67</v>
      </c>
      <c r="C80" s="64" t="s">
        <v>6</v>
      </c>
      <c r="D80" s="64" t="s">
        <v>147</v>
      </c>
      <c r="E80" s="64" t="s">
        <v>7</v>
      </c>
      <c r="F80" s="64" t="s">
        <v>148</v>
      </c>
      <c r="G80" s="64" t="str">
        <f t="shared" si="14"/>
        <v>GbpLibor1Y</v>
      </c>
      <c r="H80" s="62" t="str">
        <f t="shared" si="15"/>
        <v>GBPSB6L35Y_S6L12L_Quote</v>
      </c>
      <c r="I80" s="130">
        <v>0</v>
      </c>
      <c r="J80" s="67" t="str">
        <f>_xll.qlSwapRateHelper2(,H80,0,B80,Calendar,+D80,E80,F80,G80,I80,C80,Discounting,PillarDate,,Permanent,Trigger,ObjectOverwrite)</f>
        <v>obj_00288#0001</v>
      </c>
    </row>
    <row r="81" spans="1:11" x14ac:dyDescent="0.2">
      <c r="A81" s="62" t="s">
        <v>120</v>
      </c>
      <c r="B81" s="63" t="s">
        <v>68</v>
      </c>
      <c r="C81" s="64" t="s">
        <v>6</v>
      </c>
      <c r="D81" s="64" t="s">
        <v>147</v>
      </c>
      <c r="E81" s="64" t="s">
        <v>7</v>
      </c>
      <c r="F81" s="64" t="s">
        <v>148</v>
      </c>
      <c r="G81" s="64" t="str">
        <f t="shared" si="14"/>
        <v>GbpLibor1Y</v>
      </c>
      <c r="H81" s="62" t="str">
        <f t="shared" si="15"/>
        <v>GBPSB6L40Y_S6L12L_Quote</v>
      </c>
      <c r="I81" s="128">
        <v>0</v>
      </c>
      <c r="J81" s="67" t="str">
        <f>_xll.qlSwapRateHelper2(,H81,0,B81,Calendar,+D81,E81,F81,G81,I81,C81,Discounting,PillarDate,,Permanent,Trigger,ObjectOverwrite)</f>
        <v>obj_00281#0001</v>
      </c>
    </row>
    <row r="82" spans="1:11" x14ac:dyDescent="0.2">
      <c r="A82" s="62" t="s">
        <v>120</v>
      </c>
      <c r="B82" s="63" t="s">
        <v>69</v>
      </c>
      <c r="C82" s="64" t="s">
        <v>6</v>
      </c>
      <c r="D82" s="64" t="s">
        <v>147</v>
      </c>
      <c r="E82" s="64" t="s">
        <v>7</v>
      </c>
      <c r="F82" s="64" t="s">
        <v>148</v>
      </c>
      <c r="G82" s="64" t="str">
        <f t="shared" si="14"/>
        <v>GbpLibor1Y</v>
      </c>
      <c r="H82" s="62" t="str">
        <f t="shared" si="15"/>
        <v>GBPSB6L50Y_S6L12L_Quote</v>
      </c>
      <c r="I82" s="128">
        <v>0</v>
      </c>
      <c r="J82" s="67" t="str">
        <f>_xll.qlSwapRateHelper2(,H82,0,B82,Calendar,+D82,E82,F82,G82,I82,C82,Discounting,PillarDate,,Permanent,Trigger,ObjectOverwrite)</f>
        <v>obj_00293#0001</v>
      </c>
    </row>
    <row r="83" spans="1:11" x14ac:dyDescent="0.2">
      <c r="A83" s="1" t="s">
        <v>120</v>
      </c>
      <c r="B83" s="8" t="s">
        <v>116</v>
      </c>
      <c r="C83" s="7" t="s">
        <v>6</v>
      </c>
      <c r="D83" s="7" t="s">
        <v>147</v>
      </c>
      <c r="E83" s="7" t="s">
        <v>7</v>
      </c>
      <c r="F83" s="7" t="s">
        <v>148</v>
      </c>
      <c r="G83" s="7" t="str">
        <f t="shared" si="14"/>
        <v>GbpLibor1Y</v>
      </c>
      <c r="H83" s="1" t="str">
        <f t="shared" si="15"/>
        <v>GBPSB6L60Y_S6L12L_Quote</v>
      </c>
      <c r="I83" s="131">
        <v>0</v>
      </c>
      <c r="J83" s="3" t="str">
        <f>_xll.qlSwapRateHelper2(,H83,0,B83,Calendar,+D83,E83,F83,G83,I83,C83,Discounting,PillarDate,,Permanent,Trigger,ObjectOverwrite)</f>
        <v>obj_0027e#0001</v>
      </c>
    </row>
    <row r="90" spans="1:11" x14ac:dyDescent="0.2">
      <c r="K90" s="49" t="s">
        <v>36</v>
      </c>
    </row>
  </sheetData>
  <mergeCells count="1">
    <mergeCell ref="AF2:AG2"/>
  </mergeCells>
  <dataValidations count="4">
    <dataValidation type="list" allowBlank="1" showInputMessage="1" showErrorMessage="1" sqref="D47:D83">
      <formula1>"Annual,Semiannual,EveryFourthMonth,Quarterly,Bimonthly,Monthly,Biweekly,Weekly,Daily,Once,NoFrequency"</formula1>
    </dataValidation>
    <dataValidation type="list" allowBlank="1" showInputMessage="1" showErrorMessage="1" sqref="E47:E83">
      <formula1>"Following,Modified Following,Preceding,Modified Preceding,Unadjusted,Half-Month Modified Following"</formula1>
    </dataValidation>
    <dataValidation type="list" allowBlank="1" showInputMessage="1" showErrorMessage="1" sqref="F47:F8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G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55</vt:i4>
      </vt:variant>
    </vt:vector>
  </HeadingPairs>
  <TitlesOfParts>
    <vt:vector size="61" baseType="lpstr">
      <vt:lpstr>GeneralSettings</vt:lpstr>
      <vt:lpstr>GBPON</vt:lpstr>
      <vt:lpstr>GBP3M</vt:lpstr>
      <vt:lpstr>GBP6M</vt:lpstr>
      <vt:lpstr>GBP1M</vt:lpstr>
      <vt:lpstr>GBP1Y</vt:lpstr>
      <vt:lpstr>Calendar</vt:lpstr>
      <vt:lpstr>Currency</vt:lpstr>
      <vt:lpstr>Discounting</vt:lpstr>
      <vt:lpstr>Evaluationdate</vt:lpstr>
      <vt:lpstr>FamilyName</vt:lpstr>
      <vt:lpstr>GBP3M!FuturesType</vt:lpstr>
      <vt:lpstr>GBP1M!IncludeFlag</vt:lpstr>
      <vt:lpstr>GBP1Y!IncludeFlag</vt:lpstr>
      <vt:lpstr>GBP3M!IncludeFlag</vt:lpstr>
      <vt:lpstr>GBP6M!IncludeFlag</vt:lpstr>
      <vt:lpstr>GBPON!IncludeFlag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GBP1M!MinDistance</vt:lpstr>
      <vt:lpstr>GBP1Y!MinDistance</vt:lpstr>
      <vt:lpstr>GBP3M!MinDistance</vt:lpstr>
      <vt:lpstr>GBP6M!MinDistance</vt:lpstr>
      <vt:lpstr>GBPON!MinDistance</vt:lpstr>
      <vt:lpstr>ObjectOverwrite</vt:lpstr>
      <vt:lpstr>Permanent</vt:lpstr>
      <vt:lpstr>PillarDate</vt:lpstr>
      <vt:lpstr>GBP1M!Priority</vt:lpstr>
      <vt:lpstr>GBP1Y!Priority</vt:lpstr>
      <vt:lpstr>GBP3M!Priority</vt:lpstr>
      <vt:lpstr>GBP6M!Priority</vt:lpstr>
      <vt:lpstr>GBPON!Priority</vt:lpstr>
      <vt:lpstr>QuoteSuffix</vt:lpstr>
      <vt:lpstr>GBP1M!RateHelpers</vt:lpstr>
      <vt:lpstr>GBP1Y!RateHelpers</vt:lpstr>
      <vt:lpstr>GBP3M!RateHelpers</vt:lpstr>
      <vt:lpstr>GBP6M!RateHelpers</vt:lpstr>
      <vt:lpstr>GBPON!RateHelpers</vt:lpstr>
      <vt:lpstr>RateHelpers1M</vt:lpstr>
      <vt:lpstr>RateHelpers1Y</vt:lpstr>
      <vt:lpstr>RateHelpers3M</vt:lpstr>
      <vt:lpstr>RateHelpers6M</vt:lpstr>
      <vt:lpstr>RateHelpersON</vt:lpstr>
      <vt:lpstr>Settlementdate</vt:lpstr>
      <vt:lpstr>GBP1M!Tenor</vt:lpstr>
      <vt:lpstr>GBP1Y!Tenor</vt:lpstr>
      <vt:lpstr>GBP3M!Tenor</vt:lpstr>
      <vt:lpstr>GBP6M!Tenor</vt:lpstr>
      <vt:lpstr>Trigger</vt:lpstr>
      <vt:lpstr>YieldCurve_1M</vt:lpstr>
      <vt:lpstr>YieldCurve_1Y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ZANZI MADDALENA</cp:lastModifiedBy>
  <dcterms:created xsi:type="dcterms:W3CDTF">2014-09-18T08:07:51Z</dcterms:created>
  <dcterms:modified xsi:type="dcterms:W3CDTF">2015-09-28T13:26:21Z</dcterms:modified>
</cp:coreProperties>
</file>