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30510" windowHeight="8550" firstSheet="4" activeTab="6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YSynthDepo" sheetId="49" r:id="rId5"/>
    <sheet name="SynthFRA" sheetId="35" r:id="rId6"/>
    <sheet name="Contribution" sheetId="33" r:id="rId7"/>
    <sheet name="Delta 1M" sheetId="45" r:id="rId8"/>
    <sheet name="Delta 3M" sheetId="42" r:id="rId9"/>
    <sheet name="Delta 6M " sheetId="40" r:id="rId10"/>
    <sheet name="Delta 1Y" sheetId="47" r:id="rId11"/>
    <sheet name="Swaps1Y" sheetId="50" r:id="rId12"/>
  </sheets>
  <externalReferences>
    <externalReference r:id="rId13"/>
  </externalReferences>
  <definedNames>
    <definedName name="Accuracy">'General Settings'!$D$30</definedName>
    <definedName name="AllTriggers">'General Settings'!$I$17:$I$21</definedName>
    <definedName name="B3Minterpolation">'Delta 3M'!$O$1</definedName>
    <definedName name="B6Minterpolation">'Delta 6M '!$N$1</definedName>
    <definedName name="basis3Minterpolation">'Delta 3M'!$Z$1</definedName>
    <definedName name="BasisInterpolation">'General Settings'!$D$40</definedName>
    <definedName name="BasisInterpolator">'General Settings'!$D$41</definedName>
    <definedName name="Calendar">'General Settings'!$D$5</definedName>
    <definedName name="Conventions" localSheetId="7">'Delta 1M'!$S$3:$S$4</definedName>
    <definedName name="Conventions" localSheetId="10">'Delta 1Y'!$S$3:$S$4</definedName>
    <definedName name="Currency">'General Settings'!$D$4</definedName>
    <definedName name="DayCounter">'General Settings'!$D$9</definedName>
    <definedName name="Delta1M">'Delta 1M'!$W$26:$W$29</definedName>
    <definedName name="Delta1Y">'Delta 1Y'!$W$31:$W$36</definedName>
    <definedName name="Discounting">'General Settings'!$D$8</definedName>
    <definedName name="EvaluationDate">'General Settings'!$I$18</definedName>
    <definedName name="FileOverwrite">'General Settings'!$I$8</definedName>
    <definedName name="GENERAL_SETTINGS">'General Settings'!$B$2</definedName>
    <definedName name="iborindex1M">'General Settings'!$I$28</definedName>
    <definedName name="IborIndex1Y">'General Settings'!$D$28</definedName>
    <definedName name="IborTenor">'General Settings'!$D$26</definedName>
    <definedName name="IborTenor1M">'General Settings'!$I$26</definedName>
    <definedName name="IborType">'General Settings'!$D$6</definedName>
    <definedName name="InterestRatesTrigger">'General Settings'!$I$19</definedName>
    <definedName name="interpolatedbasis3M">'Delta 3M'!$O$4</definedName>
    <definedName name="interpolatedbasis6M">'Delta 6M '!$N$4</definedName>
    <definedName name="interpolator3M" localSheetId="1">'1MSynthDepo'!$D$11</definedName>
    <definedName name="interpolator3M" localSheetId="4">'1YSynthDepo'!$D$11</definedName>
    <definedName name="interpolator3M">'3MSynthDepo'!$D$11</definedName>
    <definedName name="interpolator6M">'6MSynthDepo'!$D$11</definedName>
    <definedName name="InterpolatorID">'General Settings'!$D$32</definedName>
    <definedName name="LastDayInNextYear">'General Settings'!$D$20</definedName>
    <definedName name="LastDayInYear">'General Settings'!$D$19</definedName>
    <definedName name="LastFixingsTrigger">'General Settings'!$I$20</definedName>
    <definedName name="LastUpdate">'General Settings'!$D$11</definedName>
    <definedName name="LiveDataFeed">'General Settings'!$D$12</definedName>
    <definedName name="Months12M" localSheetId="6">Contribution!$A$25</definedName>
    <definedName name="Months1M" localSheetId="6">Contribution!$A$3</definedName>
    <definedName name="Months3M" localSheetId="6">Contribution!$A$8</definedName>
    <definedName name="Months6M" localSheetId="6">Contribution!$A$15</definedName>
    <definedName name="NDays">'General Settings'!$D$27</definedName>
    <definedName name="ObjectOverwrite">'General Settings'!$I$5</definedName>
    <definedName name="OisCurve">'General Settings'!$D$8</definedName>
    <definedName name="OisEngine">'General Settings'!$D$18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6">Contribution!$L$3:$L$84</definedName>
    <definedName name="QuoteLive" localSheetId="6">Contribution!$H$3:$H$84</definedName>
    <definedName name="QuoteStatic" localSheetId="6">Contribution!$J$3:$J$84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Tenor12M" localSheetId="6">Contribution!$A$26</definedName>
    <definedName name="Tenor1M" localSheetId="6">Contribution!$A$4</definedName>
    <definedName name="Tenor3M" localSheetId="6">Contribution!$A$9</definedName>
    <definedName name="Tenor6M" localSheetId="6">Contribution!$A$16</definedName>
    <definedName name="TraitsID">'General Settings'!$D$31</definedName>
    <definedName name="Trigger">'General Settings'!$I$17</definedName>
    <definedName name="TriggerCounter">'General Settings'!$I$21</definedName>
    <definedName name="YieldCurve">'General Settings'!$D$34</definedName>
  </definedNames>
  <calcPr calcId="145621"/>
</workbook>
</file>

<file path=xl/calcChain.xml><?xml version="1.0" encoding="utf-8"?>
<calcChain xmlns="http://schemas.openxmlformats.org/spreadsheetml/2006/main">
  <c r="E4" i="40" l="1"/>
  <c r="E3" i="40" l="1"/>
  <c r="N5" i="42"/>
  <c r="F7" i="42" l="1"/>
  <c r="F6" i="42"/>
  <c r="F4" i="42"/>
  <c r="F5" i="42"/>
  <c r="L3" i="33" l="1" a="1"/>
  <c r="I36" i="50" l="1"/>
  <c r="H36" i="50"/>
  <c r="J36" i="50" s="1"/>
  <c r="I35" i="50"/>
  <c r="H35" i="50"/>
  <c r="J35" i="50" s="1"/>
  <c r="I34" i="50"/>
  <c r="H34" i="50"/>
  <c r="J34" i="50" s="1"/>
  <c r="I33" i="50"/>
  <c r="H33" i="50"/>
  <c r="J33" i="50" s="1"/>
  <c r="I32" i="50"/>
  <c r="H32" i="50"/>
  <c r="J32" i="50" s="1"/>
  <c r="I31" i="50"/>
  <c r="H31" i="50"/>
  <c r="J31" i="50" s="1"/>
  <c r="I30" i="50"/>
  <c r="H30" i="50"/>
  <c r="J30" i="50" s="1"/>
  <c r="I29" i="50"/>
  <c r="H29" i="50"/>
  <c r="J29" i="50" s="1"/>
  <c r="I28" i="50"/>
  <c r="H28" i="50"/>
  <c r="J28" i="50" s="1"/>
  <c r="I27" i="50"/>
  <c r="H27" i="50"/>
  <c r="J27" i="50" s="1"/>
  <c r="I26" i="50"/>
  <c r="H26" i="50"/>
  <c r="J26" i="50" s="1"/>
  <c r="I25" i="50"/>
  <c r="H25" i="50"/>
  <c r="J25" i="50" s="1"/>
  <c r="I24" i="50"/>
  <c r="H24" i="50"/>
  <c r="J24" i="50" s="1"/>
  <c r="I23" i="50"/>
  <c r="H23" i="50"/>
  <c r="J23" i="50" s="1"/>
  <c r="I22" i="50"/>
  <c r="H22" i="50"/>
  <c r="J22" i="50" s="1"/>
  <c r="I21" i="50"/>
  <c r="H21" i="50"/>
  <c r="J21" i="50" s="1"/>
  <c r="I20" i="50"/>
  <c r="H20" i="50"/>
  <c r="J20" i="50" s="1"/>
  <c r="I19" i="50"/>
  <c r="H19" i="50"/>
  <c r="J19" i="50" s="1"/>
  <c r="I18" i="50"/>
  <c r="H18" i="50"/>
  <c r="J18" i="50" s="1"/>
  <c r="I17" i="50"/>
  <c r="H17" i="50"/>
  <c r="J17" i="50" s="1"/>
  <c r="I16" i="50"/>
  <c r="H16" i="50"/>
  <c r="J16" i="50" s="1"/>
  <c r="I15" i="50"/>
  <c r="H15" i="50"/>
  <c r="J15" i="50" s="1"/>
  <c r="I14" i="50"/>
  <c r="H14" i="50"/>
  <c r="J14" i="50" s="1"/>
  <c r="I13" i="50"/>
  <c r="H13" i="50"/>
  <c r="J13" i="50" s="1"/>
  <c r="I12" i="50"/>
  <c r="H12" i="50"/>
  <c r="J12" i="50" s="1"/>
  <c r="I11" i="50"/>
  <c r="H11" i="50"/>
  <c r="J11" i="50" s="1"/>
  <c r="I10" i="50"/>
  <c r="H10" i="50"/>
  <c r="J10" i="50" s="1"/>
  <c r="I9" i="50"/>
  <c r="H9" i="50"/>
  <c r="J9" i="50" s="1"/>
  <c r="J8" i="50"/>
  <c r="I8" i="50"/>
  <c r="H8" i="50"/>
  <c r="I7" i="50"/>
  <c r="H7" i="50"/>
  <c r="J7" i="50" s="1"/>
  <c r="I6" i="50"/>
  <c r="H6" i="50"/>
  <c r="J6" i="50" s="1"/>
  <c r="I5" i="50"/>
  <c r="H5" i="50"/>
  <c r="J5" i="50" s="1"/>
  <c r="I4" i="50"/>
  <c r="H4" i="50"/>
  <c r="J4" i="50" s="1"/>
  <c r="I3" i="50"/>
  <c r="H3" i="50"/>
  <c r="J3" i="50" s="1"/>
  <c r="K2" i="50"/>
  <c r="J2" i="50"/>
  <c r="D8" i="29"/>
  <c r="L3" i="50"/>
  <c r="K35" i="50"/>
  <c r="K22" i="50"/>
  <c r="K7" i="50"/>
  <c r="L2" i="50"/>
  <c r="K34" i="50"/>
  <c r="K1" i="47"/>
  <c r="K24" i="50"/>
  <c r="K9" i="50"/>
  <c r="K30" i="50"/>
  <c r="K36" i="50"/>
  <c r="K29" i="50"/>
  <c r="K12" i="50"/>
  <c r="K19" i="50"/>
  <c r="K5" i="50"/>
  <c r="K31" i="50"/>
  <c r="K15" i="50"/>
  <c r="K28" i="50"/>
  <c r="K27" i="50"/>
  <c r="K13" i="50"/>
  <c r="K18" i="50"/>
  <c r="K32" i="50"/>
  <c r="K6" i="50"/>
  <c r="L6" i="50" s="1"/>
  <c r="K26" i="50"/>
  <c r="K17" i="50"/>
  <c r="L17" i="50" s="1"/>
  <c r="L5" i="50"/>
  <c r="K1" i="45"/>
  <c r="K8" i="50"/>
  <c r="L8" i="50" s="1"/>
  <c r="K4" i="50"/>
  <c r="K14" i="50"/>
  <c r="K10" i="50"/>
  <c r="L10" i="50" s="1"/>
  <c r="K21" i="50"/>
  <c r="K23" i="50"/>
  <c r="L24" i="50"/>
  <c r="K16" i="50"/>
  <c r="K11" i="50"/>
  <c r="K33" i="50"/>
  <c r="L33" i="50" s="1"/>
  <c r="L9" i="50"/>
  <c r="K25" i="50"/>
  <c r="K20" i="50"/>
  <c r="J6" i="47" l="1"/>
  <c r="J8" i="47"/>
  <c r="J7" i="47"/>
  <c r="J5" i="47"/>
  <c r="J10" i="47"/>
  <c r="J9" i="47"/>
  <c r="D7" i="42"/>
  <c r="E7" i="42" s="1"/>
  <c r="D6" i="42"/>
  <c r="E6" i="42" s="1"/>
  <c r="D5" i="42"/>
  <c r="E5" i="42" s="1"/>
  <c r="L25" i="50"/>
  <c r="L30" i="50"/>
  <c r="L36" i="50"/>
  <c r="L22" i="50"/>
  <c r="L31" i="50"/>
  <c r="L4" i="50"/>
  <c r="L23" i="50"/>
  <c r="L28" i="50"/>
  <c r="L19" i="50"/>
  <c r="L16" i="50"/>
  <c r="L35" i="50"/>
  <c r="L7" i="50"/>
  <c r="L11" i="50"/>
  <c r="L34" i="50"/>
  <c r="L27" i="50"/>
  <c r="L14" i="50"/>
  <c r="L32" i="50"/>
  <c r="L15" i="50"/>
  <c r="L20" i="50"/>
  <c r="L21" i="50"/>
  <c r="L18" i="50"/>
  <c r="L13" i="50"/>
  <c r="L29" i="50"/>
  <c r="L12" i="50"/>
  <c r="L26" i="50"/>
  <c r="J13" i="49" l="1"/>
  <c r="N13" i="39"/>
  <c r="B5" i="39"/>
  <c r="B6" i="39"/>
  <c r="B7" i="39"/>
  <c r="B4" i="39"/>
  <c r="N13" i="43"/>
  <c r="B5" i="43"/>
  <c r="B6" i="43"/>
  <c r="B7" i="43"/>
  <c r="B4" i="43"/>
  <c r="B5" i="48"/>
  <c r="B6" i="48"/>
  <c r="B7" i="48"/>
  <c r="B4" i="48"/>
  <c r="J13" i="48"/>
  <c r="O30" i="47"/>
  <c r="O32" i="47"/>
  <c r="O33" i="47"/>
  <c r="O34" i="47"/>
  <c r="O35" i="47"/>
  <c r="O36" i="47"/>
  <c r="O31" i="47"/>
  <c r="N32" i="47"/>
  <c r="N33" i="47"/>
  <c r="N34" i="47"/>
  <c r="N35" i="47"/>
  <c r="N36" i="47"/>
  <c r="N31" i="47"/>
  <c r="O27" i="45"/>
  <c r="O28" i="45"/>
  <c r="O29" i="45"/>
  <c r="O26" i="45"/>
  <c r="S30" i="47"/>
  <c r="O29" i="47"/>
  <c r="H2" i="40"/>
  <c r="D2" i="40"/>
  <c r="C6" i="40"/>
  <c r="C5" i="40"/>
  <c r="C4" i="40"/>
  <c r="I2" i="42"/>
  <c r="E2" i="42"/>
  <c r="N27" i="45"/>
  <c r="N28" i="45"/>
  <c r="N29" i="45"/>
  <c r="N26" i="45"/>
  <c r="S25" i="45"/>
  <c r="O25" i="45"/>
  <c r="O24" i="45"/>
  <c r="G24" i="29"/>
  <c r="B24" i="29"/>
  <c r="B5" i="49" l="1"/>
  <c r="C5" i="49" s="1"/>
  <c r="B6" i="49"/>
  <c r="C6" i="49" s="1"/>
  <c r="B7" i="49"/>
  <c r="C7" i="49" s="1"/>
  <c r="B4" i="49"/>
  <c r="C4" i="49" s="1"/>
  <c r="L4" i="49"/>
  <c r="L3" i="49"/>
  <c r="M32" i="47"/>
  <c r="M33" i="47" s="1"/>
  <c r="M34" i="47" s="1"/>
  <c r="M35" i="47" s="1"/>
  <c r="M36" i="47" s="1"/>
  <c r="C5" i="48"/>
  <c r="C6" i="48"/>
  <c r="C7" i="48"/>
  <c r="C4" i="48"/>
  <c r="L4" i="48"/>
  <c r="L3" i="48"/>
  <c r="P4" i="39"/>
  <c r="P3" i="39"/>
  <c r="P4" i="43"/>
  <c r="P3" i="43"/>
  <c r="C4" i="43"/>
  <c r="C4" i="39"/>
  <c r="C5" i="43"/>
  <c r="C6" i="43"/>
  <c r="C7" i="43"/>
  <c r="Q3" i="45" l="1"/>
  <c r="Q4" i="47" l="1"/>
  <c r="Q3" i="47"/>
  <c r="J4" i="47"/>
  <c r="K5" i="47"/>
  <c r="K4" i="47"/>
  <c r="L4" i="47" s="1"/>
  <c r="S4" i="47"/>
  <c r="L1" i="47"/>
  <c r="K8" i="47"/>
  <c r="K9" i="47"/>
  <c r="L9" i="47" s="1"/>
  <c r="S8" i="47"/>
  <c r="O4" i="47"/>
  <c r="O8" i="47"/>
  <c r="T9" i="47"/>
  <c r="J5" i="45" l="1"/>
  <c r="J6" i="45"/>
  <c r="J7" i="45"/>
  <c r="J8" i="45"/>
  <c r="J9" i="45"/>
  <c r="J4" i="45"/>
  <c r="T5" i="47"/>
  <c r="T4" i="47"/>
  <c r="K7" i="45"/>
  <c r="O7" i="45"/>
  <c r="K6" i="47"/>
  <c r="K6" i="45"/>
  <c r="L5" i="47"/>
  <c r="S7" i="45"/>
  <c r="O9" i="47"/>
  <c r="T8" i="47"/>
  <c r="T6" i="47"/>
  <c r="O6" i="47"/>
  <c r="L6" i="45"/>
  <c r="K8" i="45"/>
  <c r="L8" i="47"/>
  <c r="T7" i="45"/>
  <c r="O5" i="47"/>
  <c r="S5" i="47"/>
  <c r="T6" i="45"/>
  <c r="L6" i="47"/>
  <c r="K10" i="47"/>
  <c r="S9" i="47"/>
  <c r="S6" i="45"/>
  <c r="K5" i="45"/>
  <c r="K9" i="45"/>
  <c r="O9" i="45"/>
  <c r="K7" i="47"/>
  <c r="K4" i="45"/>
  <c r="L1" i="45"/>
  <c r="O8" i="45"/>
  <c r="L8" i="45"/>
  <c r="T10" i="47"/>
  <c r="L10" i="47"/>
  <c r="S10" i="47"/>
  <c r="S5" i="45"/>
  <c r="T5" i="45"/>
  <c r="O5" i="45"/>
  <c r="L5" i="45"/>
  <c r="L9" i="45"/>
  <c r="L7" i="47"/>
  <c r="O7" i="47"/>
  <c r="S7" i="47"/>
  <c r="T7" i="47"/>
  <c r="L4" i="45"/>
  <c r="T4" i="45"/>
  <c r="S4" i="45"/>
  <c r="C6" i="39" l="1"/>
  <c r="C7" i="39"/>
  <c r="C5" i="39"/>
  <c r="O4" i="45"/>
  <c r="O6" i="45"/>
  <c r="T9" i="45"/>
  <c r="S9" i="45"/>
  <c r="L7" i="45"/>
  <c r="S6" i="47"/>
  <c r="S8" i="45"/>
  <c r="O10" i="47"/>
  <c r="T8" i="45"/>
  <c r="D6" i="40" l="1"/>
  <c r="D5" i="40"/>
  <c r="A7" i="40"/>
  <c r="A8" i="40" l="1"/>
  <c r="C7" i="40"/>
  <c r="D7" i="40" s="1"/>
  <c r="A9" i="40" l="1"/>
  <c r="C8" i="40"/>
  <c r="D8" i="40" s="1"/>
  <c r="C9" i="40" l="1"/>
  <c r="D9" i="40" s="1"/>
  <c r="A10" i="40"/>
  <c r="C10" i="40" l="1"/>
  <c r="A11" i="40"/>
  <c r="D10" i="40"/>
  <c r="C11" i="40" l="1"/>
  <c r="D11" i="40" s="1"/>
  <c r="A12" i="40"/>
  <c r="C12" i="40" l="1"/>
  <c r="A13" i="40"/>
  <c r="D12" i="40"/>
  <c r="C13" i="40" l="1"/>
  <c r="A14" i="40"/>
  <c r="D13" i="40"/>
  <c r="I21" i="29"/>
  <c r="I18" i="29"/>
  <c r="C14" i="40" l="1"/>
  <c r="D14" i="40" s="1"/>
  <c r="A15" i="40"/>
  <c r="G75" i="33"/>
  <c r="G76" i="33"/>
  <c r="G77" i="33"/>
  <c r="G78" i="33"/>
  <c r="G79" i="33"/>
  <c r="G80" i="33"/>
  <c r="G81" i="33"/>
  <c r="G82" i="33"/>
  <c r="G83" i="33"/>
  <c r="G84" i="33"/>
  <c r="G74" i="33"/>
  <c r="D17" i="29"/>
  <c r="C15" i="40" l="1"/>
  <c r="D15" i="40" s="1"/>
  <c r="A16" i="40"/>
  <c r="C2" i="33"/>
  <c r="A9" i="33"/>
  <c r="D8" i="42"/>
  <c r="F8" i="42" s="1"/>
  <c r="C16" i="40" l="1"/>
  <c r="D16" i="40" s="1"/>
  <c r="A17" i="40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17" i="40" l="1"/>
  <c r="A18" i="40"/>
  <c r="D17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D41" i="33"/>
  <c r="D76" i="33"/>
  <c r="D69" i="33"/>
  <c r="D66" i="33"/>
  <c r="D70" i="33"/>
  <c r="D54" i="33"/>
  <c r="D75" i="33"/>
  <c r="D63" i="33"/>
  <c r="D60" i="33"/>
  <c r="D56" i="33"/>
  <c r="D73" i="33"/>
  <c r="D80" i="33"/>
  <c r="D67" i="33"/>
  <c r="D49" i="33"/>
  <c r="D42" i="33"/>
  <c r="D59" i="33"/>
  <c r="D55" i="33"/>
  <c r="D72" i="33"/>
  <c r="D48" i="33"/>
  <c r="D62" i="33"/>
  <c r="D50" i="33"/>
  <c r="D58" i="33"/>
  <c r="D79" i="33"/>
  <c r="D47" i="33"/>
  <c r="D43" i="33"/>
  <c r="D64" i="33"/>
  <c r="D77" i="33"/>
  <c r="D65" i="33"/>
  <c r="D71" i="33"/>
  <c r="D74" i="33"/>
  <c r="D61" i="33"/>
  <c r="D84" i="33"/>
  <c r="D45" i="33"/>
  <c r="D78" i="33"/>
  <c r="D44" i="33"/>
  <c r="D82" i="33"/>
  <c r="D83" i="33"/>
  <c r="D52" i="33"/>
  <c r="D57" i="33"/>
  <c r="D81" i="33"/>
  <c r="D53" i="33"/>
  <c r="D46" i="33"/>
  <c r="D51" i="33"/>
  <c r="D68" i="33"/>
  <c r="C18" i="40" l="1"/>
  <c r="A19" i="40"/>
  <c r="D18" i="40"/>
  <c r="C9" i="33"/>
  <c r="C12" i="33"/>
  <c r="C13" i="33"/>
  <c r="C8" i="33"/>
  <c r="C14" i="33"/>
  <c r="C11" i="33"/>
  <c r="C10" i="33"/>
  <c r="A16" i="33"/>
  <c r="A4" i="33"/>
  <c r="A26" i="33"/>
  <c r="E65" i="33"/>
  <c r="E62" i="33"/>
  <c r="E46" i="33"/>
  <c r="E45" i="33"/>
  <c r="E84" i="33"/>
  <c r="E59" i="33"/>
  <c r="E64" i="33"/>
  <c r="E75" i="33"/>
  <c r="E58" i="33"/>
  <c r="E55" i="33"/>
  <c r="E49" i="33"/>
  <c r="E56" i="33"/>
  <c r="E47" i="33"/>
  <c r="E41" i="33"/>
  <c r="E42" i="33"/>
  <c r="E63" i="33"/>
  <c r="E67" i="33"/>
  <c r="E43" i="33"/>
  <c r="E73" i="33"/>
  <c r="E60" i="33"/>
  <c r="E72" i="33"/>
  <c r="E50" i="33"/>
  <c r="E81" i="33"/>
  <c r="E71" i="33"/>
  <c r="E79" i="33"/>
  <c r="E77" i="33"/>
  <c r="E66" i="33"/>
  <c r="E76" i="33"/>
  <c r="E68" i="33"/>
  <c r="E57" i="33"/>
  <c r="E74" i="33"/>
  <c r="E82" i="33"/>
  <c r="E52" i="33"/>
  <c r="E61" i="33"/>
  <c r="E83" i="33"/>
  <c r="E48" i="33"/>
  <c r="E80" i="33"/>
  <c r="E54" i="33"/>
  <c r="E53" i="33"/>
  <c r="E69" i="33"/>
  <c r="E51" i="33"/>
  <c r="E78" i="33"/>
  <c r="E44" i="33"/>
  <c r="E70" i="33"/>
  <c r="C19" i="40" l="1"/>
  <c r="A20" i="40"/>
  <c r="D19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D3" i="33"/>
  <c r="E28" i="49"/>
  <c r="P33" i="47"/>
  <c r="D5" i="43"/>
  <c r="D34" i="33"/>
  <c r="D15" i="35"/>
  <c r="D14" i="35"/>
  <c r="D28" i="33"/>
  <c r="D5" i="35"/>
  <c r="E21" i="39"/>
  <c r="E20" i="43"/>
  <c r="D18" i="35"/>
  <c r="D16" i="33"/>
  <c r="D33" i="35"/>
  <c r="D35" i="33"/>
  <c r="D3" i="35"/>
  <c r="D6" i="39"/>
  <c r="D13" i="35"/>
  <c r="D36" i="33"/>
  <c r="D30" i="35"/>
  <c r="E27" i="49"/>
  <c r="E17" i="43"/>
  <c r="D27" i="33"/>
  <c r="E21" i="43"/>
  <c r="D5" i="49"/>
  <c r="D37" i="33"/>
  <c r="D25" i="33"/>
  <c r="E19" i="39"/>
  <c r="E30" i="49"/>
  <c r="D46" i="35"/>
  <c r="D7" i="35"/>
  <c r="D19" i="33"/>
  <c r="D22" i="33"/>
  <c r="D37" i="35"/>
  <c r="D2" i="35"/>
  <c r="E24" i="49"/>
  <c r="E16" i="48"/>
  <c r="E22" i="39"/>
  <c r="D34" i="35"/>
  <c r="E17" i="49"/>
  <c r="D33" i="33"/>
  <c r="D11" i="33"/>
  <c r="D5" i="39"/>
  <c r="D47" i="35"/>
  <c r="D23" i="33"/>
  <c r="B1" i="29"/>
  <c r="D24" i="35"/>
  <c r="D7" i="48"/>
  <c r="E20" i="49"/>
  <c r="D24" i="33"/>
  <c r="D6" i="43"/>
  <c r="D38" i="35"/>
  <c r="E15" i="49"/>
  <c r="D7" i="33"/>
  <c r="D12" i="35"/>
  <c r="D30" i="33"/>
  <c r="D48" i="35"/>
  <c r="E20" i="39"/>
  <c r="D10" i="35"/>
  <c r="D7" i="39"/>
  <c r="P31" i="47"/>
  <c r="D7" i="43"/>
  <c r="D11" i="35"/>
  <c r="E15" i="48"/>
  <c r="D6" i="35"/>
  <c r="P34" i="47"/>
  <c r="D31" i="33"/>
  <c r="D18" i="33"/>
  <c r="D35" i="35"/>
  <c r="P36" i="47"/>
  <c r="D22" i="35"/>
  <c r="D20" i="35"/>
  <c r="D23" i="35"/>
  <c r="D13" i="33"/>
  <c r="D21" i="33"/>
  <c r="D42" i="35"/>
  <c r="E17" i="39"/>
  <c r="E19" i="48"/>
  <c r="D8" i="33"/>
  <c r="E15" i="39"/>
  <c r="D6" i="48"/>
  <c r="E29" i="49"/>
  <c r="D4" i="33"/>
  <c r="E19" i="49"/>
  <c r="E18" i="48"/>
  <c r="D14" i="33"/>
  <c r="E18" i="39"/>
  <c r="D9" i="33"/>
  <c r="E17" i="48"/>
  <c r="D43" i="35"/>
  <c r="D21" i="35"/>
  <c r="D26" i="33"/>
  <c r="D39" i="33"/>
  <c r="E19" i="43"/>
  <c r="D5" i="33"/>
  <c r="D26" i="35"/>
  <c r="D32" i="33"/>
  <c r="D45" i="35"/>
  <c r="E21" i="49"/>
  <c r="D28" i="35"/>
  <c r="D49" i="35"/>
  <c r="D29" i="33"/>
  <c r="D50" i="35"/>
  <c r="D16" i="35"/>
  <c r="D20" i="33"/>
  <c r="D12" i="33"/>
  <c r="D6" i="33"/>
  <c r="E23" i="39"/>
  <c r="D17" i="35"/>
  <c r="D19" i="35"/>
  <c r="E16" i="39"/>
  <c r="D32" i="35"/>
  <c r="E22" i="49"/>
  <c r="D29" i="35"/>
  <c r="D38" i="33"/>
  <c r="D18" i="29"/>
  <c r="P32" i="47"/>
  <c r="D6" i="49"/>
  <c r="D40" i="35"/>
  <c r="D4" i="35"/>
  <c r="E25" i="49"/>
  <c r="E23" i="49"/>
  <c r="D41" i="35"/>
  <c r="D9" i="35"/>
  <c r="D40" i="33"/>
  <c r="E18" i="49"/>
  <c r="D36" i="35"/>
  <c r="P35" i="47"/>
  <c r="D27" i="35"/>
  <c r="E24" i="39"/>
  <c r="D15" i="33"/>
  <c r="D39" i="35"/>
  <c r="E18" i="43"/>
  <c r="E16" i="43"/>
  <c r="E16" i="49"/>
  <c r="D17" i="33"/>
  <c r="D25" i="35"/>
  <c r="D10" i="33"/>
  <c r="E15" i="43"/>
  <c r="D8" i="35"/>
  <c r="E26" i="49"/>
  <c r="D44" i="35"/>
  <c r="D5" i="48"/>
  <c r="D7" i="49"/>
  <c r="D31" i="35"/>
  <c r="C20" i="40" l="1"/>
  <c r="D20" i="40" s="1"/>
  <c r="A21" i="40"/>
  <c r="D4" i="40"/>
  <c r="O11" i="45"/>
  <c r="E4" i="42"/>
  <c r="D10" i="49"/>
  <c r="C3" i="49" s="1"/>
  <c r="D10" i="39"/>
  <c r="C3" i="39" s="1"/>
  <c r="D10" i="43"/>
  <c r="C3" i="43" s="1"/>
  <c r="D10" i="48"/>
  <c r="C3" i="48" s="1"/>
  <c r="O12" i="47"/>
  <c r="D25" i="49"/>
  <c r="D26" i="49"/>
  <c r="D19" i="49"/>
  <c r="D27" i="49"/>
  <c r="D20" i="49"/>
  <c r="D28" i="49"/>
  <c r="D21" i="49"/>
  <c r="D29" i="49"/>
  <c r="D22" i="49"/>
  <c r="D30" i="49"/>
  <c r="D23" i="49"/>
  <c r="D24" i="49"/>
  <c r="D18" i="49"/>
  <c r="D4" i="49"/>
  <c r="AB3" i="49"/>
  <c r="D15" i="49"/>
  <c r="D16" i="49"/>
  <c r="P26" i="45"/>
  <c r="D17" i="49"/>
  <c r="D19" i="48"/>
  <c r="D15" i="48"/>
  <c r="D17" i="48"/>
  <c r="D16" i="48"/>
  <c r="D4" i="48"/>
  <c r="D18" i="48"/>
  <c r="AB3" i="48"/>
  <c r="J3" i="45"/>
  <c r="J3" i="47"/>
  <c r="AF3" i="43"/>
  <c r="D16" i="43"/>
  <c r="D20" i="43"/>
  <c r="D21" i="43"/>
  <c r="D4" i="43"/>
  <c r="D19" i="43"/>
  <c r="D15" i="43"/>
  <c r="D18" i="43"/>
  <c r="D17" i="43"/>
  <c r="D16" i="39"/>
  <c r="D4" i="39"/>
  <c r="D21" i="39"/>
  <c r="D22" i="39"/>
  <c r="D23" i="39"/>
  <c r="D20" i="39"/>
  <c r="D19" i="39"/>
  <c r="D15" i="39"/>
  <c r="D24" i="39"/>
  <c r="D18" i="39"/>
  <c r="AF3" i="39"/>
  <c r="D17" i="39"/>
  <c r="F3" i="42"/>
  <c r="K7" i="43"/>
  <c r="E6" i="48"/>
  <c r="K4" i="43"/>
  <c r="K6" i="43"/>
  <c r="G6" i="48"/>
  <c r="G7" i="48"/>
  <c r="G7" i="49"/>
  <c r="G5" i="49"/>
  <c r="K5" i="43"/>
  <c r="E5" i="43"/>
  <c r="E5" i="48"/>
  <c r="G6" i="49"/>
  <c r="G5" i="48"/>
  <c r="L5" i="43"/>
  <c r="M5" i="43" l="1"/>
  <c r="C21" i="40"/>
  <c r="D21" i="40" s="1"/>
  <c r="A22" i="40"/>
  <c r="H5" i="43"/>
  <c r="C22" i="40" l="1"/>
  <c r="D22" i="40" s="1"/>
  <c r="D2" i="33"/>
  <c r="E8" i="42" l="1"/>
  <c r="J15" i="43"/>
  <c r="J24" i="39"/>
  <c r="F15" i="49"/>
  <c r="J18" i="39"/>
  <c r="F16" i="49"/>
  <c r="AC3" i="49"/>
  <c r="F18" i="48"/>
  <c r="F20" i="49"/>
  <c r="F19" i="48"/>
  <c r="F16" i="48"/>
  <c r="J21" i="39"/>
  <c r="E7" i="43"/>
  <c r="F15" i="48"/>
  <c r="F21" i="49"/>
  <c r="E7" i="49"/>
  <c r="J18" i="43"/>
  <c r="K7" i="39"/>
  <c r="AG3" i="43"/>
  <c r="E6" i="43"/>
  <c r="F30" i="49"/>
  <c r="J15" i="39"/>
  <c r="E5" i="39"/>
  <c r="AG3" i="39"/>
  <c r="F29" i="49"/>
  <c r="J20" i="43"/>
  <c r="AB4" i="48"/>
  <c r="J17" i="39"/>
  <c r="K4" i="39"/>
  <c r="F25" i="49"/>
  <c r="F22" i="49"/>
  <c r="J21" i="43"/>
  <c r="F19" i="49"/>
  <c r="J20" i="39"/>
  <c r="J16" i="39"/>
  <c r="F28" i="49"/>
  <c r="G4" i="49"/>
  <c r="H6" i="48"/>
  <c r="AF4" i="43"/>
  <c r="E5" i="49"/>
  <c r="E4" i="48"/>
  <c r="AB4" i="49"/>
  <c r="K3" i="45"/>
  <c r="F26" i="49"/>
  <c r="F17" i="49"/>
  <c r="E7" i="48"/>
  <c r="H5" i="48"/>
  <c r="K5" i="39"/>
  <c r="K6" i="39"/>
  <c r="J17" i="43"/>
  <c r="AC3" i="48"/>
  <c r="F27" i="49"/>
  <c r="E6" i="39"/>
  <c r="J22" i="39"/>
  <c r="G4" i="48"/>
  <c r="E7" i="39"/>
  <c r="T3" i="45"/>
  <c r="F24" i="49"/>
  <c r="E6" i="49"/>
  <c r="J19" i="43"/>
  <c r="F18" i="49"/>
  <c r="J16" i="43"/>
  <c r="E4" i="49"/>
  <c r="AF4" i="39"/>
  <c r="F17" i="48"/>
  <c r="E4" i="39"/>
  <c r="J19" i="39"/>
  <c r="K3" i="47"/>
  <c r="J23" i="39"/>
  <c r="F23" i="49"/>
  <c r="E4" i="43"/>
  <c r="L13" i="45" a="1"/>
  <c r="S3" i="45"/>
  <c r="L3" i="45"/>
  <c r="O3" i="45"/>
  <c r="S3" i="47"/>
  <c r="O3" i="47"/>
  <c r="L19" i="45" l="1"/>
  <c r="L17" i="45"/>
  <c r="L21" i="45"/>
  <c r="L15" i="45"/>
  <c r="L16" i="45"/>
  <c r="L18" i="45"/>
  <c r="L14" i="45"/>
  <c r="L13" i="45"/>
  <c r="L20" i="45"/>
  <c r="J6" i="48"/>
  <c r="K6" i="48"/>
  <c r="I6" i="48"/>
  <c r="J5" i="48"/>
  <c r="I5" i="48"/>
  <c r="K5" i="48"/>
  <c r="L4" i="43"/>
  <c r="AC4" i="49"/>
  <c r="AG4" i="43"/>
  <c r="L7" i="39"/>
  <c r="T3" i="47"/>
  <c r="L5" i="39"/>
  <c r="H4" i="43"/>
  <c r="H5" i="49"/>
  <c r="L6" i="43"/>
  <c r="H7" i="39"/>
  <c r="L4" i="39"/>
  <c r="H6" i="39"/>
  <c r="L7" i="43"/>
  <c r="AB5" i="48"/>
  <c r="AC4" i="48"/>
  <c r="H7" i="49"/>
  <c r="H7" i="43"/>
  <c r="L6" i="39"/>
  <c r="H4" i="48"/>
  <c r="H6" i="49"/>
  <c r="H5" i="39"/>
  <c r="H4" i="49"/>
  <c r="H4" i="39"/>
  <c r="H7" i="48"/>
  <c r="L3" i="47"/>
  <c r="H6" i="43"/>
  <c r="AB5" i="49"/>
  <c r="AB6" i="48"/>
  <c r="AG4" i="39"/>
  <c r="M7" i="43" l="1"/>
  <c r="M6" i="43"/>
  <c r="M4" i="43"/>
  <c r="K4" i="48"/>
  <c r="J4" i="48"/>
  <c r="I4" i="48"/>
  <c r="O6" i="39"/>
  <c r="N6" i="39"/>
  <c r="M6" i="39"/>
  <c r="I7" i="49"/>
  <c r="J7" i="49"/>
  <c r="K7" i="49"/>
  <c r="J5" i="49"/>
  <c r="I5" i="49"/>
  <c r="K5" i="49"/>
  <c r="O7" i="39"/>
  <c r="N7" i="39"/>
  <c r="M7" i="39"/>
  <c r="J7" i="48"/>
  <c r="I7" i="48"/>
  <c r="K7" i="48"/>
  <c r="K6" i="49"/>
  <c r="J6" i="49"/>
  <c r="I6" i="49"/>
  <c r="K4" i="49"/>
  <c r="J4" i="49"/>
  <c r="I4" i="49"/>
  <c r="N4" i="39"/>
  <c r="M4" i="39"/>
  <c r="O4" i="39"/>
  <c r="O5" i="39"/>
  <c r="N5" i="39"/>
  <c r="M5" i="39"/>
  <c r="N4" i="43"/>
  <c r="O4" i="43"/>
  <c r="AF5" i="43"/>
  <c r="O14" i="47" a="1"/>
  <c r="E36" i="33"/>
  <c r="E25" i="33"/>
  <c r="E28" i="33"/>
  <c r="E34" i="33"/>
  <c r="D19" i="29"/>
  <c r="E35" i="33"/>
  <c r="S13" i="45" a="1"/>
  <c r="E19" i="33"/>
  <c r="D20" i="29"/>
  <c r="E30" i="33"/>
  <c r="R13" i="45" a="1"/>
  <c r="E6" i="33"/>
  <c r="E17" i="33"/>
  <c r="E7" i="33"/>
  <c r="E24" i="33"/>
  <c r="AC5" i="49"/>
  <c r="E29" i="33"/>
  <c r="E32" i="33"/>
  <c r="E33" i="33"/>
  <c r="AC6" i="48"/>
  <c r="E4" i="33"/>
  <c r="O13" i="45" a="1"/>
  <c r="S14" i="47" a="1"/>
  <c r="L14" i="47" a="1"/>
  <c r="E16" i="33"/>
  <c r="E5" i="33"/>
  <c r="AB6" i="49"/>
  <c r="E40" i="33"/>
  <c r="E27" i="33"/>
  <c r="E23" i="33"/>
  <c r="E22" i="33"/>
  <c r="R14" i="47" a="1"/>
  <c r="AB7" i="48"/>
  <c r="AC5" i="48"/>
  <c r="E38" i="33"/>
  <c r="E3" i="33"/>
  <c r="I34" i="29"/>
  <c r="E31" i="33"/>
  <c r="E21" i="33"/>
  <c r="E15" i="33"/>
  <c r="E37" i="33"/>
  <c r="AC7" i="48"/>
  <c r="E20" i="33"/>
  <c r="AF5" i="39"/>
  <c r="E26" i="33"/>
  <c r="E18" i="33"/>
  <c r="AB7" i="49"/>
  <c r="E39" i="33"/>
  <c r="H37" i="29"/>
  <c r="H38" i="29"/>
  <c r="O6" i="43" l="1"/>
  <c r="N6" i="43"/>
  <c r="L14" i="47"/>
  <c r="L19" i="47"/>
  <c r="L26" i="47"/>
  <c r="L24" i="47"/>
  <c r="L25" i="47"/>
  <c r="L20" i="47"/>
  <c r="L17" i="47"/>
  <c r="L23" i="47"/>
  <c r="L21" i="47"/>
  <c r="L18" i="47"/>
  <c r="L27" i="47"/>
  <c r="L16" i="47"/>
  <c r="L15" i="47"/>
  <c r="L22" i="47"/>
  <c r="O7" i="43"/>
  <c r="N7" i="43"/>
  <c r="O18" i="45"/>
  <c r="O19" i="45"/>
  <c r="O20" i="45"/>
  <c r="O21" i="45"/>
  <c r="O16" i="45"/>
  <c r="O13" i="45"/>
  <c r="O14" i="45"/>
  <c r="O15" i="45"/>
  <c r="O17" i="45"/>
  <c r="R15" i="45"/>
  <c r="R17" i="45"/>
  <c r="R14" i="45"/>
  <c r="R13" i="45"/>
  <c r="R20" i="45"/>
  <c r="R18" i="45"/>
  <c r="R16" i="45"/>
  <c r="R21" i="45"/>
  <c r="R19" i="45"/>
  <c r="S19" i="45"/>
  <c r="S16" i="45"/>
  <c r="S13" i="45"/>
  <c r="S15" i="45"/>
  <c r="S21" i="45"/>
  <c r="S20" i="45"/>
  <c r="S14" i="45"/>
  <c r="S17" i="45"/>
  <c r="S18" i="45"/>
  <c r="O21" i="47"/>
  <c r="O15" i="47"/>
  <c r="O27" i="47"/>
  <c r="O23" i="47"/>
  <c r="O22" i="47"/>
  <c r="O16" i="47"/>
  <c r="O19" i="47"/>
  <c r="O17" i="47"/>
  <c r="O25" i="47"/>
  <c r="O20" i="47"/>
  <c r="O26" i="47"/>
  <c r="O24" i="47"/>
  <c r="O14" i="47"/>
  <c r="O18" i="47"/>
  <c r="S24" i="47"/>
  <c r="S15" i="47"/>
  <c r="S20" i="47"/>
  <c r="S23" i="47"/>
  <c r="S25" i="47"/>
  <c r="S26" i="47"/>
  <c r="S17" i="47"/>
  <c r="S14" i="47"/>
  <c r="S19" i="47"/>
  <c r="S22" i="47"/>
  <c r="S27" i="47"/>
  <c r="S18" i="47"/>
  <c r="S21" i="47"/>
  <c r="S16" i="47"/>
  <c r="R16" i="47"/>
  <c r="R21" i="47"/>
  <c r="R25" i="47"/>
  <c r="R24" i="47"/>
  <c r="R20" i="47"/>
  <c r="R22" i="47"/>
  <c r="R27" i="47"/>
  <c r="R18" i="47"/>
  <c r="R23" i="47"/>
  <c r="R19" i="47"/>
  <c r="R17" i="47"/>
  <c r="R15" i="47"/>
  <c r="R14" i="47"/>
  <c r="R26" i="47"/>
  <c r="N5" i="43"/>
  <c r="O5" i="43"/>
  <c r="I37" i="29"/>
  <c r="I38" i="29"/>
  <c r="AG5" i="43"/>
  <c r="AF6" i="43"/>
  <c r="AC7" i="49"/>
  <c r="I28" i="29"/>
  <c r="Q26" i="45" s="1"/>
  <c r="AB8" i="49"/>
  <c r="AB8" i="48"/>
  <c r="AF6" i="39"/>
  <c r="AB9" i="49"/>
  <c r="AB10" i="49" s="1"/>
  <c r="AG5" i="39"/>
  <c r="AC6" i="49"/>
  <c r="AC8" i="49"/>
  <c r="AC9" i="49"/>
  <c r="AB11" i="49"/>
  <c r="AC10" i="49"/>
  <c r="AC11" i="49"/>
  <c r="AB12" i="49"/>
  <c r="AB13" i="49"/>
  <c r="AC12" i="49"/>
  <c r="AC13" i="49"/>
  <c r="AB14" i="49"/>
  <c r="AB15" i="49"/>
  <c r="AC14" i="49"/>
  <c r="AC15" i="49"/>
  <c r="AB16" i="49"/>
  <c r="AB17" i="49"/>
  <c r="AC16" i="49"/>
  <c r="AB18" i="49"/>
  <c r="AC17" i="49"/>
  <c r="AC18" i="49"/>
  <c r="AB19" i="49"/>
  <c r="AC19" i="49"/>
  <c r="AB20" i="49"/>
  <c r="AB21" i="49"/>
  <c r="AC20" i="49"/>
  <c r="AB22" i="49"/>
  <c r="AC21" i="49"/>
  <c r="AB23" i="49"/>
  <c r="AC22" i="49"/>
  <c r="AB24" i="49"/>
  <c r="AC23" i="49"/>
  <c r="AB25" i="49"/>
  <c r="AC24" i="49"/>
  <c r="AB26" i="49"/>
  <c r="AC25" i="49"/>
  <c r="AB27" i="49"/>
  <c r="AC26" i="49"/>
  <c r="AC27" i="49"/>
  <c r="AB28" i="49"/>
  <c r="AB29" i="49"/>
  <c r="AC28" i="49"/>
  <c r="AB30" i="49"/>
  <c r="AC29" i="49"/>
  <c r="AB31" i="49"/>
  <c r="AC30" i="49"/>
  <c r="AB32" i="49"/>
  <c r="AC31" i="49"/>
  <c r="AC32" i="49"/>
  <c r="AB33" i="49"/>
  <c r="AC33" i="49"/>
  <c r="AB34" i="49"/>
  <c r="AC34" i="49"/>
  <c r="AB35" i="49"/>
  <c r="AB36" i="49"/>
  <c r="AC35" i="49"/>
  <c r="AB37" i="49"/>
  <c r="AC36" i="49"/>
  <c r="AB38" i="49"/>
  <c r="AC37" i="49"/>
  <c r="AC38" i="49"/>
  <c r="AB39" i="49"/>
  <c r="AC39" i="49"/>
  <c r="AB40" i="49"/>
  <c r="AC40" i="49"/>
  <c r="AB41" i="49"/>
  <c r="AB42" i="49"/>
  <c r="AC41" i="49"/>
  <c r="AB43" i="49"/>
  <c r="AC42" i="49"/>
  <c r="AB44" i="49"/>
  <c r="AC43" i="49"/>
  <c r="AC44" i="49"/>
  <c r="AB45" i="49"/>
  <c r="AC45" i="49"/>
  <c r="AB46" i="49"/>
  <c r="AB47" i="49"/>
  <c r="AC46" i="49"/>
  <c r="AC47" i="49"/>
  <c r="AB48" i="49"/>
  <c r="AB49" i="49"/>
  <c r="AC48" i="49"/>
  <c r="AC49" i="49"/>
  <c r="AB50" i="49"/>
  <c r="AB51" i="49"/>
  <c r="AC50" i="49"/>
  <c r="AC51" i="49"/>
  <c r="AB52" i="49"/>
  <c r="AB53" i="49"/>
  <c r="AC52" i="49"/>
  <c r="AC53" i="49"/>
  <c r="AB54" i="49"/>
  <c r="AC54" i="49"/>
  <c r="AB55" i="49"/>
  <c r="AC55" i="49"/>
  <c r="AB56" i="49"/>
  <c r="AB57" i="49"/>
  <c r="AC56" i="49"/>
  <c r="AC57" i="49"/>
  <c r="AB58" i="49"/>
  <c r="AC58" i="49"/>
  <c r="AB59" i="49"/>
  <c r="AC59" i="49"/>
  <c r="AB60" i="49"/>
  <c r="AC60" i="49"/>
  <c r="AB61" i="49"/>
  <c r="AB62" i="49"/>
  <c r="AC61" i="49"/>
  <c r="AB63" i="49"/>
  <c r="AC62" i="49"/>
  <c r="AB64" i="49"/>
  <c r="AC63" i="49"/>
  <c r="AB65" i="49"/>
  <c r="AC64" i="49"/>
  <c r="AB66" i="49"/>
  <c r="AC65" i="49"/>
  <c r="AC66" i="49"/>
  <c r="AB67" i="49"/>
  <c r="AC67" i="49"/>
  <c r="AB68" i="49"/>
  <c r="AB69" i="49"/>
  <c r="AC68" i="49"/>
  <c r="AC69" i="49"/>
  <c r="AB70" i="49"/>
  <c r="AC70" i="49"/>
  <c r="AB71" i="49"/>
  <c r="AB72" i="49"/>
  <c r="AC71" i="49"/>
  <c r="AC72" i="49"/>
  <c r="AB73" i="49"/>
  <c r="AC73" i="49"/>
  <c r="AB74" i="49"/>
  <c r="AB75" i="49"/>
  <c r="AC74" i="49"/>
  <c r="AC75" i="49"/>
  <c r="AB76" i="49"/>
  <c r="AC76" i="49"/>
  <c r="AB77" i="49"/>
  <c r="AB78" i="49"/>
  <c r="AC77" i="49"/>
  <c r="AC78" i="49"/>
  <c r="AB79" i="49"/>
  <c r="AB80" i="49"/>
  <c r="AC79" i="49"/>
  <c r="AB81" i="49"/>
  <c r="AC80" i="49"/>
  <c r="AB82" i="49"/>
  <c r="AC81" i="49"/>
  <c r="AB83" i="49"/>
  <c r="AC82" i="49"/>
  <c r="AC83" i="49"/>
  <c r="AB84" i="49"/>
  <c r="AB85" i="49"/>
  <c r="AC84" i="49"/>
  <c r="AC85" i="49"/>
  <c r="AB86" i="49"/>
  <c r="AC86" i="49"/>
  <c r="AB87" i="49"/>
  <c r="AB88" i="49"/>
  <c r="AC87" i="49"/>
  <c r="AB89" i="49"/>
  <c r="AC88" i="49"/>
  <c r="AB90" i="49"/>
  <c r="AC89" i="49"/>
  <c r="AC90" i="49"/>
  <c r="AB91" i="49"/>
  <c r="AC91" i="49"/>
  <c r="AB92" i="49"/>
  <c r="AB93" i="49"/>
  <c r="AC92" i="49"/>
  <c r="AB94" i="49"/>
  <c r="AC93" i="49"/>
  <c r="AB95" i="49"/>
  <c r="AC94" i="49"/>
  <c r="AB96" i="49"/>
  <c r="AC95" i="49"/>
  <c r="AC96" i="49"/>
  <c r="AB97" i="49"/>
  <c r="AB98" i="49"/>
  <c r="AC97" i="49"/>
  <c r="AC98" i="49"/>
  <c r="AB99" i="49"/>
  <c r="AC99" i="49"/>
  <c r="AB100" i="49"/>
  <c r="AB101" i="49"/>
  <c r="AC100" i="49"/>
  <c r="AB102" i="49"/>
  <c r="AC101" i="49"/>
  <c r="AC102" i="49"/>
  <c r="AB103" i="49"/>
  <c r="AB104" i="49"/>
  <c r="AC103" i="49"/>
  <c r="AB105" i="49"/>
  <c r="AC104" i="49"/>
  <c r="AB106" i="49"/>
  <c r="AC105" i="49"/>
  <c r="AC106" i="49"/>
  <c r="AB107" i="49"/>
  <c r="AC107" i="49"/>
  <c r="AB108" i="49"/>
  <c r="AC108" i="49"/>
  <c r="AB109" i="49"/>
  <c r="AC109" i="49"/>
  <c r="AB110" i="49"/>
  <c r="AB111" i="49"/>
  <c r="AC110" i="49"/>
  <c r="AB112" i="49"/>
  <c r="AC111" i="49"/>
  <c r="AB113" i="49"/>
  <c r="AC112" i="49"/>
  <c r="AC113" i="49"/>
  <c r="AB114" i="49"/>
  <c r="AB115" i="49"/>
  <c r="AC114" i="49"/>
  <c r="AC115" i="49"/>
  <c r="AB116" i="49"/>
  <c r="AC116" i="49"/>
  <c r="AB117" i="49"/>
  <c r="AB118" i="49"/>
  <c r="AC117" i="49"/>
  <c r="AC118" i="49"/>
  <c r="AB119" i="49"/>
  <c r="AB120" i="49"/>
  <c r="AC119" i="49"/>
  <c r="AC120" i="49"/>
  <c r="AB121" i="49"/>
  <c r="AB122" i="49"/>
  <c r="AC121" i="49"/>
  <c r="AB123" i="49"/>
  <c r="AC122" i="49"/>
  <c r="AB124" i="49"/>
  <c r="AC123" i="49"/>
  <c r="AC124" i="49"/>
  <c r="AB125" i="49"/>
  <c r="AC125" i="49"/>
  <c r="AB126" i="49"/>
  <c r="AC126" i="49"/>
  <c r="AB127" i="49"/>
  <c r="AC127" i="49"/>
  <c r="AB128" i="49"/>
  <c r="AC128" i="49"/>
  <c r="AB129" i="49"/>
  <c r="AC129" i="49"/>
  <c r="AB130" i="49"/>
  <c r="AC130" i="49"/>
  <c r="AB131" i="49"/>
  <c r="AB132" i="49"/>
  <c r="AC131" i="49"/>
  <c r="AB133" i="49"/>
  <c r="AC132" i="49"/>
  <c r="AB134" i="49"/>
  <c r="AC133" i="49"/>
  <c r="AB135" i="49"/>
  <c r="AC134" i="49"/>
  <c r="AC135" i="49"/>
  <c r="AB136" i="49"/>
  <c r="AC136" i="49"/>
  <c r="AB137" i="49"/>
  <c r="AB138" i="49"/>
  <c r="AC137" i="49"/>
  <c r="AC138" i="49"/>
  <c r="AB139" i="49"/>
  <c r="AC139" i="49"/>
  <c r="AB140" i="49"/>
  <c r="AC140" i="49"/>
  <c r="AB141" i="49"/>
  <c r="AC141" i="49"/>
  <c r="AB142" i="49"/>
  <c r="AB143" i="49"/>
  <c r="AC142" i="49"/>
  <c r="AC143" i="49"/>
  <c r="AB144" i="49"/>
  <c r="AB145" i="49"/>
  <c r="AC144" i="49"/>
  <c r="AB146" i="49"/>
  <c r="AC145" i="49"/>
  <c r="AB147" i="49"/>
  <c r="AC146" i="49"/>
  <c r="AC147" i="49"/>
  <c r="AB148" i="49"/>
  <c r="AC148" i="49"/>
  <c r="AB149" i="49"/>
  <c r="AB150" i="49"/>
  <c r="AC149" i="49"/>
  <c r="AC150" i="49"/>
  <c r="AB151" i="49"/>
  <c r="AB152" i="49"/>
  <c r="AC151" i="49"/>
  <c r="AC152" i="49"/>
  <c r="AB153" i="49"/>
  <c r="AC153" i="49"/>
  <c r="AB154" i="49"/>
  <c r="AC154" i="49"/>
  <c r="AB155" i="49"/>
  <c r="AC155" i="49"/>
  <c r="AB156" i="49"/>
  <c r="AB157" i="49"/>
  <c r="AC156" i="49"/>
  <c r="AB158" i="49"/>
  <c r="AC157" i="49"/>
  <c r="AB159" i="49"/>
  <c r="AC158" i="49"/>
  <c r="AC159" i="49"/>
  <c r="AB160" i="49"/>
  <c r="AB161" i="49"/>
  <c r="AC160" i="49"/>
  <c r="AC161" i="49"/>
  <c r="AB162" i="49"/>
  <c r="AC162" i="49"/>
  <c r="AB163" i="49"/>
  <c r="AC163" i="49"/>
  <c r="AB164" i="49"/>
  <c r="AC164" i="49"/>
  <c r="AB165" i="49"/>
  <c r="AB166" i="49"/>
  <c r="AC165" i="49"/>
  <c r="AB167" i="49"/>
  <c r="AC166" i="49"/>
  <c r="AB168" i="49"/>
  <c r="AC167" i="49"/>
  <c r="AB169" i="49"/>
  <c r="AC168" i="49"/>
  <c r="AB170" i="49"/>
  <c r="AC169" i="49"/>
  <c r="AC170" i="49"/>
  <c r="AB171" i="49"/>
  <c r="AB172" i="49"/>
  <c r="AC171" i="49"/>
  <c r="AB173" i="49"/>
  <c r="AC172" i="49"/>
  <c r="AC173" i="49"/>
  <c r="AB174" i="49"/>
  <c r="AC174" i="49"/>
  <c r="AB175" i="49"/>
  <c r="AB176" i="49"/>
  <c r="AC175" i="49"/>
  <c r="AB177" i="49"/>
  <c r="AC176" i="49"/>
  <c r="AC177" i="49"/>
  <c r="AB178" i="49"/>
  <c r="AB179" i="49"/>
  <c r="AC178" i="49"/>
  <c r="AB180" i="49"/>
  <c r="AC179" i="49"/>
  <c r="AC180" i="49"/>
  <c r="AB181" i="49"/>
  <c r="AB182" i="49"/>
  <c r="AC181" i="49"/>
  <c r="AB183" i="49"/>
  <c r="AC182" i="49"/>
  <c r="AB184" i="49"/>
  <c r="AC183" i="49"/>
  <c r="AC184" i="49"/>
  <c r="AB185" i="49"/>
  <c r="AB186" i="49"/>
  <c r="AC185" i="49"/>
  <c r="AC186" i="49"/>
  <c r="AB187" i="49"/>
  <c r="AC187" i="49"/>
  <c r="AB188" i="49"/>
  <c r="AB189" i="49"/>
  <c r="AC188" i="49"/>
  <c r="P27" i="45" l="1"/>
  <c r="AB190" i="49"/>
  <c r="AB191" i="49" s="1"/>
  <c r="AC8" i="48"/>
  <c r="AB9" i="48"/>
  <c r="AB10" i="48"/>
  <c r="AC10" i="48"/>
  <c r="AC191" i="49"/>
  <c r="AG6" i="39"/>
  <c r="AF7" i="39"/>
  <c r="AB11" i="48"/>
  <c r="AB192" i="49"/>
  <c r="AC189" i="49"/>
  <c r="AG6" i="43"/>
  <c r="AC11" i="48"/>
  <c r="AC190" i="49"/>
  <c r="R26" i="45"/>
  <c r="AB12" i="48"/>
  <c r="D34" i="29"/>
  <c r="AC192" i="49"/>
  <c r="AC12" i="48"/>
  <c r="D35" i="29"/>
  <c r="AF7" i="43"/>
  <c r="AF8" i="43" s="1"/>
  <c r="AG7" i="43"/>
  <c r="I35" i="29"/>
  <c r="AB13" i="48"/>
  <c r="Q27" i="45"/>
  <c r="AC9" i="48"/>
  <c r="C37" i="29"/>
  <c r="C38" i="29"/>
  <c r="D33" i="29"/>
  <c r="AC13" i="48"/>
  <c r="AB14" i="48"/>
  <c r="AB15" i="48"/>
  <c r="AC14" i="48"/>
  <c r="AB16" i="48"/>
  <c r="AC15" i="48"/>
  <c r="AB17" i="48"/>
  <c r="AC16" i="48"/>
  <c r="AC17" i="48"/>
  <c r="AB18" i="48"/>
  <c r="AB19" i="48"/>
  <c r="AC18" i="48"/>
  <c r="AB20" i="48"/>
  <c r="AC19" i="48"/>
  <c r="AB21" i="48"/>
  <c r="AC20" i="48"/>
  <c r="AB22" i="48"/>
  <c r="AC21" i="48"/>
  <c r="AB23" i="48"/>
  <c r="AC22" i="48"/>
  <c r="AC23" i="48"/>
  <c r="AB24" i="48"/>
  <c r="AB25" i="48"/>
  <c r="AC24" i="48"/>
  <c r="AB26" i="48"/>
  <c r="AC25" i="48"/>
  <c r="P28" i="45" l="1"/>
  <c r="AC26" i="48"/>
  <c r="AG7" i="39"/>
  <c r="AG8" i="43"/>
  <c r="AF8" i="39"/>
  <c r="AF9" i="43"/>
  <c r="AF10" i="43"/>
  <c r="AB193" i="49"/>
  <c r="D28" i="29"/>
  <c r="E47" i="35"/>
  <c r="E24" i="35"/>
  <c r="B46" i="35"/>
  <c r="Q35" i="47"/>
  <c r="B9" i="35"/>
  <c r="AF11" i="43"/>
  <c r="E38" i="35"/>
  <c r="E46" i="35"/>
  <c r="B36" i="35"/>
  <c r="E49" i="35"/>
  <c r="E44" i="35"/>
  <c r="E45" i="35"/>
  <c r="E7" i="35"/>
  <c r="E39" i="35"/>
  <c r="B19" i="35"/>
  <c r="E12" i="35"/>
  <c r="B38" i="35"/>
  <c r="E40" i="35"/>
  <c r="B22" i="35"/>
  <c r="B32" i="35"/>
  <c r="E26" i="35"/>
  <c r="D37" i="29"/>
  <c r="Q36" i="47"/>
  <c r="E29" i="35"/>
  <c r="E6" i="35"/>
  <c r="AB194" i="49"/>
  <c r="AC194" i="49" s="1"/>
  <c r="B24" i="35"/>
  <c r="B31" i="35"/>
  <c r="E28" i="35"/>
  <c r="B50" i="35"/>
  <c r="E42" i="35"/>
  <c r="E17" i="35"/>
  <c r="AC193" i="49"/>
  <c r="B34" i="35"/>
  <c r="B30" i="35"/>
  <c r="E48" i="35"/>
  <c r="E9" i="35"/>
  <c r="E14" i="35"/>
  <c r="B41" i="35"/>
  <c r="B6" i="35"/>
  <c r="AB195" i="49"/>
  <c r="B8" i="35"/>
  <c r="Q34" i="47"/>
  <c r="E19" i="35"/>
  <c r="B18" i="35"/>
  <c r="E15" i="35"/>
  <c r="B44" i="35"/>
  <c r="Q28" i="45"/>
  <c r="B39" i="35"/>
  <c r="B29" i="35"/>
  <c r="Q32" i="47"/>
  <c r="B23" i="35"/>
  <c r="Q31" i="47"/>
  <c r="R27" i="45"/>
  <c r="AC195" i="49"/>
  <c r="E43" i="35"/>
  <c r="B42" i="35"/>
  <c r="B14" i="35"/>
  <c r="D38" i="29"/>
  <c r="AB196" i="49"/>
  <c r="AC196" i="49" s="1"/>
  <c r="B40" i="35"/>
  <c r="B37" i="35"/>
  <c r="B27" i="35"/>
  <c r="Q33" i="47"/>
  <c r="E33" i="35"/>
  <c r="E36" i="35"/>
  <c r="B4" i="35"/>
  <c r="B48" i="35"/>
  <c r="E23" i="35"/>
  <c r="E10" i="35"/>
  <c r="E32" i="35"/>
  <c r="E34" i="35"/>
  <c r="B15" i="35"/>
  <c r="B16" i="35"/>
  <c r="E2" i="35"/>
  <c r="B20" i="35"/>
  <c r="AB197" i="49"/>
  <c r="E22" i="35"/>
  <c r="E37" i="35"/>
  <c r="B47" i="35"/>
  <c r="B11" i="35"/>
  <c r="B21" i="35"/>
  <c r="E41" i="35"/>
  <c r="E13" i="35"/>
  <c r="E50" i="35"/>
  <c r="E25" i="35"/>
  <c r="E11" i="35"/>
  <c r="B2" i="35"/>
  <c r="B3" i="35"/>
  <c r="E27" i="35"/>
  <c r="E20" i="35"/>
  <c r="E30" i="35"/>
  <c r="E35" i="35"/>
  <c r="B7" i="35"/>
  <c r="E18" i="35"/>
  <c r="B17" i="35"/>
  <c r="E5" i="35"/>
  <c r="B49" i="35"/>
  <c r="E31" i="35"/>
  <c r="E8" i="35"/>
  <c r="B45" i="35"/>
  <c r="B10" i="35"/>
  <c r="E21" i="35"/>
  <c r="B13" i="35"/>
  <c r="B25" i="35"/>
  <c r="B35" i="35"/>
  <c r="E3" i="35"/>
  <c r="B43" i="35"/>
  <c r="B26" i="35"/>
  <c r="B28" i="35"/>
  <c r="E4" i="35"/>
  <c r="B33" i="35"/>
  <c r="B12" i="35"/>
  <c r="B5" i="35"/>
  <c r="E16" i="35"/>
  <c r="AF12" i="43"/>
  <c r="AF13" i="43" s="1"/>
  <c r="AG11" i="43"/>
  <c r="AB198" i="49"/>
  <c r="AC197" i="49"/>
  <c r="AB199" i="49"/>
  <c r="AC198" i="49"/>
  <c r="AC199" i="49"/>
  <c r="AB200" i="49"/>
  <c r="AB201" i="49"/>
  <c r="AC200" i="49"/>
  <c r="AC201" i="49"/>
  <c r="AB202" i="49"/>
  <c r="AB203" i="49"/>
  <c r="AC202" i="49"/>
  <c r="AC203" i="49"/>
  <c r="AB204" i="49"/>
  <c r="AB205" i="49"/>
  <c r="AC204" i="49"/>
  <c r="AC205" i="49"/>
  <c r="AB206" i="49"/>
  <c r="AC206" i="49"/>
  <c r="AB207" i="49"/>
  <c r="AB208" i="49"/>
  <c r="AC207" i="49"/>
  <c r="AB209" i="49"/>
  <c r="AC208" i="49"/>
  <c r="AC209" i="49"/>
  <c r="AB210" i="49"/>
  <c r="AC210" i="49"/>
  <c r="AB211" i="49"/>
  <c r="AC211" i="49"/>
  <c r="AB212" i="49"/>
  <c r="AB213" i="49"/>
  <c r="AC212" i="49"/>
  <c r="AC213" i="49"/>
  <c r="AB214" i="49"/>
  <c r="AB215" i="49"/>
  <c r="AC214" i="49"/>
  <c r="AB216" i="49"/>
  <c r="AC215" i="49"/>
  <c r="AB217" i="49"/>
  <c r="AC216" i="49"/>
  <c r="AC217" i="49"/>
  <c r="AB218" i="49"/>
  <c r="AC218" i="49"/>
  <c r="AB219" i="49"/>
  <c r="AC219" i="49"/>
  <c r="AB220" i="49"/>
  <c r="AB221" i="49"/>
  <c r="AC220" i="49"/>
  <c r="AB222" i="49"/>
  <c r="AC221" i="49"/>
  <c r="AC222" i="49"/>
  <c r="AB223" i="49"/>
  <c r="AB224" i="49"/>
  <c r="AC223" i="49"/>
  <c r="AC224" i="49"/>
  <c r="AB225" i="49"/>
  <c r="AC225" i="49"/>
  <c r="AB226" i="49"/>
  <c r="AB227" i="49"/>
  <c r="AC226" i="49"/>
  <c r="AB228" i="49"/>
  <c r="AC227" i="49"/>
  <c r="AB229" i="49"/>
  <c r="AC228" i="49"/>
  <c r="AB230" i="49"/>
  <c r="AC229" i="49"/>
  <c r="AC230" i="49"/>
  <c r="AB231" i="49"/>
  <c r="AB232" i="49"/>
  <c r="AC231" i="49"/>
  <c r="AB233" i="49"/>
  <c r="AC232" i="49"/>
  <c r="AC233" i="49"/>
  <c r="AB234" i="49"/>
  <c r="AB235" i="49"/>
  <c r="AC234" i="49"/>
  <c r="AB236" i="49"/>
  <c r="AC235" i="49"/>
  <c r="AC236" i="49"/>
  <c r="AB237" i="49"/>
  <c r="AB238" i="49"/>
  <c r="AC237" i="49"/>
  <c r="AB239" i="49"/>
  <c r="AC238" i="49"/>
  <c r="AB240" i="49"/>
  <c r="AC239" i="49"/>
  <c r="AC240" i="49"/>
  <c r="AB241" i="49"/>
  <c r="AC241" i="49"/>
  <c r="AB242" i="49"/>
  <c r="AC242" i="49"/>
  <c r="AB243" i="49"/>
  <c r="AC243" i="49"/>
  <c r="AB244" i="49"/>
  <c r="AC244" i="49"/>
  <c r="AB245" i="49"/>
  <c r="AB246" i="49"/>
  <c r="AC245" i="49"/>
  <c r="AB247" i="49"/>
  <c r="AC246" i="49"/>
  <c r="AB248" i="49"/>
  <c r="AC247" i="49"/>
  <c r="AB249" i="49"/>
  <c r="AC248" i="49"/>
  <c r="AB250" i="49"/>
  <c r="AC249" i="49"/>
  <c r="AC250" i="49"/>
  <c r="AB251" i="49"/>
  <c r="AC251" i="49"/>
  <c r="AB252" i="49"/>
  <c r="AC252" i="49"/>
  <c r="AB253" i="49"/>
  <c r="AB254" i="49"/>
  <c r="AC253" i="49"/>
  <c r="AC254" i="49"/>
  <c r="AB255" i="49"/>
  <c r="AC255" i="49"/>
  <c r="AB256" i="49"/>
  <c r="AC256" i="49"/>
  <c r="AB257" i="49"/>
  <c r="P29" i="45" l="1"/>
  <c r="AC257" i="49"/>
  <c r="C41" i="35"/>
  <c r="C46" i="35"/>
  <c r="C10" i="35"/>
  <c r="C23" i="35"/>
  <c r="R28" i="45"/>
  <c r="R35" i="47"/>
  <c r="C50" i="35"/>
  <c r="C16" i="35"/>
  <c r="R34" i="47"/>
  <c r="C34" i="35"/>
  <c r="C19" i="35"/>
  <c r="C27" i="35"/>
  <c r="C25" i="35"/>
  <c r="AG10" i="43"/>
  <c r="AF9" i="39"/>
  <c r="R32" i="47"/>
  <c r="R33" i="47"/>
  <c r="C22" i="35"/>
  <c r="AF10" i="39"/>
  <c r="AG10" i="39" s="1"/>
  <c r="Q29" i="45"/>
  <c r="C29" i="35"/>
  <c r="C17" i="35"/>
  <c r="C13" i="35"/>
  <c r="C49" i="35"/>
  <c r="C3" i="35"/>
  <c r="AG9" i="39"/>
  <c r="C14" i="35"/>
  <c r="C44" i="35"/>
  <c r="C7" i="35"/>
  <c r="C39" i="35"/>
  <c r="C9" i="35"/>
  <c r="C38" i="35"/>
  <c r="C47" i="35"/>
  <c r="AF11" i="39"/>
  <c r="AG8" i="39"/>
  <c r="C6" i="35"/>
  <c r="C18" i="35"/>
  <c r="C8" i="35"/>
  <c r="C35" i="35"/>
  <c r="C2" i="35"/>
  <c r="AF14" i="43"/>
  <c r="AF15" i="43" s="1"/>
  <c r="AG15" i="43" s="1"/>
  <c r="R29" i="45"/>
  <c r="C37" i="35"/>
  <c r="C12" i="35"/>
  <c r="C30" i="35"/>
  <c r="AG13" i="43"/>
  <c r="C36" i="35"/>
  <c r="C26" i="35"/>
  <c r="AG12" i="43"/>
  <c r="C40" i="35"/>
  <c r="AF16" i="43"/>
  <c r="AG9" i="43"/>
  <c r="C32" i="35"/>
  <c r="C48" i="35"/>
  <c r="C33" i="35"/>
  <c r="C42" i="35"/>
  <c r="C43" i="35"/>
  <c r="AG11" i="39"/>
  <c r="C4" i="35"/>
  <c r="C15" i="35"/>
  <c r="C28" i="35"/>
  <c r="AF12" i="39"/>
  <c r="C31" i="35"/>
  <c r="C20" i="35"/>
  <c r="C45" i="35"/>
  <c r="C21" i="35"/>
  <c r="R36" i="47"/>
  <c r="C11" i="35"/>
  <c r="C24" i="35"/>
  <c r="C5" i="35"/>
  <c r="R31" i="47"/>
  <c r="AG14" i="43"/>
  <c r="AG16" i="43"/>
  <c r="AF17" i="43"/>
  <c r="AG12" i="39"/>
  <c r="AF13" i="39"/>
  <c r="AG17" i="43"/>
  <c r="AF18" i="43"/>
  <c r="AG13" i="39"/>
  <c r="AF14" i="39"/>
  <c r="AF19" i="43"/>
  <c r="AG18" i="43"/>
  <c r="AG14" i="39"/>
  <c r="AF15" i="39"/>
  <c r="AG19" i="43"/>
  <c r="AF20" i="43"/>
  <c r="AF16" i="39"/>
  <c r="AG15" i="39"/>
  <c r="AG20" i="43"/>
  <c r="AF21" i="43"/>
  <c r="AF17" i="39"/>
  <c r="AG16" i="39"/>
  <c r="AF22" i="43"/>
  <c r="AG21" i="43"/>
  <c r="AG17" i="39"/>
  <c r="AF18" i="39"/>
  <c r="AG22" i="43"/>
  <c r="AF23" i="43"/>
  <c r="AF19" i="39"/>
  <c r="AG18" i="39"/>
  <c r="AG23" i="43"/>
  <c r="AF24" i="43"/>
  <c r="AF20" i="39"/>
  <c r="AG19" i="39"/>
  <c r="AF25" i="43"/>
  <c r="AG24" i="43"/>
  <c r="AG20" i="39"/>
  <c r="AF21" i="39"/>
  <c r="AG25" i="43"/>
  <c r="AF26" i="43"/>
  <c r="AG21" i="39"/>
  <c r="AF22" i="39"/>
  <c r="AF27" i="43"/>
  <c r="AG26" i="43"/>
  <c r="AG22" i="39"/>
  <c r="AF23" i="39"/>
  <c r="AG27" i="43"/>
  <c r="AF28" i="43"/>
  <c r="AG23" i="39"/>
  <c r="AF24" i="39"/>
  <c r="AF29" i="43"/>
  <c r="AG28" i="43"/>
  <c r="AF25" i="39"/>
  <c r="AG24" i="39"/>
  <c r="AG29" i="43"/>
  <c r="AF30" i="43"/>
  <c r="AG25" i="39"/>
  <c r="AF26" i="39"/>
  <c r="AF31" i="43"/>
  <c r="AG30" i="43"/>
  <c r="AG26" i="39"/>
  <c r="AF27" i="39"/>
  <c r="AF32" i="43"/>
  <c r="AG31" i="43"/>
  <c r="AG27" i="39"/>
  <c r="AF28" i="39"/>
  <c r="AF33" i="43"/>
  <c r="AG32" i="43"/>
  <c r="AF29" i="39"/>
  <c r="AG28" i="39"/>
  <c r="AF34" i="43"/>
  <c r="AG33" i="43"/>
  <c r="AF30" i="39"/>
  <c r="AG29" i="39"/>
  <c r="AF35" i="43"/>
  <c r="AG34" i="43"/>
  <c r="AF31" i="39"/>
  <c r="AG30" i="39"/>
  <c r="AG35" i="43"/>
  <c r="AF36" i="43"/>
  <c r="AF32" i="39"/>
  <c r="AG31" i="39"/>
  <c r="AG36" i="43"/>
  <c r="AF37" i="43"/>
  <c r="AG32" i="39"/>
  <c r="AF33" i="39"/>
  <c r="AF38" i="43"/>
  <c r="AG37" i="43"/>
  <c r="AG33" i="39"/>
  <c r="AF34" i="39"/>
  <c r="AF39" i="43"/>
  <c r="AG38" i="43"/>
  <c r="AG34" i="39"/>
  <c r="AF35" i="39"/>
  <c r="AF40" i="43"/>
  <c r="AG39" i="43"/>
  <c r="AG35" i="39"/>
  <c r="AF36" i="39"/>
  <c r="AG40" i="43"/>
  <c r="AF41" i="43"/>
  <c r="AG36" i="39"/>
  <c r="AF37" i="39"/>
  <c r="AF42" i="43"/>
  <c r="AG41" i="43"/>
  <c r="AG37" i="39"/>
  <c r="AF38" i="39"/>
  <c r="AF43" i="43"/>
  <c r="AG42" i="43"/>
  <c r="AF39" i="39"/>
  <c r="AG38" i="39"/>
  <c r="AG43" i="43"/>
  <c r="AF44" i="43"/>
  <c r="AG39" i="39"/>
  <c r="AF40" i="39"/>
  <c r="AG44" i="43"/>
  <c r="AF45" i="43"/>
  <c r="AG40" i="39"/>
  <c r="AF41" i="39"/>
  <c r="AF46" i="43"/>
  <c r="AG45" i="43"/>
  <c r="AF42" i="39"/>
  <c r="AG41" i="39"/>
  <c r="AF47" i="43"/>
  <c r="AG46" i="43"/>
  <c r="AG42" i="39"/>
  <c r="AF43" i="39"/>
  <c r="AG47" i="43"/>
  <c r="AF48" i="43"/>
  <c r="AF44" i="39"/>
  <c r="AG43" i="39"/>
  <c r="AG48" i="43"/>
  <c r="AF49" i="43"/>
  <c r="AF45" i="39"/>
  <c r="AG44" i="39"/>
  <c r="AG49" i="43"/>
  <c r="AF50" i="43"/>
  <c r="AF46" i="39"/>
  <c r="AG45" i="39"/>
  <c r="AG50" i="43"/>
  <c r="AF51" i="43"/>
  <c r="AG46" i="39"/>
  <c r="AF47" i="39"/>
  <c r="AG51" i="43"/>
  <c r="AF52" i="43"/>
  <c r="AG47" i="39"/>
  <c r="AF48" i="39"/>
  <c r="AG52" i="43"/>
  <c r="AF53" i="43"/>
  <c r="AG48" i="39"/>
  <c r="AF49" i="39"/>
  <c r="AF54" i="43"/>
  <c r="AG53" i="43"/>
  <c r="AF50" i="39"/>
  <c r="AG49" i="39"/>
  <c r="AG54" i="43"/>
  <c r="AF55" i="43"/>
  <c r="AF51" i="39"/>
  <c r="AG50" i="39"/>
  <c r="AG55" i="43"/>
  <c r="AF56" i="43"/>
  <c r="AF52" i="39"/>
  <c r="AG51" i="39"/>
  <c r="AG56" i="43"/>
  <c r="AF57" i="43"/>
  <c r="AF53" i="39"/>
  <c r="AG52" i="39"/>
  <c r="AF58" i="43"/>
  <c r="AG57" i="43"/>
  <c r="AF54" i="39"/>
  <c r="AG53" i="39"/>
  <c r="AF59" i="43"/>
  <c r="AF55" i="39"/>
  <c r="AG54" i="39"/>
  <c r="AG59" i="43"/>
  <c r="AF60" i="43"/>
  <c r="AG55" i="39"/>
  <c r="AF56" i="39"/>
  <c r="AG60" i="43"/>
  <c r="AF61" i="43"/>
  <c r="AG56" i="39"/>
  <c r="AF57" i="39"/>
  <c r="AF62" i="43"/>
  <c r="AG61" i="43"/>
  <c r="AF58" i="39"/>
  <c r="AG57" i="39"/>
  <c r="AF63" i="43"/>
  <c r="AG62" i="43"/>
  <c r="AF59" i="39"/>
  <c r="AG58" i="39"/>
  <c r="AF64" i="43"/>
  <c r="AG63" i="43"/>
  <c r="AG59" i="39"/>
  <c r="AF60" i="39"/>
  <c r="AG64" i="43"/>
  <c r="AF65" i="43"/>
  <c r="AG65" i="43" s="1"/>
  <c r="AG60" i="39"/>
  <c r="AF61" i="39"/>
  <c r="AF62" i="39"/>
  <c r="AG61" i="39"/>
  <c r="AG62" i="39"/>
  <c r="AF63" i="39"/>
  <c r="AG63" i="39"/>
  <c r="AF64" i="39"/>
  <c r="AF65" i="39"/>
  <c r="AG64" i="39"/>
  <c r="AF66" i="39"/>
  <c r="AG65" i="39"/>
  <c r="AF67" i="39"/>
  <c r="AG66" i="39"/>
  <c r="AG67" i="39"/>
  <c r="AF68" i="39"/>
  <c r="AG68" i="39"/>
  <c r="AF69" i="39"/>
  <c r="AG69" i="39"/>
  <c r="AF70" i="39"/>
  <c r="AG70" i="39"/>
  <c r="AF71" i="39"/>
  <c r="AF72" i="39"/>
  <c r="AG71" i="39"/>
  <c r="AF73" i="39"/>
  <c r="AG72" i="39"/>
  <c r="AF74" i="39"/>
  <c r="AG73" i="39"/>
  <c r="AF75" i="39"/>
  <c r="AG74" i="39"/>
  <c r="AF76" i="39"/>
  <c r="AG75" i="39"/>
  <c r="AF77" i="39"/>
  <c r="AG76" i="39"/>
  <c r="AF78" i="39"/>
  <c r="AG77" i="39"/>
  <c r="AF79" i="39"/>
  <c r="AG78" i="39"/>
  <c r="AG79" i="39"/>
  <c r="AF80" i="39"/>
  <c r="AG80" i="39"/>
  <c r="AF81" i="39"/>
  <c r="AG81" i="39"/>
  <c r="AF82" i="39"/>
  <c r="AF83" i="39"/>
  <c r="AG82" i="39"/>
  <c r="AG83" i="39"/>
  <c r="AF84" i="39"/>
  <c r="AG84" i="39"/>
  <c r="AF85" i="39"/>
  <c r="AG85" i="39"/>
  <c r="AF86" i="39"/>
  <c r="AF87" i="39"/>
  <c r="AG86" i="39"/>
  <c r="AF88" i="39"/>
  <c r="AG87" i="39"/>
  <c r="AG88" i="39"/>
  <c r="AF89" i="39"/>
  <c r="AG89" i="39"/>
  <c r="AF90" i="39"/>
  <c r="AF91" i="39"/>
  <c r="AG90" i="39"/>
  <c r="AF92" i="39"/>
  <c r="AG91" i="39"/>
  <c r="AF93" i="39"/>
  <c r="AG92" i="39"/>
  <c r="AG93" i="39"/>
  <c r="AF94" i="39"/>
  <c r="AG94" i="39"/>
  <c r="AF95" i="39"/>
  <c r="AF96" i="39"/>
  <c r="AG95" i="39"/>
  <c r="AF97" i="39"/>
  <c r="AG96" i="39"/>
  <c r="AG97" i="39"/>
  <c r="AF98" i="39"/>
  <c r="AF99" i="39"/>
  <c r="AG98" i="39"/>
  <c r="AG99" i="39"/>
  <c r="AF100" i="39"/>
  <c r="AG100" i="39"/>
  <c r="AF101" i="39"/>
  <c r="AG101" i="39"/>
  <c r="AF102" i="39"/>
  <c r="AG102" i="39"/>
  <c r="AF103" i="39"/>
  <c r="AF104" i="39"/>
  <c r="AG103" i="39"/>
  <c r="AG104" i="39"/>
  <c r="AF105" i="39"/>
  <c r="AG105" i="39"/>
  <c r="AF106" i="39"/>
  <c r="AF107" i="39"/>
  <c r="AG106" i="39"/>
  <c r="AF108" i="39"/>
  <c r="AG107" i="39"/>
  <c r="AG108" i="39"/>
  <c r="AF109" i="39"/>
  <c r="AG109" i="39"/>
  <c r="AF110" i="39"/>
  <c r="AF111" i="39"/>
  <c r="AG110" i="39"/>
  <c r="AG111" i="39"/>
  <c r="AF112" i="39"/>
  <c r="AG112" i="39"/>
  <c r="AF113" i="39"/>
  <c r="AG113" i="39"/>
  <c r="AF114" i="39"/>
  <c r="AF115" i="39"/>
  <c r="AG114" i="39"/>
  <c r="AF116" i="39"/>
  <c r="AG115" i="39"/>
  <c r="AG116" i="39"/>
  <c r="AF117" i="39"/>
  <c r="AG117" i="39"/>
  <c r="AF118" i="39"/>
  <c r="AF119" i="39"/>
  <c r="AG118" i="39"/>
  <c r="AG119" i="39"/>
  <c r="AF120" i="39"/>
  <c r="AG120" i="39"/>
  <c r="AF121" i="39"/>
  <c r="AG121" i="39"/>
  <c r="AF122" i="39"/>
  <c r="AG122" i="39"/>
  <c r="AF123" i="39"/>
  <c r="AG123" i="39"/>
  <c r="AF124" i="39"/>
  <c r="AG124" i="39"/>
  <c r="AF125" i="39"/>
  <c r="AF126" i="39"/>
  <c r="AG125" i="39"/>
  <c r="AF127" i="39"/>
  <c r="AG126" i="39"/>
  <c r="AG127" i="39"/>
  <c r="AF128" i="39"/>
  <c r="AF129" i="39"/>
  <c r="AG128" i="39"/>
  <c r="AF130" i="39"/>
  <c r="AG129" i="39"/>
  <c r="AF131" i="39"/>
  <c r="AG130" i="39"/>
  <c r="AF132" i="39"/>
  <c r="AG132" i="39" s="1"/>
  <c r="AG131" i="39"/>
  <c r="F4" i="48" l="1" a="1"/>
  <c r="AG58" i="43"/>
  <c r="F4" i="49" l="1" a="1"/>
  <c r="I20" i="29" l="1"/>
  <c r="D3" i="48"/>
  <c r="D3" i="43"/>
  <c r="I4" i="42"/>
  <c r="D3" i="39"/>
  <c r="D3" i="49"/>
  <c r="H4" i="40"/>
  <c r="G3" i="48"/>
  <c r="E3" i="48"/>
  <c r="H3" i="48" s="1"/>
  <c r="F4" i="40"/>
  <c r="E15" i="40"/>
  <c r="E11" i="40"/>
  <c r="E12" i="40"/>
  <c r="E6" i="40"/>
  <c r="E19" i="40"/>
  <c r="E22" i="40"/>
  <c r="E7" i="40"/>
  <c r="E5" i="40"/>
  <c r="E20" i="40"/>
  <c r="E8" i="40"/>
  <c r="E21" i="40"/>
  <c r="E9" i="40"/>
  <c r="E17" i="40"/>
  <c r="E13" i="40"/>
  <c r="E16" i="40"/>
  <c r="E10" i="40"/>
  <c r="E18" i="40"/>
  <c r="E14" i="40"/>
  <c r="G4" i="42"/>
  <c r="E3" i="43"/>
  <c r="K3" i="43"/>
  <c r="E3" i="39"/>
  <c r="K3" i="39"/>
  <c r="E3" i="49"/>
  <c r="H3" i="49" s="1"/>
  <c r="G3" i="49"/>
  <c r="G4" i="40"/>
  <c r="F15" i="40"/>
  <c r="F11" i="40"/>
  <c r="F12" i="40"/>
  <c r="F6" i="40"/>
  <c r="F19" i="40"/>
  <c r="F22" i="40"/>
  <c r="F7" i="40"/>
  <c r="F5" i="40"/>
  <c r="F20" i="40"/>
  <c r="F8" i="40"/>
  <c r="F21" i="40"/>
  <c r="F9" i="40"/>
  <c r="F17" i="40"/>
  <c r="F13" i="40"/>
  <c r="F16" i="40"/>
  <c r="F10" i="40"/>
  <c r="F18" i="40"/>
  <c r="F14" i="40"/>
  <c r="D9" i="42"/>
  <c r="F9" i="42" s="1"/>
  <c r="G8" i="42"/>
  <c r="G7" i="42"/>
  <c r="G6" i="42"/>
  <c r="H4" i="42"/>
  <c r="G5" i="42"/>
  <c r="H3" i="43"/>
  <c r="L3" i="43"/>
  <c r="H3" i="39"/>
  <c r="L3" i="39"/>
  <c r="G15" i="40"/>
  <c r="G11" i="40"/>
  <c r="G12" i="40"/>
  <c r="G6" i="40"/>
  <c r="G19" i="40"/>
  <c r="G22" i="40"/>
  <c r="G7" i="40"/>
  <c r="G5" i="40"/>
  <c r="G20" i="40"/>
  <c r="G8" i="40"/>
  <c r="G21" i="40"/>
  <c r="G9" i="40"/>
  <c r="G17" i="40"/>
  <c r="G13" i="40"/>
  <c r="G16" i="40"/>
  <c r="G10" i="40"/>
  <c r="G18" i="40"/>
  <c r="G14" i="40"/>
  <c r="H8" i="42"/>
  <c r="H7" i="42"/>
  <c r="H6" i="42"/>
  <c r="H5" i="42"/>
  <c r="G9" i="42"/>
  <c r="D10" i="42"/>
  <c r="F10" i="42" s="1"/>
  <c r="H9" i="42"/>
  <c r="D11" i="42"/>
  <c r="F11" i="42" s="1"/>
  <c r="G10" i="42"/>
  <c r="H10" i="42"/>
  <c r="D12" i="42"/>
  <c r="F12" i="42" s="1"/>
  <c r="G11" i="42"/>
  <c r="H11" i="42"/>
  <c r="D13" i="42"/>
  <c r="F13" i="42" s="1"/>
  <c r="G12" i="42"/>
  <c r="H12" i="42"/>
  <c r="D14" i="42"/>
  <c r="F14" i="42" s="1"/>
  <c r="G13" i="42"/>
  <c r="H13" i="42"/>
  <c r="G14" i="42"/>
  <c r="D15" i="42"/>
  <c r="F15" i="42" s="1"/>
  <c r="H14" i="42"/>
  <c r="D16" i="42"/>
  <c r="F16" i="42" s="1"/>
  <c r="G15" i="42"/>
  <c r="H15" i="42"/>
  <c r="G16" i="42"/>
  <c r="H16" i="42"/>
  <c r="E16" i="42" l="1"/>
  <c r="E15" i="42"/>
  <c r="E14" i="42"/>
  <c r="E13" i="42"/>
  <c r="E12" i="42"/>
  <c r="E11" i="42"/>
  <c r="E10" i="42"/>
  <c r="O3" i="39"/>
  <c r="M3" i="39"/>
  <c r="N3" i="39"/>
  <c r="M3" i="43"/>
  <c r="N3" i="43"/>
  <c r="O3" i="43"/>
  <c r="E9" i="42"/>
  <c r="I3" i="49"/>
  <c r="K3" i="49"/>
  <c r="J3" i="49"/>
  <c r="K3" i="48"/>
  <c r="J3" i="48"/>
  <c r="I3" i="48"/>
  <c r="S3" i="42"/>
  <c r="R3" i="40"/>
  <c r="U3" i="39" a="1"/>
  <c r="U13" i="39" a="1"/>
  <c r="U9" i="39" a="1"/>
  <c r="P3" i="49" a="1"/>
  <c r="P9" i="49" a="1"/>
  <c r="S4" i="42"/>
  <c r="T3" i="42"/>
  <c r="T9" i="39" a="1"/>
  <c r="T3" i="39" a="1"/>
  <c r="O3" i="48" a="1"/>
  <c r="R4" i="40"/>
  <c r="S3" i="40"/>
  <c r="U3" i="43" a="1"/>
  <c r="U9" i="43" a="1"/>
  <c r="U13" i="43" a="1"/>
  <c r="P3" i="48" a="1"/>
  <c r="P9" i="48" a="1"/>
  <c r="T9" i="43" a="1"/>
  <c r="T3" i="43" a="1"/>
  <c r="Q13" i="48" a="1"/>
  <c r="Q3" i="48" a="1"/>
  <c r="Q9" i="48" a="1"/>
  <c r="S3" i="43" a="1"/>
  <c r="Q3" i="49" a="1"/>
  <c r="Q13" i="49" a="1"/>
  <c r="Q9" i="49" a="1"/>
  <c r="S3" i="39" a="1"/>
  <c r="O3" i="49" a="1"/>
  <c r="T4" i="42"/>
  <c r="S5" i="42"/>
  <c r="U3" i="42"/>
  <c r="S4" i="40"/>
  <c r="R5" i="40"/>
  <c r="T3" i="40"/>
  <c r="U4" i="42"/>
  <c r="S6" i="42"/>
  <c r="T5" i="42"/>
  <c r="T4" i="40"/>
  <c r="S5" i="40"/>
  <c r="R6" i="40"/>
  <c r="T6" i="42"/>
  <c r="S7" i="42"/>
  <c r="U5" i="42"/>
  <c r="T5" i="40"/>
  <c r="R7" i="40"/>
  <c r="S6" i="40"/>
  <c r="U6" i="42"/>
  <c r="T7" i="42"/>
  <c r="S8" i="42"/>
  <c r="S7" i="40"/>
  <c r="R8" i="40"/>
  <c r="T6" i="40"/>
  <c r="U7" i="42"/>
  <c r="T8" i="42"/>
  <c r="S9" i="42"/>
  <c r="T7" i="40"/>
  <c r="S8" i="40"/>
  <c r="R9" i="40"/>
  <c r="U8" i="42"/>
  <c r="S10" i="42"/>
  <c r="T9" i="42"/>
  <c r="T8" i="40"/>
  <c r="R10" i="40"/>
  <c r="S9" i="40"/>
  <c r="S11" i="42"/>
  <c r="T10" i="42"/>
  <c r="U9" i="42"/>
  <c r="R11" i="40"/>
  <c r="S10" i="40"/>
  <c r="T9" i="40"/>
  <c r="S12" i="42"/>
  <c r="T11" i="42"/>
  <c r="U10" i="42"/>
  <c r="R12" i="40"/>
  <c r="S11" i="40"/>
  <c r="T10" i="40"/>
  <c r="S13" i="42"/>
  <c r="T12" i="42"/>
  <c r="U11" i="42"/>
  <c r="S12" i="40"/>
  <c r="R13" i="40"/>
  <c r="T11" i="40"/>
  <c r="S14" i="42"/>
  <c r="T13" i="42"/>
  <c r="U12" i="42"/>
  <c r="T12" i="40"/>
  <c r="S13" i="40"/>
  <c r="R14" i="40"/>
  <c r="T14" i="42"/>
  <c r="S15" i="42"/>
  <c r="U13" i="42"/>
  <c r="T13" i="40"/>
  <c r="R15" i="40"/>
  <c r="S14" i="40"/>
  <c r="U14" i="42"/>
  <c r="S16" i="42"/>
  <c r="T15" i="42"/>
  <c r="S15" i="40"/>
  <c r="R16" i="40"/>
  <c r="T14" i="40"/>
  <c r="S17" i="42"/>
  <c r="T16" i="42"/>
  <c r="U15" i="42"/>
  <c r="T15" i="40"/>
  <c r="R17" i="40"/>
  <c r="S16" i="40"/>
  <c r="T17" i="42"/>
  <c r="S18" i="42"/>
  <c r="U16" i="42"/>
  <c r="R18" i="40"/>
  <c r="S17" i="40"/>
  <c r="T16" i="40"/>
  <c r="U17" i="42"/>
  <c r="T18" i="42"/>
  <c r="S19" i="42"/>
  <c r="R19" i="40"/>
  <c r="S18" i="40"/>
  <c r="T17" i="40"/>
  <c r="U18" i="42"/>
  <c r="T19" i="42"/>
  <c r="S20" i="42"/>
  <c r="S19" i="40"/>
  <c r="R20" i="40"/>
  <c r="T18" i="40"/>
  <c r="U19" i="42"/>
  <c r="T20" i="42"/>
  <c r="S21" i="42"/>
  <c r="T19" i="40"/>
  <c r="R21" i="40"/>
  <c r="S20" i="40"/>
  <c r="U20" i="42"/>
  <c r="S22" i="42"/>
  <c r="T21" i="42"/>
  <c r="S21" i="40"/>
  <c r="R22" i="40"/>
  <c r="T20" i="40"/>
  <c r="T22" i="42"/>
  <c r="S23" i="42"/>
  <c r="U21" i="42"/>
  <c r="T21" i="40"/>
  <c r="S22" i="40"/>
  <c r="R23" i="40"/>
  <c r="U22" i="42"/>
  <c r="T23" i="42"/>
  <c r="S24" i="42"/>
  <c r="T22" i="40"/>
  <c r="S23" i="40"/>
  <c r="R24" i="40"/>
  <c r="U23" i="42"/>
  <c r="S25" i="42"/>
  <c r="T24" i="42"/>
  <c r="T23" i="40"/>
  <c r="S24" i="40"/>
  <c r="R25" i="40"/>
  <c r="S26" i="42"/>
  <c r="T25" i="42"/>
  <c r="U24" i="42"/>
  <c r="T24" i="40"/>
  <c r="S25" i="40"/>
  <c r="R26" i="40"/>
  <c r="S27" i="42"/>
  <c r="T26" i="42"/>
  <c r="U25" i="42"/>
  <c r="T25" i="40"/>
  <c r="S26" i="40"/>
  <c r="R27" i="40"/>
  <c r="S28" i="42"/>
  <c r="T27" i="42"/>
  <c r="U26" i="42"/>
  <c r="T26" i="40"/>
  <c r="R28" i="40"/>
  <c r="S27" i="40"/>
  <c r="S29" i="42"/>
  <c r="T28" i="42"/>
  <c r="U27" i="42"/>
  <c r="S28" i="40"/>
  <c r="R29" i="40"/>
  <c r="T27" i="40"/>
  <c r="S30" i="42"/>
  <c r="T29" i="42"/>
  <c r="U28" i="42"/>
  <c r="T28" i="40"/>
  <c r="R30" i="40"/>
  <c r="S29" i="40"/>
  <c r="T30" i="42"/>
  <c r="S31" i="42"/>
  <c r="U29" i="42"/>
  <c r="R31" i="40"/>
  <c r="S30" i="40"/>
  <c r="T29" i="40"/>
  <c r="U30" i="42"/>
  <c r="T31" i="42"/>
  <c r="S32" i="42"/>
  <c r="R32" i="40"/>
  <c r="S31" i="40"/>
  <c r="T30" i="40"/>
  <c r="U31" i="42"/>
  <c r="T32" i="42"/>
  <c r="S33" i="42"/>
  <c r="R33" i="40"/>
  <c r="S32" i="40"/>
  <c r="T31" i="40"/>
  <c r="U32" i="42"/>
  <c r="S34" i="42"/>
  <c r="T33" i="42"/>
  <c r="S33" i="40"/>
  <c r="R34" i="40"/>
  <c r="T32" i="40"/>
  <c r="S35" i="42"/>
  <c r="T34" i="42"/>
  <c r="U33" i="42"/>
  <c r="T33" i="40"/>
  <c r="R35" i="40"/>
  <c r="S34" i="40"/>
  <c r="S36" i="42"/>
  <c r="T35" i="42"/>
  <c r="U34" i="42"/>
  <c r="R36" i="40"/>
  <c r="S35" i="40"/>
  <c r="T34" i="40"/>
  <c r="T36" i="42"/>
  <c r="S37" i="42"/>
  <c r="U35" i="42"/>
  <c r="R37" i="40"/>
  <c r="S36" i="40"/>
  <c r="T35" i="40"/>
  <c r="U36" i="42"/>
  <c r="S38" i="42"/>
  <c r="T37" i="42"/>
  <c r="S37" i="40"/>
  <c r="R38" i="40"/>
  <c r="T36" i="40"/>
  <c r="S39" i="42"/>
  <c r="T38" i="42"/>
  <c r="U37" i="42"/>
  <c r="T37" i="40"/>
  <c r="R39" i="40"/>
  <c r="S38" i="40"/>
  <c r="S40" i="42"/>
  <c r="T39" i="42"/>
  <c r="U38" i="42"/>
  <c r="R40" i="40"/>
  <c r="S39" i="40"/>
  <c r="T38" i="40"/>
  <c r="S41" i="42"/>
  <c r="T40" i="42"/>
  <c r="U39" i="42"/>
  <c r="S40" i="40"/>
  <c r="R41" i="40"/>
  <c r="T39" i="40"/>
  <c r="S42" i="42"/>
  <c r="T41" i="42"/>
  <c r="U40" i="42"/>
  <c r="T40" i="40"/>
  <c r="S41" i="40"/>
  <c r="R42" i="40"/>
  <c r="T42" i="42"/>
  <c r="S43" i="42"/>
  <c r="U41" i="42"/>
  <c r="T41" i="40"/>
  <c r="S42" i="40"/>
  <c r="R43" i="40"/>
  <c r="U42" i="42"/>
  <c r="S44" i="42"/>
  <c r="T43" i="42"/>
  <c r="T42" i="40"/>
  <c r="S43" i="40"/>
  <c r="R44" i="40"/>
  <c r="S45" i="42"/>
  <c r="T44" i="42"/>
  <c r="U43" i="42"/>
  <c r="T43" i="40"/>
  <c r="R45" i="40"/>
  <c r="S44" i="40"/>
  <c r="S46" i="42"/>
  <c r="T45" i="42"/>
  <c r="U44" i="42"/>
  <c r="R46" i="40"/>
  <c r="S45" i="40"/>
  <c r="T44" i="40"/>
  <c r="S47" i="42"/>
  <c r="T46" i="42"/>
  <c r="U45" i="42"/>
  <c r="R47" i="40"/>
  <c r="S46" i="40"/>
  <c r="T45" i="40"/>
  <c r="S48" i="42"/>
  <c r="T47" i="42"/>
  <c r="U46" i="42"/>
  <c r="S47" i="40"/>
  <c r="R48" i="40"/>
  <c r="T46" i="40"/>
  <c r="S49" i="42"/>
  <c r="T48" i="42"/>
  <c r="U47" i="42"/>
  <c r="T47" i="40"/>
  <c r="S48" i="40"/>
  <c r="R49" i="40"/>
  <c r="S50" i="42"/>
  <c r="T49" i="42"/>
  <c r="U48" i="42"/>
  <c r="T48" i="40"/>
  <c r="S49" i="40"/>
  <c r="R50" i="40"/>
  <c r="T50" i="42"/>
  <c r="S51" i="42"/>
  <c r="U49" i="42"/>
  <c r="T49" i="40"/>
  <c r="R51" i="40"/>
  <c r="S50" i="40"/>
  <c r="U50" i="42"/>
  <c r="S52" i="42"/>
  <c r="T51" i="42"/>
  <c r="R52" i="40"/>
  <c r="S51" i="40"/>
  <c r="T50" i="40"/>
  <c r="T52" i="42"/>
  <c r="S53" i="42"/>
  <c r="U51" i="42"/>
  <c r="S52" i="40"/>
  <c r="R53" i="40"/>
  <c r="T51" i="40"/>
  <c r="U52" i="42"/>
  <c r="S54" i="42"/>
  <c r="T53" i="42"/>
  <c r="T52" i="40"/>
  <c r="R54" i="40"/>
  <c r="S53" i="40"/>
  <c r="T54" i="42"/>
  <c r="S55" i="42"/>
  <c r="U53" i="42"/>
  <c r="S54" i="40"/>
  <c r="R55" i="40"/>
  <c r="T53" i="40"/>
  <c r="U54" i="42"/>
  <c r="S56" i="42"/>
  <c r="T55" i="42"/>
  <c r="T54" i="40"/>
  <c r="S55" i="40"/>
  <c r="R56" i="40"/>
  <c r="S57" i="42"/>
  <c r="T56" i="42"/>
  <c r="U55" i="42"/>
  <c r="T55" i="40"/>
  <c r="R57" i="40"/>
  <c r="S56" i="40"/>
  <c r="T57" i="42"/>
  <c r="S58" i="42"/>
  <c r="U56" i="42"/>
  <c r="S57" i="40"/>
  <c r="R58" i="40"/>
  <c r="T56" i="40"/>
  <c r="U57" i="42"/>
  <c r="S59" i="42"/>
  <c r="T58" i="42"/>
  <c r="T57" i="40"/>
  <c r="R59" i="40"/>
  <c r="S58" i="40"/>
  <c r="T59" i="42"/>
  <c r="S60" i="42"/>
  <c r="U58" i="42"/>
  <c r="R60" i="40"/>
  <c r="S59" i="40"/>
  <c r="T58" i="40"/>
  <c r="U59" i="42"/>
  <c r="S61" i="42"/>
  <c r="T60" i="42"/>
  <c r="R61" i="40"/>
  <c r="S60" i="40"/>
  <c r="T59" i="40"/>
  <c r="T61" i="42"/>
  <c r="S62" i="42"/>
  <c r="U60" i="42"/>
  <c r="R62" i="40"/>
  <c r="S61" i="40"/>
  <c r="T60" i="40"/>
  <c r="U61" i="42"/>
  <c r="S63" i="42"/>
  <c r="T62" i="42"/>
  <c r="S62" i="40"/>
  <c r="R63" i="40"/>
  <c r="T61" i="40"/>
  <c r="T63" i="42"/>
  <c r="S64" i="42"/>
  <c r="U62" i="42"/>
  <c r="T62" i="40"/>
  <c r="R64" i="40"/>
  <c r="S63" i="40"/>
  <c r="U63" i="42"/>
  <c r="T64" i="42"/>
  <c r="S65" i="42"/>
  <c r="S64" i="40"/>
  <c r="R65" i="40"/>
  <c r="T63" i="40"/>
  <c r="U64" i="42"/>
  <c r="S66" i="42"/>
  <c r="T65" i="42"/>
  <c r="T64" i="40"/>
  <c r="R66" i="40"/>
  <c r="S65" i="40"/>
  <c r="S67" i="42"/>
  <c r="T66" i="42"/>
  <c r="U65" i="42"/>
  <c r="R67" i="40"/>
  <c r="S66" i="40"/>
  <c r="T65" i="40"/>
  <c r="S68" i="42"/>
  <c r="T67" i="42"/>
  <c r="U66" i="42"/>
  <c r="S67" i="40"/>
  <c r="R68" i="40"/>
  <c r="T66" i="40"/>
  <c r="S69" i="42"/>
  <c r="T68" i="42"/>
  <c r="U67" i="42"/>
  <c r="T67" i="40"/>
  <c r="R69" i="40"/>
  <c r="S68" i="40"/>
  <c r="S70" i="42"/>
  <c r="T69" i="42"/>
  <c r="U68" i="42"/>
  <c r="R70" i="40"/>
  <c r="S69" i="40"/>
  <c r="T68" i="40"/>
  <c r="S71" i="42"/>
  <c r="T70" i="42"/>
  <c r="U69" i="42"/>
  <c r="R71" i="40"/>
  <c r="S70" i="40"/>
  <c r="T69" i="40"/>
  <c r="S72" i="42"/>
  <c r="T71" i="42"/>
  <c r="U70" i="42"/>
  <c r="S71" i="40"/>
  <c r="R72" i="40"/>
  <c r="T70" i="40"/>
  <c r="S73" i="42"/>
  <c r="T72" i="42"/>
  <c r="U71" i="42"/>
  <c r="T71" i="40"/>
  <c r="R73" i="40"/>
  <c r="S72" i="40"/>
  <c r="S74" i="42"/>
  <c r="T73" i="42"/>
  <c r="U72" i="42"/>
  <c r="R74" i="40"/>
  <c r="S73" i="40"/>
  <c r="T72" i="40"/>
  <c r="S75" i="42"/>
  <c r="T74" i="42"/>
  <c r="U73" i="42"/>
  <c r="S74" i="40"/>
  <c r="R75" i="40"/>
  <c r="T73" i="40"/>
  <c r="T75" i="42"/>
  <c r="S76" i="42"/>
  <c r="U74" i="42"/>
  <c r="T74" i="40"/>
  <c r="R76" i="40"/>
  <c r="S75" i="40"/>
  <c r="U75" i="42"/>
  <c r="S77" i="42"/>
  <c r="T76" i="42"/>
  <c r="R77" i="40"/>
  <c r="S76" i="40"/>
  <c r="T75" i="40"/>
  <c r="T77" i="42"/>
  <c r="S78" i="42"/>
  <c r="U76" i="42"/>
  <c r="R78" i="40"/>
  <c r="S77" i="40"/>
  <c r="T76" i="40"/>
  <c r="U77" i="42"/>
  <c r="S79" i="42"/>
  <c r="T78" i="42"/>
  <c r="S78" i="40"/>
  <c r="R79" i="40"/>
  <c r="T77" i="40"/>
  <c r="S80" i="42"/>
  <c r="T79" i="42"/>
  <c r="U78" i="42"/>
  <c r="T78" i="40"/>
  <c r="S79" i="40"/>
  <c r="R80" i="40"/>
  <c r="S81" i="42"/>
  <c r="T80" i="42"/>
  <c r="U79" i="42"/>
  <c r="T79" i="40"/>
  <c r="R81" i="40"/>
  <c r="S80" i="40"/>
  <c r="T81" i="42"/>
  <c r="S82" i="42"/>
  <c r="U80" i="42"/>
  <c r="S81" i="40"/>
  <c r="R82" i="40"/>
  <c r="T80" i="40"/>
  <c r="U81" i="42"/>
  <c r="S83" i="42"/>
  <c r="T82" i="42"/>
  <c r="T81" i="40"/>
  <c r="S82" i="40"/>
  <c r="R83" i="40"/>
  <c r="T83" i="42"/>
  <c r="S84" i="42"/>
  <c r="U82" i="42"/>
  <c r="T82" i="40"/>
  <c r="R84" i="40"/>
  <c r="S83" i="40"/>
  <c r="U83" i="42"/>
  <c r="T84" i="42"/>
  <c r="S85" i="42"/>
  <c r="R85" i="40"/>
  <c r="S84" i="40"/>
  <c r="T83" i="40"/>
  <c r="U84" i="42"/>
  <c r="T85" i="42"/>
  <c r="S86" i="42"/>
  <c r="S85" i="40"/>
  <c r="R86" i="40"/>
  <c r="T84" i="40"/>
  <c r="U85" i="42"/>
  <c r="T86" i="42"/>
  <c r="S87" i="42"/>
  <c r="T85" i="40"/>
  <c r="S86" i="40"/>
  <c r="R87" i="40"/>
  <c r="U86" i="42"/>
  <c r="T87" i="42"/>
  <c r="S88" i="42"/>
  <c r="T86" i="40"/>
  <c r="R88" i="40"/>
  <c r="S87" i="40"/>
  <c r="U87" i="42"/>
  <c r="S89" i="42"/>
  <c r="T88" i="42"/>
  <c r="R89" i="40"/>
  <c r="S88" i="40"/>
  <c r="T87" i="40"/>
  <c r="S90" i="42"/>
  <c r="T89" i="42"/>
  <c r="U88" i="42"/>
  <c r="R90" i="40"/>
  <c r="S89" i="40"/>
  <c r="T88" i="40"/>
  <c r="S91" i="42"/>
  <c r="T90" i="42"/>
  <c r="U89" i="42"/>
  <c r="S90" i="40"/>
  <c r="R91" i="40"/>
  <c r="T89" i="40"/>
  <c r="T91" i="42"/>
  <c r="S92" i="42"/>
  <c r="U90" i="42"/>
  <c r="T90" i="40"/>
  <c r="S91" i="40"/>
  <c r="R92" i="40"/>
  <c r="U91" i="42"/>
  <c r="S93" i="42"/>
  <c r="T92" i="42"/>
  <c r="T91" i="40"/>
  <c r="R93" i="40"/>
  <c r="S92" i="40"/>
  <c r="S94" i="42"/>
  <c r="T93" i="42"/>
  <c r="U92" i="42"/>
  <c r="R94" i="40"/>
  <c r="S93" i="40"/>
  <c r="T92" i="40"/>
  <c r="T94" i="42"/>
  <c r="S95" i="42"/>
  <c r="U93" i="42"/>
  <c r="S94" i="40"/>
  <c r="R95" i="40"/>
  <c r="T93" i="40"/>
  <c r="U94" i="42"/>
  <c r="T95" i="42"/>
  <c r="S96" i="42"/>
  <c r="T94" i="40"/>
  <c r="R96" i="40"/>
  <c r="S95" i="40"/>
  <c r="U95" i="42"/>
  <c r="T96" i="42"/>
  <c r="S97" i="42"/>
  <c r="R97" i="40"/>
  <c r="S96" i="40"/>
  <c r="T95" i="40"/>
  <c r="U96" i="42"/>
  <c r="S98" i="42"/>
  <c r="T97" i="42"/>
  <c r="S97" i="40"/>
  <c r="R98" i="40"/>
  <c r="T96" i="40"/>
  <c r="T98" i="42"/>
  <c r="S99" i="42"/>
  <c r="U97" i="42"/>
  <c r="T97" i="40"/>
  <c r="S98" i="40"/>
  <c r="R99" i="40"/>
  <c r="U98" i="42"/>
  <c r="S100" i="42"/>
  <c r="T99" i="42"/>
  <c r="T98" i="40"/>
  <c r="S99" i="40"/>
  <c r="R100" i="40"/>
  <c r="S101" i="42"/>
  <c r="T100" i="42"/>
  <c r="U99" i="42"/>
  <c r="T99" i="40"/>
  <c r="R101" i="40"/>
  <c r="S100" i="40"/>
  <c r="T101" i="42"/>
  <c r="S102" i="42"/>
  <c r="U100" i="42"/>
  <c r="S101" i="40"/>
  <c r="R102" i="40"/>
  <c r="T100" i="40"/>
  <c r="U101" i="42"/>
  <c r="S103" i="42"/>
  <c r="T102" i="42"/>
  <c r="T101" i="40"/>
  <c r="S102" i="40"/>
  <c r="R103" i="40"/>
  <c r="T103" i="42"/>
  <c r="S104" i="42"/>
  <c r="U102" i="42"/>
  <c r="T102" i="40"/>
  <c r="R104" i="40"/>
  <c r="S103" i="40"/>
  <c r="U103" i="42"/>
  <c r="S105" i="42"/>
  <c r="T104" i="42"/>
  <c r="S104" i="40"/>
  <c r="R105" i="40"/>
  <c r="T103" i="40"/>
  <c r="T105" i="42"/>
  <c r="S106" i="42"/>
  <c r="U104" i="42"/>
  <c r="T104" i="40"/>
  <c r="S105" i="40"/>
  <c r="R106" i="40"/>
  <c r="U105" i="42"/>
  <c r="S107" i="42"/>
  <c r="T106" i="42"/>
  <c r="T105" i="40"/>
  <c r="R107" i="40"/>
  <c r="S106" i="40"/>
  <c r="T107" i="42"/>
  <c r="S108" i="42"/>
  <c r="U106" i="42"/>
  <c r="S107" i="40"/>
  <c r="R108" i="40"/>
  <c r="T106" i="40"/>
  <c r="U107" i="42"/>
  <c r="S109" i="42"/>
  <c r="T108" i="42"/>
  <c r="T107" i="40"/>
  <c r="R109" i="40"/>
  <c r="S108" i="40"/>
  <c r="T109" i="42"/>
  <c r="S110" i="42"/>
  <c r="U108" i="42"/>
  <c r="S109" i="40"/>
  <c r="R110" i="40"/>
  <c r="T108" i="40"/>
  <c r="U109" i="42"/>
  <c r="T110" i="42"/>
  <c r="S111" i="42"/>
  <c r="T109" i="40"/>
  <c r="R111" i="40"/>
  <c r="S110" i="40"/>
  <c r="U110" i="42"/>
  <c r="T111" i="42"/>
  <c r="S112" i="42"/>
  <c r="R112" i="40"/>
  <c r="S111" i="40"/>
  <c r="T110" i="40"/>
  <c r="U111" i="42"/>
  <c r="S113" i="42"/>
  <c r="T112" i="42"/>
  <c r="R113" i="40"/>
  <c r="S112" i="40"/>
  <c r="T111" i="40"/>
  <c r="T113" i="42"/>
  <c r="S114" i="42"/>
  <c r="U112" i="42"/>
  <c r="R114" i="40"/>
  <c r="S113" i="40"/>
  <c r="T112" i="40"/>
  <c r="U113" i="42"/>
  <c r="S115" i="42"/>
  <c r="T114" i="42"/>
  <c r="S114" i="40"/>
  <c r="R115" i="40"/>
  <c r="T113" i="40"/>
  <c r="S116" i="42"/>
  <c r="T115" i="42"/>
  <c r="U114" i="42"/>
  <c r="T114" i="40"/>
  <c r="R116" i="40"/>
  <c r="S115" i="40"/>
  <c r="T116" i="42"/>
  <c r="S117" i="42"/>
  <c r="U115" i="42"/>
  <c r="R117" i="40"/>
  <c r="S116" i="40"/>
  <c r="T115" i="40"/>
  <c r="U116" i="42"/>
  <c r="T117" i="42"/>
  <c r="S118" i="42"/>
  <c r="S117" i="40"/>
  <c r="R118" i="40"/>
  <c r="T116" i="40"/>
  <c r="U117" i="42"/>
  <c r="S119" i="42"/>
  <c r="T118" i="42"/>
  <c r="T117" i="40"/>
  <c r="S118" i="40"/>
  <c r="R119" i="40"/>
  <c r="S120" i="42"/>
  <c r="T119" i="42"/>
  <c r="U118" i="42"/>
  <c r="T118" i="40"/>
  <c r="S119" i="40"/>
  <c r="R120" i="40"/>
  <c r="T120" i="42"/>
  <c r="S121" i="42"/>
  <c r="U119" i="42"/>
  <c r="T119" i="40"/>
  <c r="S120" i="40"/>
  <c r="R121" i="40"/>
  <c r="U120" i="42"/>
  <c r="S122" i="42"/>
  <c r="T121" i="42"/>
  <c r="T120" i="40"/>
  <c r="S121" i="40"/>
  <c r="R122" i="40"/>
  <c r="T122" i="42"/>
  <c r="S123" i="42"/>
  <c r="U121" i="42"/>
  <c r="T121" i="40"/>
  <c r="S122" i="40"/>
  <c r="R123" i="40"/>
  <c r="U122" i="42"/>
  <c r="T123" i="42"/>
  <c r="S124" i="42"/>
  <c r="T122" i="40"/>
  <c r="R124" i="40"/>
  <c r="S123" i="40"/>
  <c r="U123" i="42"/>
  <c r="S125" i="42"/>
  <c r="T124" i="42"/>
  <c r="R125" i="40"/>
  <c r="S124" i="40"/>
  <c r="T123" i="40"/>
  <c r="S126" i="42"/>
  <c r="T125" i="42"/>
  <c r="U124" i="42"/>
  <c r="R126" i="40"/>
  <c r="S125" i="40"/>
  <c r="T124" i="40"/>
  <c r="S127" i="42"/>
  <c r="T126" i="42"/>
  <c r="U125" i="42"/>
  <c r="S126" i="40"/>
  <c r="R127" i="40"/>
  <c r="T125" i="40"/>
  <c r="T127" i="42"/>
  <c r="S128" i="42"/>
  <c r="U126" i="42"/>
  <c r="T126" i="40"/>
  <c r="R128" i="40"/>
  <c r="S127" i="40"/>
  <c r="U127" i="42"/>
  <c r="T128" i="42"/>
  <c r="S129" i="42"/>
  <c r="S128" i="40"/>
  <c r="R129" i="40"/>
  <c r="T127" i="40"/>
  <c r="U128" i="42"/>
  <c r="S130" i="42"/>
  <c r="T129" i="42"/>
  <c r="T128" i="40"/>
  <c r="S129" i="40"/>
  <c r="R130" i="40"/>
  <c r="T130" i="42"/>
  <c r="S131" i="42"/>
  <c r="U129" i="42"/>
  <c r="T129" i="40"/>
  <c r="S130" i="40"/>
  <c r="R131" i="40"/>
  <c r="U130" i="42"/>
  <c r="S132" i="42"/>
  <c r="T131" i="42"/>
  <c r="T130" i="40"/>
  <c r="S131" i="40"/>
  <c r="R132" i="40"/>
  <c r="S133" i="42"/>
  <c r="T132" i="42"/>
  <c r="U131" i="42"/>
  <c r="T131" i="40"/>
  <c r="R133" i="40"/>
  <c r="S132" i="40"/>
  <c r="S134" i="42"/>
  <c r="T133" i="42"/>
  <c r="U132" i="42"/>
  <c r="S133" i="40"/>
  <c r="R134" i="40"/>
  <c r="T132" i="40"/>
  <c r="S135" i="42"/>
  <c r="T134" i="42"/>
  <c r="U133" i="42"/>
  <c r="T133" i="40"/>
  <c r="R135" i="40"/>
  <c r="S134" i="40"/>
  <c r="S136" i="42"/>
  <c r="T135" i="42"/>
  <c r="U134" i="42"/>
  <c r="R136" i="40"/>
  <c r="S135" i="40"/>
  <c r="T134" i="40"/>
  <c r="T136" i="42"/>
  <c r="S137" i="42"/>
  <c r="U135" i="42"/>
  <c r="S136" i="40"/>
  <c r="R137" i="40"/>
  <c r="T135" i="40"/>
  <c r="U136" i="42"/>
  <c r="S138" i="42"/>
  <c r="T137" i="42"/>
  <c r="T136" i="40"/>
  <c r="R138" i="40"/>
  <c r="S137" i="40"/>
  <c r="T138" i="42"/>
  <c r="S139" i="42"/>
  <c r="U137" i="42"/>
  <c r="R139" i="40"/>
  <c r="S138" i="40"/>
  <c r="T137" i="40"/>
  <c r="U138" i="42"/>
  <c r="S140" i="42"/>
  <c r="T139" i="42"/>
  <c r="S139" i="40"/>
  <c r="R140" i="40"/>
  <c r="T138" i="40"/>
  <c r="T140" i="42"/>
  <c r="S141" i="42"/>
  <c r="U139" i="42"/>
  <c r="T139" i="40"/>
  <c r="S140" i="40"/>
  <c r="R141" i="40"/>
  <c r="U140" i="42"/>
  <c r="T141" i="42"/>
  <c r="S142" i="42"/>
  <c r="T140" i="40"/>
  <c r="S141" i="40"/>
  <c r="R142" i="40"/>
  <c r="U141" i="42"/>
  <c r="S143" i="42"/>
  <c r="T142" i="42"/>
  <c r="T141" i="40"/>
  <c r="R143" i="40"/>
  <c r="S142" i="40"/>
  <c r="S144" i="42"/>
  <c r="T143" i="42"/>
  <c r="U142" i="42"/>
  <c r="R144" i="40"/>
  <c r="S143" i="40"/>
  <c r="T142" i="40"/>
  <c r="T144" i="42"/>
  <c r="S145" i="42"/>
  <c r="U143" i="42"/>
  <c r="S144" i="40"/>
  <c r="R145" i="40"/>
  <c r="T143" i="40"/>
  <c r="U144" i="42"/>
  <c r="S146" i="42"/>
  <c r="T145" i="42"/>
  <c r="T144" i="40"/>
  <c r="R146" i="40"/>
  <c r="S145" i="40"/>
  <c r="T146" i="42"/>
  <c r="S147" i="42"/>
  <c r="U145" i="42"/>
  <c r="S146" i="40"/>
  <c r="R147" i="40"/>
  <c r="T145" i="40"/>
  <c r="U146" i="42"/>
  <c r="S148" i="42"/>
  <c r="T147" i="42"/>
  <c r="T146" i="40"/>
  <c r="R148" i="40"/>
  <c r="S147" i="40"/>
  <c r="S149" i="42"/>
  <c r="T148" i="42"/>
  <c r="U147" i="42"/>
  <c r="R149" i="40"/>
  <c r="S148" i="40"/>
  <c r="T147" i="40"/>
  <c r="S150" i="42"/>
  <c r="T149" i="42"/>
  <c r="U148" i="42"/>
  <c r="R150" i="40"/>
  <c r="S149" i="40"/>
  <c r="T148" i="40"/>
  <c r="T150" i="42"/>
  <c r="S151" i="42"/>
  <c r="U149" i="42"/>
  <c r="R151" i="40"/>
  <c r="S150" i="40"/>
  <c r="T149" i="40"/>
  <c r="U150" i="42"/>
  <c r="S152" i="42"/>
  <c r="T151" i="42"/>
  <c r="S151" i="40"/>
  <c r="R152" i="40"/>
  <c r="T150" i="40"/>
  <c r="T152" i="42"/>
  <c r="S153" i="42"/>
  <c r="U151" i="42"/>
  <c r="T151" i="40"/>
  <c r="R153" i="40"/>
  <c r="S152" i="40"/>
  <c r="U152" i="42"/>
  <c r="S154" i="42"/>
  <c r="T153" i="42"/>
  <c r="S153" i="40"/>
  <c r="R154" i="40"/>
  <c r="T152" i="40"/>
  <c r="T154" i="42"/>
  <c r="S155" i="42"/>
  <c r="U153" i="42"/>
  <c r="T153" i="40"/>
  <c r="R155" i="40"/>
  <c r="S154" i="40"/>
  <c r="U154" i="42"/>
  <c r="S156" i="42"/>
  <c r="T155" i="42"/>
  <c r="R156" i="40"/>
  <c r="S155" i="40"/>
  <c r="T154" i="40"/>
  <c r="T156" i="42"/>
  <c r="S157" i="42"/>
  <c r="U155" i="42"/>
  <c r="S156" i="40"/>
  <c r="R157" i="40"/>
  <c r="T155" i="40"/>
  <c r="U156" i="42"/>
  <c r="T157" i="42"/>
  <c r="S158" i="42"/>
  <c r="T156" i="40"/>
  <c r="S157" i="40"/>
  <c r="R158" i="40"/>
  <c r="U157" i="42"/>
  <c r="S159" i="42"/>
  <c r="T158" i="42"/>
  <c r="T157" i="40"/>
  <c r="S158" i="40"/>
  <c r="R159" i="40"/>
  <c r="T159" i="42"/>
  <c r="S160" i="42"/>
  <c r="U158" i="42"/>
  <c r="T158" i="40"/>
  <c r="S159" i="40"/>
  <c r="R160" i="40"/>
  <c r="U159" i="42"/>
  <c r="T160" i="42"/>
  <c r="S161" i="42"/>
  <c r="T159" i="40"/>
  <c r="R161" i="40"/>
  <c r="S160" i="40"/>
  <c r="U160" i="42"/>
  <c r="S162" i="42"/>
  <c r="T161" i="42"/>
  <c r="R162" i="40"/>
  <c r="S161" i="40"/>
  <c r="T160" i="40"/>
  <c r="S163" i="42"/>
  <c r="T162" i="42"/>
  <c r="U161" i="42"/>
  <c r="R163" i="40"/>
  <c r="S162" i="40"/>
  <c r="T161" i="40"/>
  <c r="S164" i="42"/>
  <c r="T163" i="42"/>
  <c r="U162" i="42"/>
  <c r="R164" i="40"/>
  <c r="S163" i="40"/>
  <c r="T162" i="40"/>
  <c r="T164" i="42"/>
  <c r="S165" i="42"/>
  <c r="U163" i="42"/>
  <c r="R165" i="40"/>
  <c r="S164" i="40"/>
  <c r="T163" i="40"/>
  <c r="U164" i="42"/>
  <c r="T165" i="42"/>
  <c r="S166" i="42"/>
  <c r="S165" i="40"/>
  <c r="R166" i="40"/>
  <c r="T164" i="40"/>
  <c r="U165" i="42"/>
  <c r="S167" i="42"/>
  <c r="T166" i="42"/>
  <c r="T165" i="40"/>
  <c r="S166" i="40"/>
  <c r="R167" i="40"/>
  <c r="T167" i="42"/>
  <c r="S168" i="42"/>
  <c r="U166" i="42"/>
  <c r="T166" i="40"/>
  <c r="S167" i="40"/>
  <c r="R168" i="40"/>
  <c r="U167" i="42"/>
  <c r="S169" i="42"/>
  <c r="T168" i="42"/>
  <c r="T167" i="40"/>
  <c r="S168" i="40"/>
  <c r="R169" i="40"/>
  <c r="S170" i="42"/>
  <c r="T169" i="42"/>
  <c r="U168" i="42"/>
  <c r="T168" i="40"/>
  <c r="R170" i="40"/>
  <c r="S169" i="40"/>
  <c r="S171" i="42"/>
  <c r="T170" i="42"/>
  <c r="U169" i="42"/>
  <c r="R171" i="40"/>
  <c r="S170" i="40"/>
  <c r="T169" i="40"/>
  <c r="T171" i="42"/>
  <c r="S172" i="42"/>
  <c r="U170" i="42"/>
  <c r="R172" i="40"/>
  <c r="S171" i="40"/>
  <c r="T170" i="40"/>
  <c r="U171" i="42"/>
  <c r="S173" i="42"/>
  <c r="T172" i="42"/>
  <c r="S172" i="40"/>
  <c r="R173" i="40"/>
  <c r="T171" i="40"/>
  <c r="S174" i="42"/>
  <c r="T173" i="42"/>
  <c r="U172" i="42"/>
  <c r="T172" i="40"/>
  <c r="S173" i="40"/>
  <c r="R174" i="40"/>
  <c r="S175" i="42"/>
  <c r="T174" i="42"/>
  <c r="U173" i="42"/>
  <c r="T173" i="40"/>
  <c r="R175" i="40"/>
  <c r="S174" i="40"/>
  <c r="S176" i="42"/>
  <c r="T175" i="42"/>
  <c r="U174" i="42"/>
  <c r="R176" i="40"/>
  <c r="S175" i="40"/>
  <c r="T174" i="40"/>
  <c r="T176" i="42"/>
  <c r="S177" i="42"/>
  <c r="U175" i="42"/>
  <c r="S176" i="40"/>
  <c r="R177" i="40"/>
  <c r="T175" i="40"/>
  <c r="U176" i="42"/>
  <c r="T177" i="42"/>
  <c r="S178" i="42"/>
  <c r="T176" i="40"/>
  <c r="S177" i="40"/>
  <c r="R178" i="40"/>
  <c r="U177" i="42"/>
  <c r="T178" i="42"/>
  <c r="S179" i="42"/>
  <c r="T177" i="40"/>
  <c r="R179" i="40"/>
  <c r="S178" i="40"/>
  <c r="U178" i="42"/>
  <c r="T179" i="42"/>
  <c r="S180" i="42"/>
  <c r="R180" i="40"/>
  <c r="S179" i="40"/>
  <c r="T178" i="40"/>
  <c r="U179" i="42"/>
  <c r="S181" i="42"/>
  <c r="T180" i="42"/>
  <c r="R181" i="40"/>
  <c r="S180" i="40"/>
  <c r="T179" i="40"/>
  <c r="T181" i="42"/>
  <c r="S182" i="42"/>
  <c r="U180" i="42"/>
  <c r="R182" i="40"/>
  <c r="S181" i="40"/>
  <c r="T180" i="40"/>
  <c r="U181" i="42"/>
  <c r="S183" i="42"/>
  <c r="T182" i="42"/>
  <c r="S182" i="40"/>
  <c r="R183" i="40"/>
  <c r="T181" i="40"/>
  <c r="T183" i="42"/>
  <c r="S184" i="42"/>
  <c r="U182" i="42"/>
  <c r="T182" i="40"/>
  <c r="S183" i="40"/>
  <c r="R184" i="40"/>
  <c r="U183" i="42"/>
  <c r="S185" i="42"/>
  <c r="T184" i="42"/>
  <c r="T183" i="40"/>
  <c r="R185" i="40"/>
  <c r="S184" i="40"/>
  <c r="T185" i="42"/>
  <c r="S186" i="42"/>
  <c r="U184" i="42"/>
  <c r="S185" i="40"/>
  <c r="R186" i="40"/>
  <c r="T184" i="40"/>
  <c r="U185" i="42"/>
  <c r="T186" i="42"/>
  <c r="S187" i="42"/>
  <c r="T185" i="40"/>
  <c r="R187" i="40"/>
  <c r="S186" i="40"/>
  <c r="U186" i="42"/>
  <c r="T187" i="42"/>
  <c r="S188" i="42"/>
  <c r="R188" i="40"/>
  <c r="S187" i="40"/>
  <c r="T186" i="40"/>
  <c r="U187" i="42"/>
  <c r="T188" i="42"/>
  <c r="S189" i="42"/>
  <c r="S188" i="40"/>
  <c r="R189" i="40"/>
  <c r="T187" i="40"/>
  <c r="U188" i="42"/>
  <c r="S190" i="42"/>
  <c r="T189" i="42"/>
  <c r="T188" i="40"/>
  <c r="S189" i="40"/>
  <c r="R190" i="40"/>
  <c r="T190" i="42"/>
  <c r="S191" i="42"/>
  <c r="U189" i="42"/>
  <c r="T189" i="40"/>
  <c r="S190" i="40"/>
  <c r="R191" i="40"/>
  <c r="U190" i="42"/>
  <c r="T191" i="42"/>
  <c r="S192" i="42"/>
  <c r="T190" i="40"/>
  <c r="R192" i="40"/>
  <c r="S191" i="40"/>
  <c r="U191" i="42"/>
  <c r="S193" i="42"/>
  <c r="T192" i="42"/>
  <c r="S192" i="40"/>
  <c r="R193" i="40"/>
  <c r="T191" i="40"/>
  <c r="S194" i="42"/>
  <c r="T193" i="42"/>
  <c r="U192" i="42"/>
  <c r="T192" i="40"/>
  <c r="S193" i="40"/>
  <c r="R194" i="40"/>
  <c r="T194" i="42"/>
  <c r="S195" i="42"/>
  <c r="U193" i="42"/>
  <c r="T193" i="40"/>
  <c r="S194" i="40"/>
  <c r="R195" i="40"/>
  <c r="U194" i="42"/>
  <c r="S196" i="42"/>
  <c r="T195" i="42"/>
  <c r="T194" i="40"/>
  <c r="S195" i="40"/>
  <c r="R196" i="40"/>
  <c r="S197" i="42"/>
  <c r="T196" i="42"/>
  <c r="U195" i="42"/>
  <c r="T195" i="40"/>
  <c r="R197" i="40"/>
  <c r="S196" i="40"/>
  <c r="S198" i="42"/>
  <c r="T197" i="42"/>
  <c r="U196" i="42"/>
  <c r="S197" i="40"/>
  <c r="R198" i="40"/>
  <c r="T196" i="40"/>
  <c r="S199" i="42"/>
  <c r="T198" i="42"/>
  <c r="U197" i="42"/>
  <c r="T197" i="40"/>
  <c r="S198" i="40"/>
  <c r="R199" i="40"/>
  <c r="T199" i="42"/>
  <c r="S200" i="42"/>
  <c r="U198" i="42"/>
  <c r="T198" i="40"/>
  <c r="R200" i="40"/>
  <c r="S199" i="40"/>
  <c r="U199" i="42"/>
  <c r="T200" i="42"/>
  <c r="S201" i="42"/>
  <c r="S200" i="40"/>
  <c r="R201" i="40"/>
  <c r="T199" i="40"/>
  <c r="U200" i="42"/>
  <c r="T201" i="42"/>
  <c r="S202" i="42"/>
  <c r="T200" i="40"/>
  <c r="S201" i="40"/>
  <c r="R202" i="40"/>
  <c r="U201" i="42"/>
  <c r="T202" i="42"/>
  <c r="S203" i="42"/>
  <c r="T201" i="40"/>
  <c r="R203" i="40"/>
  <c r="S202" i="40"/>
  <c r="U202" i="42"/>
  <c r="T203" i="42"/>
  <c r="S204" i="42"/>
  <c r="S203" i="40"/>
  <c r="R204" i="40"/>
  <c r="T202" i="40"/>
  <c r="U203" i="42"/>
  <c r="S205" i="42"/>
  <c r="T204" i="42"/>
  <c r="T203" i="40"/>
  <c r="S204" i="40"/>
  <c r="R205" i="40"/>
  <c r="S206" i="42"/>
  <c r="T205" i="42"/>
  <c r="U204" i="42"/>
  <c r="T204" i="40"/>
  <c r="S205" i="40"/>
  <c r="R206" i="40"/>
  <c r="S207" i="42"/>
  <c r="T206" i="42"/>
  <c r="U205" i="42"/>
  <c r="T205" i="40"/>
  <c r="R207" i="40"/>
  <c r="S206" i="40"/>
  <c r="S208" i="42"/>
  <c r="T207" i="42"/>
  <c r="U206" i="42"/>
  <c r="R208" i="40"/>
  <c r="S207" i="40"/>
  <c r="T206" i="40"/>
  <c r="T208" i="42"/>
  <c r="S209" i="42"/>
  <c r="U207" i="42"/>
  <c r="S208" i="40"/>
  <c r="R209" i="40"/>
  <c r="T207" i="40"/>
  <c r="U208" i="42"/>
  <c r="S210" i="42"/>
  <c r="T209" i="42"/>
  <c r="T208" i="40"/>
  <c r="R210" i="40"/>
  <c r="S209" i="40"/>
  <c r="T210" i="42"/>
  <c r="S211" i="42"/>
  <c r="U209" i="42"/>
  <c r="S210" i="40"/>
  <c r="R211" i="40"/>
  <c r="T209" i="40"/>
  <c r="U210" i="42"/>
  <c r="S212" i="42"/>
  <c r="T211" i="42"/>
  <c r="T210" i="40"/>
  <c r="S211" i="40"/>
  <c r="R212" i="40"/>
  <c r="S213" i="42"/>
  <c r="T212" i="42"/>
  <c r="U211" i="42"/>
  <c r="T211" i="40"/>
  <c r="R213" i="40"/>
  <c r="S212" i="40"/>
  <c r="T213" i="42"/>
  <c r="S214" i="42"/>
  <c r="U212" i="42"/>
  <c r="S213" i="40"/>
  <c r="R214" i="40"/>
  <c r="T212" i="40"/>
  <c r="U213" i="42"/>
  <c r="T214" i="42"/>
  <c r="S215" i="42"/>
  <c r="T213" i="40"/>
  <c r="R215" i="40"/>
  <c r="S214" i="40"/>
  <c r="U214" i="42"/>
  <c r="S216" i="42"/>
  <c r="T215" i="42"/>
  <c r="R216" i="40"/>
  <c r="S215" i="40"/>
  <c r="T214" i="40"/>
  <c r="T216" i="42"/>
  <c r="S217" i="42"/>
  <c r="U215" i="42"/>
  <c r="R217" i="40"/>
  <c r="S216" i="40"/>
  <c r="T215" i="40"/>
  <c r="U216" i="42"/>
  <c r="T217" i="42"/>
  <c r="S218" i="42"/>
  <c r="S217" i="40"/>
  <c r="R218" i="40"/>
  <c r="T216" i="40"/>
  <c r="U217" i="42"/>
  <c r="S219" i="42"/>
  <c r="T218" i="42"/>
  <c r="T217" i="40"/>
  <c r="S218" i="40"/>
  <c r="R219" i="40"/>
  <c r="S220" i="42"/>
  <c r="T219" i="42"/>
  <c r="U218" i="42"/>
  <c r="T218" i="40"/>
  <c r="R220" i="40"/>
  <c r="S219" i="40"/>
  <c r="S221" i="42"/>
  <c r="T220" i="42"/>
  <c r="U219" i="42"/>
  <c r="S220" i="40"/>
  <c r="R221" i="40"/>
  <c r="T219" i="40"/>
  <c r="S222" i="42"/>
  <c r="T221" i="42"/>
  <c r="U220" i="42"/>
  <c r="T220" i="40"/>
  <c r="S221" i="40"/>
  <c r="R222" i="40"/>
  <c r="S223" i="42"/>
  <c r="T222" i="42"/>
  <c r="U221" i="42"/>
  <c r="T221" i="40"/>
  <c r="R223" i="40"/>
  <c r="S222" i="40"/>
  <c r="T223" i="42"/>
  <c r="S224" i="42"/>
  <c r="U222" i="42"/>
  <c r="S223" i="40"/>
  <c r="R224" i="40"/>
  <c r="T222" i="40"/>
  <c r="U223" i="42"/>
  <c r="T224" i="42"/>
  <c r="S225" i="42"/>
  <c r="T223" i="40"/>
  <c r="S224" i="40"/>
  <c r="R225" i="40"/>
  <c r="U224" i="42"/>
  <c r="S226" i="42"/>
  <c r="T225" i="42"/>
  <c r="T224" i="40"/>
  <c r="S225" i="40"/>
  <c r="R226" i="40"/>
  <c r="S227" i="42"/>
  <c r="T226" i="42"/>
  <c r="U225" i="42"/>
  <c r="T225" i="40"/>
  <c r="R227" i="40"/>
  <c r="S226" i="40"/>
  <c r="S228" i="42"/>
  <c r="T227" i="42"/>
  <c r="U226" i="42"/>
  <c r="R228" i="40"/>
  <c r="S227" i="40"/>
  <c r="T226" i="40"/>
  <c r="T228" i="42"/>
  <c r="S229" i="42"/>
  <c r="U227" i="42"/>
  <c r="S228" i="40"/>
  <c r="R229" i="40"/>
  <c r="T227" i="40"/>
  <c r="U228" i="42"/>
  <c r="T229" i="42"/>
  <c r="S230" i="42"/>
  <c r="T228" i="40"/>
  <c r="S229" i="40"/>
  <c r="R230" i="40"/>
  <c r="U229" i="42"/>
  <c r="T230" i="42"/>
  <c r="S231" i="42"/>
  <c r="T229" i="40"/>
  <c r="S230" i="40"/>
  <c r="R231" i="40"/>
  <c r="U230" i="42"/>
  <c r="T231" i="42"/>
  <c r="S232" i="42"/>
  <c r="T230" i="40"/>
  <c r="R232" i="40"/>
  <c r="S231" i="40"/>
  <c r="U231" i="42"/>
  <c r="S233" i="42"/>
  <c r="T232" i="42"/>
  <c r="R233" i="40"/>
  <c r="S232" i="40"/>
  <c r="T231" i="40"/>
  <c r="S234" i="42"/>
  <c r="T233" i="42"/>
  <c r="U232" i="42"/>
  <c r="R234" i="40"/>
  <c r="S233" i="40"/>
  <c r="T232" i="40"/>
  <c r="S235" i="42"/>
  <c r="T234" i="42"/>
  <c r="U233" i="42"/>
  <c r="R235" i="40"/>
  <c r="S234" i="40"/>
  <c r="T233" i="40"/>
  <c r="S236" i="42"/>
  <c r="T235" i="42"/>
  <c r="U234" i="42"/>
  <c r="R236" i="40"/>
  <c r="S235" i="40"/>
  <c r="T234" i="40"/>
  <c r="T236" i="42"/>
  <c r="S237" i="42"/>
  <c r="U235" i="42"/>
  <c r="S236" i="40"/>
  <c r="R237" i="40"/>
  <c r="T235" i="40"/>
  <c r="U236" i="42"/>
  <c r="T237" i="42"/>
  <c r="S238" i="42"/>
  <c r="T236" i="40"/>
  <c r="S237" i="40"/>
  <c r="R238" i="40"/>
  <c r="U237" i="42"/>
  <c r="S239" i="42"/>
  <c r="T238" i="42"/>
  <c r="T237" i="40"/>
  <c r="S238" i="40"/>
  <c r="R239" i="40"/>
  <c r="S240" i="42"/>
  <c r="T239" i="42"/>
  <c r="U238" i="42"/>
  <c r="T238" i="40"/>
  <c r="S239" i="40"/>
  <c r="R240" i="40"/>
  <c r="T240" i="42"/>
  <c r="S241" i="42"/>
  <c r="U239" i="42"/>
  <c r="T239" i="40"/>
  <c r="R241" i="40"/>
  <c r="S240" i="40"/>
  <c r="U240" i="42"/>
  <c r="T241" i="42"/>
  <c r="S242" i="42"/>
  <c r="S241" i="40"/>
  <c r="R242" i="40"/>
  <c r="T240" i="40"/>
  <c r="U241" i="42"/>
  <c r="T242" i="42"/>
  <c r="S243" i="42"/>
  <c r="T241" i="40"/>
  <c r="S242" i="40"/>
  <c r="R243" i="40"/>
  <c r="U242" i="42"/>
  <c r="T243" i="42"/>
  <c r="S244" i="42"/>
  <c r="T242" i="40"/>
  <c r="R244" i="40"/>
  <c r="S243" i="40"/>
  <c r="U243" i="42"/>
  <c r="S245" i="42"/>
  <c r="T244" i="42"/>
  <c r="S244" i="40"/>
  <c r="R245" i="40"/>
  <c r="T243" i="40"/>
  <c r="S246" i="42"/>
  <c r="T245" i="42"/>
  <c r="U244" i="42"/>
  <c r="T244" i="40"/>
  <c r="S245" i="40"/>
  <c r="R246" i="40"/>
  <c r="S247" i="42"/>
  <c r="T246" i="42"/>
  <c r="U245" i="42"/>
  <c r="T245" i="40"/>
  <c r="S246" i="40"/>
  <c r="R247" i="40"/>
  <c r="T247" i="42"/>
  <c r="S248" i="42"/>
  <c r="U246" i="42"/>
  <c r="T246" i="40"/>
  <c r="R248" i="40"/>
  <c r="S247" i="40"/>
  <c r="U247" i="42"/>
  <c r="T248" i="42"/>
  <c r="S249" i="42"/>
  <c r="R249" i="40"/>
  <c r="S248" i="40"/>
  <c r="T247" i="40"/>
  <c r="U248" i="42"/>
  <c r="S250" i="42"/>
  <c r="T249" i="42"/>
  <c r="S249" i="40"/>
  <c r="R250" i="40"/>
  <c r="T248" i="40"/>
  <c r="T250" i="42"/>
  <c r="S251" i="42"/>
  <c r="U249" i="42"/>
  <c r="T249" i="40"/>
  <c r="R251" i="40"/>
  <c r="S250" i="40"/>
  <c r="U250" i="42"/>
  <c r="T251" i="42"/>
  <c r="S252" i="42"/>
  <c r="R252" i="40"/>
  <c r="S251" i="40"/>
  <c r="T250" i="40"/>
  <c r="U251" i="42"/>
  <c r="S253" i="42"/>
  <c r="T252" i="42"/>
  <c r="R253" i="40"/>
  <c r="S252" i="40"/>
  <c r="T251" i="40"/>
  <c r="T253" i="42"/>
  <c r="S254" i="42"/>
  <c r="U252" i="42"/>
  <c r="R254" i="40"/>
  <c r="S253" i="40"/>
  <c r="T252" i="40"/>
  <c r="U253" i="42"/>
  <c r="S255" i="42"/>
  <c r="T254" i="42"/>
  <c r="R255" i="40"/>
  <c r="S254" i="40"/>
  <c r="T253" i="40"/>
  <c r="T255" i="42"/>
  <c r="S256" i="42"/>
  <c r="U254" i="42"/>
  <c r="R256" i="40"/>
  <c r="S255" i="40"/>
  <c r="T254" i="40"/>
  <c r="U255" i="42"/>
  <c r="T256" i="42"/>
  <c r="S257" i="42"/>
  <c r="R257" i="40"/>
  <c r="S256" i="40"/>
  <c r="T255" i="40"/>
  <c r="U256" i="42"/>
  <c r="S258" i="42"/>
  <c r="T257" i="42"/>
  <c r="S257" i="40"/>
  <c r="R258" i="40"/>
  <c r="T256" i="40"/>
  <c r="S259" i="42"/>
  <c r="T258" i="42"/>
  <c r="U257" i="42"/>
  <c r="T257" i="40"/>
  <c r="R259" i="40"/>
  <c r="S258" i="40"/>
  <c r="T259" i="42"/>
  <c r="S260" i="42"/>
  <c r="U258" i="42"/>
  <c r="S259" i="40"/>
  <c r="R260" i="40"/>
  <c r="T258" i="40"/>
  <c r="U259" i="42"/>
  <c r="T260" i="42"/>
  <c r="S261" i="42"/>
  <c r="T259" i="40"/>
  <c r="S260" i="40"/>
  <c r="R261" i="40"/>
  <c r="U260" i="42"/>
  <c r="T261" i="42"/>
  <c r="T260" i="40"/>
  <c r="S261" i="40"/>
  <c r="R262" i="40"/>
  <c r="U261" i="42"/>
  <c r="T261" i="40"/>
  <c r="S262" i="40"/>
  <c r="T262" i="40"/>
  <c r="O4" i="49" l="1"/>
  <c r="O3" i="49"/>
  <c r="O5" i="49"/>
  <c r="S3" i="39"/>
  <c r="S5" i="39"/>
  <c r="S4" i="39"/>
  <c r="Q10" i="49"/>
  <c r="Q9" i="49"/>
  <c r="Q13" i="49"/>
  <c r="W13" i="49" s="1"/>
  <c r="Q4" i="49"/>
  <c r="Q3" i="49"/>
  <c r="Q5" i="49"/>
  <c r="S3" i="43"/>
  <c r="S5" i="43"/>
  <c r="S4" i="43"/>
  <c r="Q9" i="48"/>
  <c r="Q10" i="48"/>
  <c r="Q5" i="48"/>
  <c r="Q3" i="48"/>
  <c r="Q4" i="48"/>
  <c r="Q13" i="48"/>
  <c r="W13" i="48" s="1"/>
  <c r="T4" i="43"/>
  <c r="T3" i="43"/>
  <c r="T5" i="43"/>
  <c r="T10" i="43"/>
  <c r="T9" i="43"/>
  <c r="P10" i="48"/>
  <c r="P9" i="48"/>
  <c r="P3" i="48"/>
  <c r="P4" i="48"/>
  <c r="P5" i="48"/>
  <c r="U13" i="43"/>
  <c r="AA13" i="43" s="1"/>
  <c r="U9" i="43"/>
  <c r="U10" i="43"/>
  <c r="U3" i="43"/>
  <c r="U5" i="43"/>
  <c r="U4" i="43"/>
  <c r="O3" i="48"/>
  <c r="O5" i="48"/>
  <c r="O4" i="48"/>
  <c r="T4" i="39"/>
  <c r="T3" i="39"/>
  <c r="T5" i="39"/>
  <c r="T10" i="39"/>
  <c r="T9" i="39"/>
  <c r="AA9" i="39" s="1" a="1"/>
  <c r="P9" i="49"/>
  <c r="P10" i="49"/>
  <c r="P3" i="49"/>
  <c r="P5" i="49"/>
  <c r="P4" i="49"/>
  <c r="U9" i="39"/>
  <c r="U10" i="39"/>
  <c r="U13" i="39"/>
  <c r="AA13" i="39" s="1"/>
  <c r="U4" i="39"/>
  <c r="U3" i="39"/>
  <c r="U5" i="39"/>
  <c r="W9" i="49" l="1" a="1"/>
  <c r="AB9" i="39"/>
  <c r="AA10" i="39"/>
  <c r="AA9" i="39"/>
  <c r="AB10" i="39"/>
  <c r="AA3" i="43" a="1"/>
  <c r="W9" i="48" a="1"/>
  <c r="W3" i="48" a="1"/>
  <c r="AA3" i="39" a="1"/>
  <c r="AA9" i="43" a="1"/>
  <c r="W3" i="49" a="1"/>
  <c r="W3" i="48" l="1"/>
  <c r="X3" i="48"/>
  <c r="W4" i="48"/>
  <c r="Y4" i="48"/>
  <c r="W5" i="48"/>
  <c r="Y3" i="48"/>
  <c r="X5" i="48"/>
  <c r="Y5" i="48"/>
  <c r="X4" i="48"/>
  <c r="X10" i="48"/>
  <c r="W10" i="48"/>
  <c r="W9" i="48"/>
  <c r="X9" i="48"/>
  <c r="AC5" i="43"/>
  <c r="AC3" i="43"/>
  <c r="AB5" i="43"/>
  <c r="AB4" i="43"/>
  <c r="AC4" i="43"/>
  <c r="AA3" i="43"/>
  <c r="AA5" i="43"/>
  <c r="AA4" i="43"/>
  <c r="AB3" i="43"/>
  <c r="W4" i="49"/>
  <c r="X4" i="49"/>
  <c r="W5" i="49"/>
  <c r="Y5" i="49"/>
  <c r="Y4" i="49"/>
  <c r="X5" i="49"/>
  <c r="X3" i="49"/>
  <c r="W3" i="49"/>
  <c r="Y3" i="49"/>
  <c r="AA10" i="43"/>
  <c r="AA9" i="43"/>
  <c r="AB10" i="43"/>
  <c r="AB9" i="43"/>
  <c r="AB3" i="39"/>
  <c r="AB4" i="39"/>
  <c r="AA5" i="39"/>
  <c r="AA3" i="39"/>
  <c r="AB5" i="39"/>
  <c r="AC4" i="39"/>
  <c r="AC3" i="39"/>
  <c r="AC5" i="39"/>
  <c r="AA4" i="39"/>
  <c r="W10" i="49"/>
  <c r="X9" i="49"/>
  <c r="W9" i="49"/>
  <c r="X10" i="49"/>
  <c r="I19" i="29" l="1"/>
  <c r="W262" i="40"/>
  <c r="V262" i="40"/>
  <c r="W261" i="40"/>
  <c r="X261" i="42"/>
  <c r="V261" i="40"/>
  <c r="W260" i="40"/>
  <c r="W261" i="42"/>
  <c r="X260" i="42"/>
  <c r="V260" i="40"/>
  <c r="W259" i="40"/>
  <c r="W260" i="42"/>
  <c r="X259" i="42"/>
  <c r="W258" i="40"/>
  <c r="V259" i="40"/>
  <c r="X258" i="42"/>
  <c r="W259" i="42"/>
  <c r="V258" i="40"/>
  <c r="W257" i="40"/>
  <c r="X257" i="42"/>
  <c r="W258" i="42"/>
  <c r="W256" i="40"/>
  <c r="V257" i="40"/>
  <c r="W257" i="42"/>
  <c r="X256" i="42"/>
  <c r="W255" i="40"/>
  <c r="V256" i="40"/>
  <c r="W256" i="42"/>
  <c r="X255" i="42"/>
  <c r="W254" i="40"/>
  <c r="V255" i="40"/>
  <c r="X254" i="42"/>
  <c r="W255" i="42"/>
  <c r="W253" i="40"/>
  <c r="V254" i="40"/>
  <c r="W254" i="42"/>
  <c r="X253" i="42"/>
  <c r="W252" i="40"/>
  <c r="V253" i="40"/>
  <c r="X252" i="42"/>
  <c r="W253" i="42"/>
  <c r="W251" i="40"/>
  <c r="V252" i="40"/>
  <c r="W252" i="42"/>
  <c r="X251" i="42"/>
  <c r="W250" i="40"/>
  <c r="V251" i="40"/>
  <c r="W251" i="42"/>
  <c r="X250" i="42"/>
  <c r="V250" i="40"/>
  <c r="W249" i="40"/>
  <c r="X249" i="42"/>
  <c r="W250" i="42"/>
  <c r="W248" i="40"/>
  <c r="V249" i="40"/>
  <c r="W249" i="42"/>
  <c r="X248" i="42"/>
  <c r="W247" i="40"/>
  <c r="V248" i="40"/>
  <c r="W248" i="42"/>
  <c r="X247" i="42"/>
  <c r="V247" i="40"/>
  <c r="W246" i="40"/>
  <c r="X246" i="42"/>
  <c r="W247" i="42"/>
  <c r="V246" i="40"/>
  <c r="W245" i="40"/>
  <c r="X245" i="42"/>
  <c r="W246" i="42"/>
  <c r="V245" i="40"/>
  <c r="W244" i="40"/>
  <c r="X244" i="42"/>
  <c r="W245" i="42"/>
  <c r="W243" i="40"/>
  <c r="V244" i="40"/>
  <c r="W244" i="42"/>
  <c r="X243" i="42"/>
  <c r="V243" i="40"/>
  <c r="W242" i="40"/>
  <c r="W243" i="42"/>
  <c r="X242" i="42"/>
  <c r="V242" i="40"/>
  <c r="W241" i="40"/>
  <c r="W242" i="42"/>
  <c r="X241" i="42"/>
  <c r="W240" i="40"/>
  <c r="V241" i="40"/>
  <c r="W241" i="42"/>
  <c r="X240" i="42"/>
  <c r="V240" i="40"/>
  <c r="W239" i="40"/>
  <c r="X239" i="42"/>
  <c r="W240" i="42"/>
  <c r="V239" i="40"/>
  <c r="W238" i="40"/>
  <c r="X238" i="42"/>
  <c r="W239" i="42"/>
  <c r="V238" i="40"/>
  <c r="W237" i="40"/>
  <c r="W238" i="42"/>
  <c r="X237" i="42"/>
  <c r="V237" i="40"/>
  <c r="W236" i="40"/>
  <c r="W237" i="42"/>
  <c r="X236" i="42"/>
  <c r="W235" i="40"/>
  <c r="V236" i="40"/>
  <c r="X235" i="42"/>
  <c r="W236" i="42"/>
  <c r="W234" i="40"/>
  <c r="V235" i="40"/>
  <c r="X234" i="42"/>
  <c r="W235" i="42"/>
  <c r="W233" i="40"/>
  <c r="V234" i="40"/>
  <c r="X233" i="42"/>
  <c r="W234" i="42"/>
  <c r="W232" i="40"/>
  <c r="V233" i="40"/>
  <c r="X232" i="42"/>
  <c r="W233" i="42"/>
  <c r="W231" i="40"/>
  <c r="V232" i="40"/>
  <c r="W232" i="42"/>
  <c r="X231" i="42"/>
  <c r="V231" i="40"/>
  <c r="W230" i="40"/>
  <c r="W231" i="42"/>
  <c r="X230" i="42"/>
  <c r="V230" i="40"/>
  <c r="W229" i="40"/>
  <c r="W230" i="42"/>
  <c r="X229" i="42"/>
  <c r="V229" i="40"/>
  <c r="W228" i="40"/>
  <c r="W229" i="42"/>
  <c r="X228" i="42"/>
  <c r="W227" i="40"/>
  <c r="V228" i="40"/>
  <c r="X227" i="42"/>
  <c r="W228" i="42"/>
  <c r="W226" i="40"/>
  <c r="V227" i="40"/>
  <c r="X226" i="42"/>
  <c r="W227" i="42"/>
  <c r="V226" i="40"/>
  <c r="W225" i="40"/>
  <c r="X225" i="42"/>
  <c r="W226" i="42"/>
  <c r="V225" i="40"/>
  <c r="W224" i="40"/>
  <c r="W225" i="42"/>
  <c r="X224" i="42"/>
  <c r="V224" i="40"/>
  <c r="W223" i="40"/>
  <c r="W224" i="42"/>
  <c r="X223" i="42"/>
  <c r="W222" i="40"/>
  <c r="V223" i="40"/>
  <c r="X222" i="42"/>
  <c r="W223" i="42"/>
  <c r="V222" i="40"/>
  <c r="W221" i="40"/>
  <c r="X221" i="42"/>
  <c r="W222" i="42"/>
  <c r="V221" i="40"/>
  <c r="W220" i="40"/>
  <c r="X220" i="42"/>
  <c r="W221" i="42"/>
  <c r="W219" i="40"/>
  <c r="V220" i="40"/>
  <c r="X219" i="42"/>
  <c r="W220" i="42"/>
  <c r="V219" i="40"/>
  <c r="W218" i="40"/>
  <c r="X218" i="42"/>
  <c r="W219" i="42"/>
  <c r="V218" i="40"/>
  <c r="W217" i="40"/>
  <c r="W218" i="42"/>
  <c r="X217" i="42"/>
  <c r="W216" i="40"/>
  <c r="V217" i="40"/>
  <c r="W217" i="42"/>
  <c r="X216" i="42"/>
  <c r="W215" i="40"/>
  <c r="V216" i="40"/>
  <c r="X215" i="42"/>
  <c r="W216" i="42"/>
  <c r="W214" i="40"/>
  <c r="V215" i="40"/>
  <c r="W215" i="42"/>
  <c r="X214" i="42"/>
  <c r="V214" i="40"/>
  <c r="W213" i="40"/>
  <c r="W214" i="42"/>
  <c r="X213" i="42"/>
  <c r="W212" i="40"/>
  <c r="V213" i="40"/>
  <c r="X212" i="42"/>
  <c r="W213" i="42"/>
  <c r="V212" i="40"/>
  <c r="W211" i="40"/>
  <c r="X211" i="42"/>
  <c r="W212" i="42"/>
  <c r="V211" i="40"/>
  <c r="W210" i="40"/>
  <c r="W211" i="42"/>
  <c r="X210" i="42"/>
  <c r="W209" i="40"/>
  <c r="V210" i="40"/>
  <c r="X209" i="42"/>
  <c r="W210" i="42"/>
  <c r="V209" i="40"/>
  <c r="W208" i="40"/>
  <c r="W209" i="42"/>
  <c r="X208" i="42"/>
  <c r="W207" i="40"/>
  <c r="V208" i="40"/>
  <c r="X207" i="42"/>
  <c r="W208" i="42"/>
  <c r="W206" i="40"/>
  <c r="V207" i="40"/>
  <c r="X206" i="42"/>
  <c r="W207" i="42"/>
  <c r="V206" i="40"/>
  <c r="W205" i="40"/>
  <c r="X205" i="42"/>
  <c r="W206" i="42"/>
  <c r="V205" i="40"/>
  <c r="W204" i="40"/>
  <c r="X204" i="42"/>
  <c r="W205" i="42"/>
  <c r="V204" i="40"/>
  <c r="W203" i="40"/>
  <c r="W204" i="42"/>
  <c r="X203" i="42"/>
  <c r="W202" i="40"/>
  <c r="V203" i="40"/>
  <c r="W203" i="42"/>
  <c r="X202" i="42"/>
  <c r="V202" i="40"/>
  <c r="W201" i="40"/>
  <c r="W202" i="42"/>
  <c r="X201" i="42"/>
  <c r="V201" i="40"/>
  <c r="W200" i="40"/>
  <c r="W201" i="42"/>
  <c r="X200" i="42"/>
  <c r="W199" i="40"/>
  <c r="V200" i="40"/>
  <c r="W200" i="42"/>
  <c r="X199" i="42"/>
  <c r="V199" i="40"/>
  <c r="W198" i="40"/>
  <c r="X198" i="42"/>
  <c r="W199" i="42"/>
  <c r="V198" i="40"/>
  <c r="W197" i="40"/>
  <c r="X197" i="42"/>
  <c r="W198" i="42"/>
  <c r="W196" i="40"/>
  <c r="V197" i="40"/>
  <c r="X196" i="42"/>
  <c r="W197" i="42"/>
  <c r="V196" i="40"/>
  <c r="W195" i="40"/>
  <c r="X195" i="42"/>
  <c r="W196" i="42"/>
  <c r="V195" i="40"/>
  <c r="W194" i="40"/>
  <c r="W195" i="42"/>
  <c r="X194" i="42"/>
  <c r="V194" i="40"/>
  <c r="W193" i="40"/>
  <c r="X193" i="42"/>
  <c r="W194" i="42"/>
  <c r="V193" i="40"/>
  <c r="W192" i="40"/>
  <c r="X192" i="42"/>
  <c r="W193" i="42"/>
  <c r="W191" i="40"/>
  <c r="V192" i="40"/>
  <c r="W192" i="42"/>
  <c r="X191" i="42"/>
  <c r="V191" i="40"/>
  <c r="W190" i="40"/>
  <c r="W191" i="42"/>
  <c r="X190" i="42"/>
  <c r="V190" i="40"/>
  <c r="W189" i="40"/>
  <c r="X189" i="42"/>
  <c r="W190" i="42"/>
  <c r="V189" i="40"/>
  <c r="W188" i="40"/>
  <c r="W189" i="42"/>
  <c r="X188" i="42"/>
  <c r="W187" i="40"/>
  <c r="V188" i="40"/>
  <c r="W188" i="42"/>
  <c r="X187" i="42"/>
  <c r="W186" i="40"/>
  <c r="V187" i="40"/>
  <c r="W187" i="42"/>
  <c r="X186" i="42"/>
  <c r="V186" i="40"/>
  <c r="W185" i="40"/>
  <c r="W186" i="42"/>
  <c r="X185" i="42"/>
  <c r="W184" i="40"/>
  <c r="V185" i="40"/>
  <c r="X184" i="42"/>
  <c r="W185" i="42"/>
  <c r="V184" i="40"/>
  <c r="W183" i="40"/>
  <c r="W184" i="42"/>
  <c r="X183" i="42"/>
  <c r="V183" i="40"/>
  <c r="W182" i="40"/>
  <c r="X182" i="42"/>
  <c r="W183" i="42"/>
  <c r="W181" i="40"/>
  <c r="V182" i="40"/>
  <c r="W182" i="42"/>
  <c r="X181" i="42"/>
  <c r="W180" i="40"/>
  <c r="V181" i="40"/>
  <c r="X180" i="42"/>
  <c r="W181" i="42"/>
  <c r="W179" i="40"/>
  <c r="V180" i="40"/>
  <c r="W180" i="42"/>
  <c r="X179" i="42"/>
  <c r="W178" i="40"/>
  <c r="V179" i="40"/>
  <c r="W179" i="42"/>
  <c r="X178" i="42"/>
  <c r="V178" i="40"/>
  <c r="W177" i="40"/>
  <c r="W178" i="42"/>
  <c r="X177" i="42"/>
  <c r="V177" i="40"/>
  <c r="W176" i="40"/>
  <c r="W177" i="42"/>
  <c r="X176" i="42"/>
  <c r="W175" i="40"/>
  <c r="V176" i="40"/>
  <c r="X175" i="42"/>
  <c r="W176" i="42"/>
  <c r="W174" i="40"/>
  <c r="V175" i="40"/>
  <c r="X174" i="42"/>
  <c r="W175" i="42"/>
  <c r="V174" i="40"/>
  <c r="W173" i="40"/>
  <c r="X173" i="42"/>
  <c r="W174" i="42"/>
  <c r="V173" i="40"/>
  <c r="W172" i="40"/>
  <c r="X172" i="42"/>
  <c r="W173" i="42"/>
  <c r="W171" i="40"/>
  <c r="V172" i="40"/>
  <c r="W172" i="42"/>
  <c r="X171" i="42"/>
  <c r="W170" i="40"/>
  <c r="V171" i="40"/>
  <c r="X170" i="42"/>
  <c r="W171" i="42"/>
  <c r="W169" i="40"/>
  <c r="V170" i="40"/>
  <c r="X169" i="42"/>
  <c r="W170" i="42"/>
  <c r="V169" i="40"/>
  <c r="W168" i="40"/>
  <c r="X168" i="42"/>
  <c r="W169" i="42"/>
  <c r="V168" i="40"/>
  <c r="W167" i="40"/>
  <c r="W168" i="42"/>
  <c r="X167" i="42"/>
  <c r="V167" i="40"/>
  <c r="W166" i="40"/>
  <c r="X166" i="42"/>
  <c r="W167" i="42"/>
  <c r="V166" i="40"/>
  <c r="W165" i="40"/>
  <c r="W166" i="42"/>
  <c r="X165" i="42"/>
  <c r="W164" i="40"/>
  <c r="V165" i="40"/>
  <c r="W165" i="42"/>
  <c r="X164" i="42"/>
  <c r="W163" i="40"/>
  <c r="V164" i="40"/>
  <c r="X163" i="42"/>
  <c r="W164" i="42"/>
  <c r="W162" i="40"/>
  <c r="V163" i="40"/>
  <c r="X162" i="42"/>
  <c r="W163" i="42"/>
  <c r="W161" i="40"/>
  <c r="V162" i="40"/>
  <c r="X161" i="42"/>
  <c r="W162" i="42"/>
  <c r="W160" i="40"/>
  <c r="V161" i="40"/>
  <c r="W161" i="42"/>
  <c r="X160" i="42"/>
  <c r="V160" i="40"/>
  <c r="W159" i="40"/>
  <c r="W160" i="42"/>
  <c r="X159" i="42"/>
  <c r="V159" i="40"/>
  <c r="W158" i="40"/>
  <c r="X158" i="42"/>
  <c r="W159" i="42"/>
  <c r="V158" i="40"/>
  <c r="W157" i="40"/>
  <c r="W158" i="42"/>
  <c r="X157" i="42"/>
  <c r="V157" i="40"/>
  <c r="W156" i="40"/>
  <c r="W157" i="42"/>
  <c r="X156" i="42"/>
  <c r="W155" i="40"/>
  <c r="V156" i="40"/>
  <c r="X155" i="42"/>
  <c r="W156" i="42"/>
  <c r="W154" i="40"/>
  <c r="V155" i="40"/>
  <c r="W155" i="42"/>
  <c r="X154" i="42"/>
  <c r="V154" i="40"/>
  <c r="W153" i="40"/>
  <c r="X153" i="42"/>
  <c r="W154" i="42"/>
  <c r="W152" i="40"/>
  <c r="V153" i="40"/>
  <c r="W153" i="42"/>
  <c r="X152" i="42"/>
  <c r="V152" i="40"/>
  <c r="W151" i="40"/>
  <c r="X151" i="42"/>
  <c r="W152" i="42"/>
  <c r="W150" i="40"/>
  <c r="V151" i="40"/>
  <c r="W151" i="42"/>
  <c r="X150" i="42"/>
  <c r="W149" i="40"/>
  <c r="V150" i="40"/>
  <c r="X149" i="42"/>
  <c r="W150" i="42"/>
  <c r="W148" i="40"/>
  <c r="V149" i="40"/>
  <c r="X148" i="42"/>
  <c r="W149" i="42"/>
  <c r="W147" i="40"/>
  <c r="V148" i="40"/>
  <c r="X147" i="42"/>
  <c r="W148" i="42"/>
  <c r="V147" i="40"/>
  <c r="W146" i="40"/>
  <c r="W147" i="42"/>
  <c r="X146" i="42"/>
  <c r="W145" i="40"/>
  <c r="V146" i="40"/>
  <c r="X145" i="42"/>
  <c r="W146" i="42"/>
  <c r="V145" i="40"/>
  <c r="W144" i="40"/>
  <c r="W145" i="42"/>
  <c r="X144" i="42"/>
  <c r="W143" i="40"/>
  <c r="V144" i="40"/>
  <c r="X143" i="42"/>
  <c r="W144" i="42"/>
  <c r="W142" i="40"/>
  <c r="V143" i="40"/>
  <c r="X142" i="42"/>
  <c r="W143" i="42"/>
  <c r="V142" i="40"/>
  <c r="W141" i="40"/>
  <c r="W142" i="42"/>
  <c r="X141" i="42"/>
  <c r="V141" i="40"/>
  <c r="W140" i="40"/>
  <c r="W141" i="42"/>
  <c r="X140" i="42"/>
  <c r="V140" i="40"/>
  <c r="W139" i="40"/>
  <c r="X139" i="42"/>
  <c r="W140" i="42"/>
  <c r="W138" i="40"/>
  <c r="V139" i="40"/>
  <c r="W139" i="42"/>
  <c r="X138" i="42"/>
  <c r="W137" i="40"/>
  <c r="V138" i="40"/>
  <c r="X137" i="42"/>
  <c r="W138" i="42"/>
  <c r="V137" i="40"/>
  <c r="W136" i="40"/>
  <c r="W137" i="42"/>
  <c r="X136" i="42"/>
  <c r="W135" i="40"/>
  <c r="V136" i="40"/>
  <c r="X135" i="42"/>
  <c r="W136" i="42"/>
  <c r="W134" i="40"/>
  <c r="V135" i="40"/>
  <c r="X134" i="42"/>
  <c r="W135" i="42"/>
  <c r="V134" i="40"/>
  <c r="W133" i="40"/>
  <c r="X133" i="42"/>
  <c r="W134" i="42"/>
  <c r="W132" i="40"/>
  <c r="V133" i="40"/>
  <c r="X132" i="42"/>
  <c r="W133" i="42"/>
  <c r="V132" i="40"/>
  <c r="W131" i="40"/>
  <c r="X131" i="42"/>
  <c r="W132" i="42"/>
  <c r="V131" i="40"/>
  <c r="W130" i="40"/>
  <c r="W131" i="42"/>
  <c r="X130" i="42"/>
  <c r="V130" i="40"/>
  <c r="W129" i="40"/>
  <c r="X129" i="42"/>
  <c r="W130" i="42"/>
  <c r="V129" i="40"/>
  <c r="W128" i="40"/>
  <c r="W129" i="42"/>
  <c r="X128" i="42"/>
  <c r="W127" i="40"/>
  <c r="V128" i="40"/>
  <c r="W128" i="42"/>
  <c r="X127" i="42"/>
  <c r="V127" i="40"/>
  <c r="W126" i="40"/>
  <c r="X126" i="42"/>
  <c r="W127" i="42"/>
  <c r="W125" i="40"/>
  <c r="V126" i="40"/>
  <c r="X125" i="42"/>
  <c r="W126" i="42"/>
  <c r="W124" i="40"/>
  <c r="V125" i="40"/>
  <c r="X124" i="42"/>
  <c r="W125" i="42"/>
  <c r="W123" i="40"/>
  <c r="V124" i="40"/>
  <c r="W124" i="42"/>
  <c r="X123" i="42"/>
  <c r="V123" i="40"/>
  <c r="W122" i="40"/>
  <c r="W123" i="42"/>
  <c r="X122" i="42"/>
  <c r="V122" i="40"/>
  <c r="W121" i="40"/>
  <c r="X121" i="42"/>
  <c r="W122" i="42"/>
  <c r="V121" i="40"/>
  <c r="W120" i="40"/>
  <c r="W121" i="42"/>
  <c r="X120" i="42"/>
  <c r="V120" i="40"/>
  <c r="W119" i="40"/>
  <c r="X119" i="42"/>
  <c r="W120" i="42"/>
  <c r="V119" i="40"/>
  <c r="W118" i="40"/>
  <c r="X118" i="42"/>
  <c r="W119" i="42"/>
  <c r="V118" i="40"/>
  <c r="W117" i="40"/>
  <c r="W118" i="42"/>
  <c r="X117" i="42"/>
  <c r="W116" i="40"/>
  <c r="V117" i="40"/>
  <c r="W117" i="42"/>
  <c r="X116" i="42"/>
  <c r="W115" i="40"/>
  <c r="V116" i="40"/>
  <c r="X115" i="42"/>
  <c r="W116" i="42"/>
  <c r="V115" i="40"/>
  <c r="W114" i="40"/>
  <c r="X114" i="42"/>
  <c r="W115" i="42"/>
  <c r="W113" i="40"/>
  <c r="V114" i="40"/>
  <c r="W114" i="42"/>
  <c r="X113" i="42"/>
  <c r="W112" i="40"/>
  <c r="V113" i="40"/>
  <c r="X112" i="42"/>
  <c r="W113" i="42"/>
  <c r="W111" i="40"/>
  <c r="V112" i="40"/>
  <c r="W112" i="42"/>
  <c r="X111" i="42"/>
  <c r="W110" i="40"/>
  <c r="V111" i="40"/>
  <c r="W111" i="42"/>
  <c r="X110" i="42"/>
  <c r="V110" i="40"/>
  <c r="W109" i="40"/>
  <c r="W110" i="42"/>
  <c r="X109" i="42"/>
  <c r="W108" i="40"/>
  <c r="V109" i="40"/>
  <c r="X108" i="42"/>
  <c r="W109" i="42"/>
  <c r="V108" i="40"/>
  <c r="W107" i="40"/>
  <c r="W108" i="42"/>
  <c r="X107" i="42"/>
  <c r="W106" i="40"/>
  <c r="V107" i="40"/>
  <c r="X106" i="42"/>
  <c r="W107" i="42"/>
  <c r="V106" i="40"/>
  <c r="W105" i="40"/>
  <c r="W106" i="42"/>
  <c r="X105" i="42"/>
  <c r="V105" i="40"/>
  <c r="W104" i="40"/>
  <c r="X104" i="42"/>
  <c r="W105" i="42"/>
  <c r="W103" i="40"/>
  <c r="V104" i="40"/>
  <c r="W104" i="42"/>
  <c r="X103" i="42"/>
  <c r="V103" i="40"/>
  <c r="W102" i="40"/>
  <c r="X102" i="42"/>
  <c r="W103" i="42"/>
  <c r="V102" i="40"/>
  <c r="W101" i="40"/>
  <c r="W102" i="42"/>
  <c r="X101" i="42"/>
  <c r="W100" i="40"/>
  <c r="V101" i="40"/>
  <c r="X100" i="42"/>
  <c r="W101" i="42"/>
  <c r="V100" i="40"/>
  <c r="W99" i="40"/>
  <c r="X99" i="42"/>
  <c r="W100" i="42"/>
  <c r="V99" i="40"/>
  <c r="W98" i="40"/>
  <c r="W99" i="42"/>
  <c r="X98" i="42"/>
  <c r="V98" i="40"/>
  <c r="W97" i="40"/>
  <c r="X97" i="42"/>
  <c r="W98" i="42"/>
  <c r="W96" i="40"/>
  <c r="V97" i="40"/>
  <c r="W97" i="42"/>
  <c r="X96" i="42"/>
  <c r="W95" i="40"/>
  <c r="V96" i="40"/>
  <c r="W96" i="42"/>
  <c r="X95" i="42"/>
  <c r="V95" i="40"/>
  <c r="W94" i="40"/>
  <c r="W95" i="42"/>
  <c r="X94" i="42"/>
  <c r="W93" i="40"/>
  <c r="V94" i="40"/>
  <c r="X93" i="42"/>
  <c r="W94" i="42"/>
  <c r="W92" i="40"/>
  <c r="V93" i="40"/>
  <c r="X92" i="42"/>
  <c r="W93" i="42"/>
  <c r="V92" i="40"/>
  <c r="W91" i="40"/>
  <c r="W92" i="42"/>
  <c r="X91" i="42"/>
  <c r="V91" i="40"/>
  <c r="W90" i="40"/>
  <c r="X90" i="42"/>
  <c r="W91" i="42"/>
  <c r="W89" i="40"/>
  <c r="V90" i="40"/>
  <c r="X89" i="42"/>
  <c r="W90" i="42"/>
  <c r="W88" i="40"/>
  <c r="V89" i="40"/>
  <c r="X88" i="42"/>
  <c r="W89" i="42"/>
  <c r="W87" i="40"/>
  <c r="V88" i="40"/>
  <c r="W88" i="42"/>
  <c r="X87" i="42"/>
  <c r="V87" i="40"/>
  <c r="W86" i="40"/>
  <c r="W87" i="42"/>
  <c r="X86" i="42"/>
  <c r="V86" i="40"/>
  <c r="W85" i="40"/>
  <c r="W86" i="42"/>
  <c r="X85" i="42"/>
  <c r="W84" i="40"/>
  <c r="V85" i="40"/>
  <c r="W85" i="42"/>
  <c r="X84" i="42"/>
  <c r="W83" i="40"/>
  <c r="V84" i="40"/>
  <c r="W84" i="42"/>
  <c r="X83" i="42"/>
  <c r="V83" i="40"/>
  <c r="W82" i="40"/>
  <c r="X82" i="42"/>
  <c r="W83" i="42"/>
  <c r="V82" i="40"/>
  <c r="W81" i="40"/>
  <c r="W82" i="42"/>
  <c r="X81" i="42"/>
  <c r="W80" i="40"/>
  <c r="V81" i="40"/>
  <c r="X80" i="42"/>
  <c r="W81" i="42"/>
  <c r="V80" i="40"/>
  <c r="W79" i="40"/>
  <c r="X79" i="42"/>
  <c r="W80" i="42"/>
  <c r="V79" i="40"/>
  <c r="W78" i="40"/>
  <c r="X78" i="42"/>
  <c r="W79" i="42"/>
  <c r="W77" i="40"/>
  <c r="V78" i="40"/>
  <c r="W78" i="42"/>
  <c r="X77" i="42"/>
  <c r="W76" i="40"/>
  <c r="V77" i="40"/>
  <c r="X76" i="42"/>
  <c r="W77" i="42"/>
  <c r="W75" i="40"/>
  <c r="V76" i="40"/>
  <c r="W76" i="42"/>
  <c r="X75" i="42"/>
  <c r="V75" i="40"/>
  <c r="W74" i="40"/>
  <c r="X74" i="42"/>
  <c r="W75" i="42"/>
  <c r="W73" i="40"/>
  <c r="V74" i="40"/>
  <c r="X73" i="42"/>
  <c r="W74" i="42"/>
  <c r="W72" i="40"/>
  <c r="V73" i="40"/>
  <c r="X72" i="42"/>
  <c r="W73" i="42"/>
  <c r="V72" i="40"/>
  <c r="W71" i="40"/>
  <c r="X71" i="42"/>
  <c r="W72" i="42"/>
  <c r="W70" i="40"/>
  <c r="V71" i="40"/>
  <c r="X70" i="42"/>
  <c r="W71" i="42"/>
  <c r="W69" i="40"/>
  <c r="V70" i="40"/>
  <c r="X69" i="42"/>
  <c r="W70" i="42"/>
  <c r="W68" i="40"/>
  <c r="V69" i="40"/>
  <c r="X68" i="42"/>
  <c r="W69" i="42"/>
  <c r="V68" i="40"/>
  <c r="W67" i="40"/>
  <c r="X67" i="42"/>
  <c r="W68" i="42"/>
  <c r="W66" i="40"/>
  <c r="V67" i="40"/>
  <c r="X66" i="42"/>
  <c r="W67" i="42"/>
  <c r="W65" i="40"/>
  <c r="V66" i="40"/>
  <c r="X65" i="42"/>
  <c r="W66" i="42"/>
  <c r="V65" i="40"/>
  <c r="W64" i="40"/>
  <c r="W65" i="42"/>
  <c r="X64" i="42"/>
  <c r="W63" i="40"/>
  <c r="V64" i="40"/>
  <c r="W64" i="42"/>
  <c r="X63" i="42"/>
  <c r="V63" i="40"/>
  <c r="W62" i="40"/>
  <c r="X62" i="42"/>
  <c r="W63" i="42"/>
  <c r="W61" i="40"/>
  <c r="V62" i="40"/>
  <c r="W62" i="42"/>
  <c r="X61" i="42"/>
  <c r="W60" i="40"/>
  <c r="V61" i="40"/>
  <c r="X60" i="42"/>
  <c r="W61" i="42"/>
  <c r="W59" i="40"/>
  <c r="V60" i="40"/>
  <c r="W60" i="42"/>
  <c r="X59" i="42"/>
  <c r="W58" i="40"/>
  <c r="V59" i="40"/>
  <c r="X58" i="42"/>
  <c r="W59" i="42"/>
  <c r="V58" i="40"/>
  <c r="W57" i="40"/>
  <c r="W58" i="42"/>
  <c r="X57" i="42"/>
  <c r="W56" i="40"/>
  <c r="V57" i="40"/>
  <c r="X56" i="42"/>
  <c r="W57" i="42"/>
  <c r="V56" i="40"/>
  <c r="W55" i="40"/>
  <c r="X55" i="42"/>
  <c r="W56" i="42"/>
  <c r="V55" i="40"/>
  <c r="W54" i="40"/>
  <c r="W55" i="42"/>
  <c r="X54" i="42"/>
  <c r="W53" i="40"/>
  <c r="V54" i="40"/>
  <c r="X53" i="42"/>
  <c r="W54" i="42"/>
  <c r="V53" i="40"/>
  <c r="W52" i="40"/>
  <c r="W53" i="42"/>
  <c r="X52" i="42"/>
  <c r="W51" i="40"/>
  <c r="V52" i="40"/>
  <c r="X51" i="42"/>
  <c r="W52" i="42"/>
  <c r="W50" i="40"/>
  <c r="V51" i="40"/>
  <c r="W51" i="42"/>
  <c r="X50" i="42"/>
  <c r="V50" i="40"/>
  <c r="W49" i="40"/>
  <c r="X49" i="42"/>
  <c r="W50" i="42"/>
  <c r="V49" i="40"/>
  <c r="W48" i="40"/>
  <c r="X48" i="42"/>
  <c r="W49" i="42"/>
  <c r="V48" i="40"/>
  <c r="W47" i="40"/>
  <c r="X47" i="42"/>
  <c r="W48" i="42"/>
  <c r="W46" i="40"/>
  <c r="V47" i="40"/>
  <c r="X46" i="42"/>
  <c r="W47" i="42"/>
  <c r="W45" i="40"/>
  <c r="V46" i="40"/>
  <c r="X45" i="42"/>
  <c r="W46" i="42"/>
  <c r="W44" i="40"/>
  <c r="V45" i="40"/>
  <c r="X44" i="42"/>
  <c r="W45" i="42"/>
  <c r="V44" i="40"/>
  <c r="W43" i="40"/>
  <c r="X43" i="42"/>
  <c r="W44" i="42"/>
  <c r="V43" i="40"/>
  <c r="W42" i="40"/>
  <c r="W43" i="42"/>
  <c r="X42" i="42"/>
  <c r="V42" i="40"/>
  <c r="W41" i="40"/>
  <c r="X41" i="42"/>
  <c r="W42" i="42"/>
  <c r="V41" i="40"/>
  <c r="W40" i="40"/>
  <c r="X40" i="42"/>
  <c r="W41" i="42"/>
  <c r="W39" i="40"/>
  <c r="V40" i="40"/>
  <c r="X39" i="42"/>
  <c r="W40" i="42"/>
  <c r="W38" i="40"/>
  <c r="V39" i="40"/>
  <c r="X38" i="42"/>
  <c r="W39" i="42"/>
  <c r="V38" i="40"/>
  <c r="W37" i="40"/>
  <c r="X37" i="42"/>
  <c r="W38" i="42"/>
  <c r="W36" i="40"/>
  <c r="V37" i="40"/>
  <c r="W37" i="42"/>
  <c r="X36" i="42"/>
  <c r="W35" i="40"/>
  <c r="V36" i="40"/>
  <c r="X35" i="42"/>
  <c r="W36" i="42"/>
  <c r="W34" i="40"/>
  <c r="V35" i="40"/>
  <c r="X34" i="42"/>
  <c r="W35" i="42"/>
  <c r="V34" i="40"/>
  <c r="W33" i="40"/>
  <c r="X33" i="42"/>
  <c r="W34" i="42"/>
  <c r="W32" i="40"/>
  <c r="V33" i="40"/>
  <c r="W33" i="42"/>
  <c r="X32" i="42"/>
  <c r="W31" i="40"/>
  <c r="V32" i="40"/>
  <c r="W32" i="42"/>
  <c r="X31" i="42"/>
  <c r="W30" i="40"/>
  <c r="V31" i="40"/>
  <c r="W31" i="42"/>
  <c r="X30" i="42"/>
  <c r="W29" i="40"/>
  <c r="V30" i="40"/>
  <c r="X29" i="42"/>
  <c r="W30" i="42"/>
  <c r="V29" i="40"/>
  <c r="W28" i="40"/>
  <c r="X28" i="42"/>
  <c r="W29" i="42"/>
  <c r="W27" i="40"/>
  <c r="V28" i="40"/>
  <c r="X27" i="42"/>
  <c r="W28" i="42"/>
  <c r="V27" i="40"/>
  <c r="W26" i="40"/>
  <c r="X26" i="42"/>
  <c r="W27" i="42"/>
  <c r="V26" i="40"/>
  <c r="W25" i="40"/>
  <c r="X25" i="42"/>
  <c r="W26" i="42"/>
  <c r="V25" i="40"/>
  <c r="W24" i="40"/>
  <c r="X24" i="42"/>
  <c r="W25" i="42"/>
  <c r="V24" i="40"/>
  <c r="W23" i="40"/>
  <c r="W24" i="42"/>
  <c r="X23" i="42"/>
  <c r="V23" i="40"/>
  <c r="W22" i="40"/>
  <c r="W23" i="42"/>
  <c r="X22" i="42"/>
  <c r="V22" i="40"/>
  <c r="W21" i="40"/>
  <c r="X21" i="42"/>
  <c r="W22" i="42"/>
  <c r="W20" i="40"/>
  <c r="V21" i="40"/>
  <c r="W21" i="42"/>
  <c r="X20" i="42"/>
  <c r="V20" i="40"/>
  <c r="W19" i="40"/>
  <c r="W20" i="42"/>
  <c r="X19" i="42"/>
  <c r="W18" i="40"/>
  <c r="V19" i="40"/>
  <c r="W19" i="42"/>
  <c r="X18" i="42"/>
  <c r="W17" i="40"/>
  <c r="V18" i="40"/>
  <c r="W18" i="42"/>
  <c r="X17" i="42"/>
  <c r="W16" i="40"/>
  <c r="V17" i="40"/>
  <c r="X16" i="42"/>
  <c r="W17" i="42"/>
  <c r="V16" i="40"/>
  <c r="W15" i="40"/>
  <c r="X15" i="42"/>
  <c r="W16" i="42"/>
  <c r="W14" i="40"/>
  <c r="V15" i="40"/>
  <c r="W15" i="42"/>
  <c r="X14" i="42"/>
  <c r="V14" i="40"/>
  <c r="W13" i="40"/>
  <c r="X13" i="42"/>
  <c r="W14" i="42"/>
  <c r="V13" i="40"/>
  <c r="W12" i="40"/>
  <c r="X12" i="42"/>
  <c r="W13" i="42"/>
  <c r="W11" i="40"/>
  <c r="V12" i="40"/>
  <c r="X11" i="42"/>
  <c r="W12" i="42"/>
  <c r="W10" i="40"/>
  <c r="V11" i="40"/>
  <c r="X10" i="42"/>
  <c r="W11" i="42"/>
  <c r="W9" i="40"/>
  <c r="V10" i="40"/>
  <c r="X9" i="42"/>
  <c r="W10" i="42"/>
  <c r="V9" i="40"/>
  <c r="W8" i="40"/>
  <c r="W9" i="42"/>
  <c r="X8" i="42"/>
  <c r="V8" i="40"/>
  <c r="W7" i="40"/>
  <c r="W8" i="42"/>
  <c r="X7" i="42"/>
  <c r="W6" i="40"/>
  <c r="V7" i="40"/>
  <c r="W7" i="42"/>
  <c r="X6" i="42"/>
  <c r="V6" i="40"/>
  <c r="W5" i="40"/>
  <c r="X5" i="42"/>
  <c r="W6" i="42"/>
  <c r="V5" i="40"/>
  <c r="W4" i="40"/>
  <c r="W5" i="42"/>
  <c r="X4" i="42"/>
  <c r="W3" i="40"/>
  <c r="V4" i="40"/>
  <c r="X3" i="42"/>
  <c r="W4" i="42"/>
  <c r="I10" i="42"/>
  <c r="I9" i="42"/>
  <c r="I11" i="42"/>
  <c r="I12" i="42"/>
  <c r="I13" i="42"/>
  <c r="I14" i="42"/>
  <c r="V3" i="40"/>
  <c r="I15" i="42"/>
  <c r="W3" i="42"/>
  <c r="I16" i="42"/>
  <c r="K16" i="42"/>
  <c r="J16" i="42"/>
  <c r="K15" i="42"/>
  <c r="J15" i="42"/>
  <c r="K14" i="42"/>
  <c r="J14" i="42"/>
  <c r="K13" i="42"/>
  <c r="J13" i="42"/>
  <c r="K12" i="42"/>
  <c r="J12" i="42"/>
  <c r="K11" i="42"/>
  <c r="J11" i="42"/>
  <c r="K10" i="42"/>
  <c r="J10" i="42"/>
  <c r="K9" i="42"/>
  <c r="J9" i="42"/>
  <c r="K5" i="42"/>
  <c r="K6" i="42"/>
  <c r="K7" i="42"/>
  <c r="K8" i="42"/>
  <c r="J14" i="40"/>
  <c r="J18" i="40"/>
  <c r="J10" i="40"/>
  <c r="J16" i="40"/>
  <c r="J13" i="40"/>
  <c r="J17" i="40"/>
  <c r="J9" i="40"/>
  <c r="J21" i="40"/>
  <c r="J8" i="40"/>
  <c r="J20" i="40"/>
  <c r="J5" i="40"/>
  <c r="J7" i="40"/>
  <c r="J22" i="40"/>
  <c r="J19" i="40"/>
  <c r="J6" i="40"/>
  <c r="J12" i="40"/>
  <c r="J11" i="40"/>
  <c r="J15" i="40"/>
  <c r="G3" i="39"/>
  <c r="G3" i="43"/>
  <c r="J5" i="42"/>
  <c r="K4" i="42"/>
  <c r="J6" i="42"/>
  <c r="J7" i="42"/>
  <c r="J8" i="42"/>
  <c r="I14" i="40"/>
  <c r="I18" i="40"/>
  <c r="I10" i="40"/>
  <c r="I16" i="40"/>
  <c r="I13" i="40"/>
  <c r="I17" i="40"/>
  <c r="I9" i="40"/>
  <c r="I21" i="40"/>
  <c r="I8" i="40"/>
  <c r="I20" i="40"/>
  <c r="I5" i="40"/>
  <c r="I7" i="40"/>
  <c r="I22" i="40"/>
  <c r="I19" i="40"/>
  <c r="I6" i="40"/>
  <c r="I12" i="40"/>
  <c r="I11" i="40"/>
  <c r="I15" i="40"/>
  <c r="J4" i="40"/>
  <c r="F3" i="39"/>
  <c r="F3" i="43"/>
  <c r="J4" i="42"/>
  <c r="I4" i="40"/>
  <c r="F13" i="35"/>
  <c r="Q10" i="47"/>
  <c r="H16" i="40"/>
  <c r="H11" i="40"/>
  <c r="F47" i="35"/>
  <c r="K19" i="43"/>
  <c r="H8" i="40"/>
  <c r="P4" i="45"/>
  <c r="P8" i="45"/>
  <c r="U32" i="47"/>
  <c r="H19" i="49"/>
  <c r="S27" i="45"/>
  <c r="S28" i="45"/>
  <c r="T13" i="47" a="1"/>
  <c r="F41" i="35"/>
  <c r="P7" i="45"/>
  <c r="F43" i="35"/>
  <c r="H21" i="49"/>
  <c r="S31" i="47"/>
  <c r="H17" i="40"/>
  <c r="F34" i="35"/>
  <c r="U33" i="47"/>
  <c r="U36" i="47"/>
  <c r="F25" i="35"/>
  <c r="P5" i="45"/>
  <c r="G16" i="48"/>
  <c r="F3" i="35"/>
  <c r="F5" i="43"/>
  <c r="F23" i="35"/>
  <c r="F20" i="35"/>
  <c r="P6" i="45"/>
  <c r="G4" i="43"/>
  <c r="Q6" i="45"/>
  <c r="G19" i="48"/>
  <c r="H15" i="49"/>
  <c r="K18" i="43"/>
  <c r="S26" i="45"/>
  <c r="F19" i="35"/>
  <c r="Q5" i="47"/>
  <c r="L21" i="39"/>
  <c r="F12" i="35"/>
  <c r="H28" i="49"/>
  <c r="F45" i="35"/>
  <c r="S29" i="45"/>
  <c r="H9" i="40"/>
  <c r="K17" i="43"/>
  <c r="F24" i="35"/>
  <c r="P8" i="47"/>
  <c r="F6" i="39"/>
  <c r="Q7" i="47"/>
  <c r="F31" i="35"/>
  <c r="Q8" i="45"/>
  <c r="S33" i="47"/>
  <c r="K24" i="39"/>
  <c r="P3" i="47"/>
  <c r="F4" i="43"/>
  <c r="K20" i="39"/>
  <c r="F7" i="43"/>
  <c r="F21" i="35"/>
  <c r="Q6" i="47"/>
  <c r="H15" i="40"/>
  <c r="H21" i="40"/>
  <c r="V33" i="47"/>
  <c r="G6" i="39"/>
  <c r="V35" i="47"/>
  <c r="G6" i="43"/>
  <c r="H18" i="49"/>
  <c r="G7" i="43"/>
  <c r="V29" i="45"/>
  <c r="F4" i="39"/>
  <c r="F15" i="35"/>
  <c r="P4" i="47"/>
  <c r="V27" i="45"/>
  <c r="V26" i="45"/>
  <c r="H25" i="49"/>
  <c r="L22" i="39"/>
  <c r="G18" i="49"/>
  <c r="F27" i="35"/>
  <c r="L16" i="43"/>
  <c r="H12" i="40"/>
  <c r="K17" i="39"/>
  <c r="K15" i="39"/>
  <c r="F6" i="43"/>
  <c r="F5" i="35"/>
  <c r="V31" i="47"/>
  <c r="L18" i="43"/>
  <c r="S34" i="47"/>
  <c r="S35" i="47"/>
  <c r="I6" i="42"/>
  <c r="L16" i="39"/>
  <c r="H19" i="48"/>
  <c r="F46" i="35"/>
  <c r="L17" i="39"/>
  <c r="H24" i="49"/>
  <c r="G5" i="39"/>
  <c r="V36" i="47"/>
  <c r="I5" i="42"/>
  <c r="L19" i="39"/>
  <c r="H13" i="40"/>
  <c r="Q7" i="45"/>
  <c r="Q9" i="47"/>
  <c r="G28" i="49"/>
  <c r="H27" i="49"/>
  <c r="K21" i="43"/>
  <c r="K16" i="43"/>
  <c r="H20" i="49"/>
  <c r="G7" i="39"/>
  <c r="F29" i="35"/>
  <c r="G27" i="49"/>
  <c r="F10" i="35"/>
  <c r="I7" i="42"/>
  <c r="F50" i="35"/>
  <c r="K20" i="43"/>
  <c r="V28" i="45"/>
  <c r="H16" i="49"/>
  <c r="F7" i="35"/>
  <c r="H18" i="40"/>
  <c r="G17" i="48"/>
  <c r="H17" i="48"/>
  <c r="U27" i="45"/>
  <c r="L15" i="43"/>
  <c r="G25" i="49"/>
  <c r="G15" i="49"/>
  <c r="K22" i="39"/>
  <c r="F8" i="35"/>
  <c r="F36" i="35"/>
  <c r="F17" i="35"/>
  <c r="F38" i="35"/>
  <c r="G5" i="43"/>
  <c r="P3" i="45"/>
  <c r="H30" i="49"/>
  <c r="F42" i="35"/>
  <c r="H29" i="49"/>
  <c r="F14" i="35"/>
  <c r="U26" i="45"/>
  <c r="G16" i="49"/>
  <c r="F2" i="35"/>
  <c r="F32" i="35"/>
  <c r="F35" i="35"/>
  <c r="U34" i="47"/>
  <c r="I8" i="42"/>
  <c r="F33" i="35"/>
  <c r="F48" i="35"/>
  <c r="H6" i="40"/>
  <c r="G20" i="49"/>
  <c r="F39" i="35"/>
  <c r="F18" i="35"/>
  <c r="G24" i="49"/>
  <c r="F28" i="35"/>
  <c r="P9" i="47"/>
  <c r="K15" i="43"/>
  <c r="F6" i="35"/>
  <c r="U29" i="45"/>
  <c r="V32" i="47"/>
  <c r="H19" i="40"/>
  <c r="H15" i="48"/>
  <c r="F49" i="35"/>
  <c r="U31" i="47"/>
  <c r="S36" i="47"/>
  <c r="L15" i="39"/>
  <c r="P7" i="47"/>
  <c r="L18" i="39"/>
  <c r="H26" i="49"/>
  <c r="H23" i="49"/>
  <c r="H20" i="40"/>
  <c r="S32" i="47"/>
  <c r="H10" i="40"/>
  <c r="G15" i="48"/>
  <c r="G19" i="49"/>
  <c r="F4" i="35"/>
  <c r="L19" i="43"/>
  <c r="G26" i="49"/>
  <c r="P6" i="47"/>
  <c r="P9" i="45"/>
  <c r="G18" i="48"/>
  <c r="H17" i="49"/>
  <c r="P5" i="47"/>
  <c r="F22" i="35"/>
  <c r="H14" i="40"/>
  <c r="F16" i="35"/>
  <c r="F40" i="35"/>
  <c r="U35" i="47"/>
  <c r="V34" i="47"/>
  <c r="H7" i="40"/>
  <c r="F7" i="39"/>
  <c r="H22" i="40"/>
  <c r="L17" i="43"/>
  <c r="F44" i="35"/>
  <c r="U28" i="45"/>
  <c r="F30" i="35"/>
  <c r="F37" i="35"/>
  <c r="H16" i="48"/>
  <c r="T12" i="45" a="1"/>
  <c r="G30" i="49"/>
  <c r="G4" i="39"/>
  <c r="G21" i="49"/>
  <c r="K18" i="39"/>
  <c r="L23" i="39"/>
  <c r="K23" i="39"/>
  <c r="K16" i="39"/>
  <c r="F26" i="35"/>
  <c r="G17" i="49"/>
  <c r="F5" i="39"/>
  <c r="Q9" i="45"/>
  <c r="G29" i="49"/>
  <c r="Q4" i="45"/>
  <c r="L21" i="43"/>
  <c r="L20" i="39"/>
  <c r="G23" i="49"/>
  <c r="K19" i="39"/>
  <c r="L24" i="39"/>
  <c r="H22" i="49"/>
  <c r="H5" i="40"/>
  <c r="K21" i="39"/>
  <c r="P10" i="47"/>
  <c r="L20" i="43"/>
  <c r="G22" i="49"/>
  <c r="F11" i="35"/>
  <c r="F9" i="35"/>
  <c r="H18" i="48"/>
  <c r="Q5" i="45"/>
  <c r="Q13" i="45" s="1" a="1"/>
  <c r="Q8" i="47"/>
  <c r="Q14" i="47" s="1" a="1"/>
  <c r="Q22" i="47" l="1"/>
  <c r="Q16" i="47"/>
  <c r="Q27" i="47"/>
  <c r="Q19" i="47"/>
  <c r="Q26" i="47"/>
  <c r="Q21" i="47"/>
  <c r="Q18" i="47"/>
  <c r="Q20" i="47"/>
  <c r="Q14" i="47"/>
  <c r="Q25" i="47"/>
  <c r="Q24" i="47"/>
  <c r="Q23" i="47"/>
  <c r="Q15" i="47"/>
  <c r="Q17" i="47"/>
  <c r="Q17" i="45"/>
  <c r="Q20" i="45"/>
  <c r="Q15" i="45"/>
  <c r="Q18" i="45"/>
  <c r="Q13" i="45"/>
  <c r="Q19" i="45"/>
  <c r="Q21" i="45"/>
  <c r="Q16" i="45"/>
  <c r="Q14" i="45"/>
  <c r="I22" i="49"/>
  <c r="M21" i="39"/>
  <c r="M19" i="39"/>
  <c r="I23" i="49"/>
  <c r="I29" i="49"/>
  <c r="I5" i="39"/>
  <c r="I17" i="49"/>
  <c r="M16" i="39"/>
  <c r="M23" i="39"/>
  <c r="M18" i="39"/>
  <c r="I21" i="49"/>
  <c r="I30" i="49"/>
  <c r="T12" i="45"/>
  <c r="T13" i="45"/>
  <c r="T19" i="45"/>
  <c r="T15" i="45"/>
  <c r="T18" i="45"/>
  <c r="T21" i="45"/>
  <c r="T14" i="45"/>
  <c r="T17" i="45"/>
  <c r="T20" i="45"/>
  <c r="T16" i="45"/>
  <c r="T28" i="45"/>
  <c r="W28" i="45" s="1"/>
  <c r="F6" i="48" s="1"/>
  <c r="I7" i="39"/>
  <c r="T35" i="47"/>
  <c r="W35" i="47" s="1"/>
  <c r="I18" i="48"/>
  <c r="I26" i="49"/>
  <c r="I19" i="49"/>
  <c r="I15" i="48"/>
  <c r="T31" i="47"/>
  <c r="X31" i="47" s="1"/>
  <c r="T29" i="45"/>
  <c r="W29" i="45" s="1"/>
  <c r="F7" i="48" s="1"/>
  <c r="M15" i="43"/>
  <c r="I24" i="49"/>
  <c r="I20" i="49"/>
  <c r="T34" i="47"/>
  <c r="X34" i="47" s="1"/>
  <c r="I16" i="49"/>
  <c r="T26" i="45"/>
  <c r="W26" i="45" s="1"/>
  <c r="M22" i="39"/>
  <c r="I15" i="49"/>
  <c r="I25" i="49"/>
  <c r="T27" i="45"/>
  <c r="W27" i="45" s="1"/>
  <c r="F5" i="48" s="1"/>
  <c r="I17" i="48"/>
  <c r="M20" i="43"/>
  <c r="I27" i="49"/>
  <c r="M16" i="43"/>
  <c r="M21" i="43"/>
  <c r="I28" i="49"/>
  <c r="I6" i="43"/>
  <c r="M15" i="39"/>
  <c r="M17" i="39"/>
  <c r="I18" i="49"/>
  <c r="I4" i="39"/>
  <c r="I7" i="43"/>
  <c r="M20" i="39"/>
  <c r="I4" i="43"/>
  <c r="M24" i="39"/>
  <c r="I6" i="39"/>
  <c r="M17" i="43"/>
  <c r="M18" i="43"/>
  <c r="I19" i="48"/>
  <c r="I5" i="43"/>
  <c r="I16" i="48"/>
  <c r="T36" i="47"/>
  <c r="X36" i="47" s="1"/>
  <c r="T33" i="47"/>
  <c r="W33" i="47" s="1"/>
  <c r="F6" i="49" s="1"/>
  <c r="T23" i="47"/>
  <c r="T14" i="47"/>
  <c r="T20" i="47"/>
  <c r="T13" i="47"/>
  <c r="T19" i="47"/>
  <c r="T18" i="47"/>
  <c r="T16" i="47"/>
  <c r="T25" i="47"/>
  <c r="T26" i="47"/>
  <c r="T17" i="47"/>
  <c r="T27" i="47"/>
  <c r="T21" i="47"/>
  <c r="T24" i="47"/>
  <c r="T22" i="47"/>
  <c r="T15" i="47"/>
  <c r="T32" i="47"/>
  <c r="X32" i="47" s="1"/>
  <c r="M19" i="43"/>
  <c r="K4" i="40"/>
  <c r="L4" i="42"/>
  <c r="I3" i="43"/>
  <c r="I3" i="39"/>
  <c r="K15" i="40"/>
  <c r="P15" i="40" s="1"/>
  <c r="K11" i="40"/>
  <c r="P11" i="40" s="1"/>
  <c r="K12" i="40"/>
  <c r="P12" i="40" s="1"/>
  <c r="K6" i="40"/>
  <c r="P6" i="40" s="1"/>
  <c r="K19" i="40"/>
  <c r="P19" i="40" s="1"/>
  <c r="K22" i="40"/>
  <c r="P22" i="40" s="1"/>
  <c r="K7" i="40"/>
  <c r="P7" i="40" s="1"/>
  <c r="K5" i="40"/>
  <c r="P5" i="40" s="1"/>
  <c r="K20" i="40"/>
  <c r="P20" i="40" s="1"/>
  <c r="K8" i="40"/>
  <c r="P8" i="40" s="1"/>
  <c r="K21" i="40"/>
  <c r="P21" i="40" s="1"/>
  <c r="K9" i="40"/>
  <c r="P9" i="40" s="1"/>
  <c r="K17" i="40"/>
  <c r="P17" i="40" s="1"/>
  <c r="K13" i="40"/>
  <c r="P13" i="40" s="1"/>
  <c r="K16" i="40"/>
  <c r="P16" i="40" s="1"/>
  <c r="K10" i="40"/>
  <c r="P10" i="40" s="1"/>
  <c r="K18" i="40"/>
  <c r="P18" i="40" s="1"/>
  <c r="K14" i="40"/>
  <c r="P14" i="40" s="1"/>
  <c r="L8" i="42"/>
  <c r="M8" i="42" s="1"/>
  <c r="L7" i="42"/>
  <c r="M7" i="42" s="1"/>
  <c r="L6" i="42"/>
  <c r="Q6" i="42" s="1"/>
  <c r="L5" i="42"/>
  <c r="Q5" i="42" s="1"/>
  <c r="L9" i="42"/>
  <c r="M9" i="42" s="1"/>
  <c r="L10" i="42"/>
  <c r="M10" i="42" s="1"/>
  <c r="L11" i="42"/>
  <c r="M11" i="42" s="1"/>
  <c r="L12" i="42"/>
  <c r="M12" i="42" s="1"/>
  <c r="L13" i="42"/>
  <c r="M13" i="42" s="1"/>
  <c r="L14" i="42"/>
  <c r="Q14" i="42" s="1"/>
  <c r="L15" i="42"/>
  <c r="M15" i="42" s="1"/>
  <c r="L16" i="42"/>
  <c r="M16" i="42" s="1"/>
  <c r="Y3" i="42"/>
  <c r="X3" i="40"/>
  <c r="Y4" i="42"/>
  <c r="X4" i="40"/>
  <c r="Y5" i="42"/>
  <c r="X5" i="40"/>
  <c r="Y6" i="42"/>
  <c r="X6" i="40"/>
  <c r="Y7" i="42"/>
  <c r="X7" i="40"/>
  <c r="Y8" i="42"/>
  <c r="X8" i="40"/>
  <c r="Y9" i="42"/>
  <c r="X9" i="40"/>
  <c r="Y10" i="42"/>
  <c r="X10" i="40"/>
  <c r="Y11" i="42"/>
  <c r="X11" i="40"/>
  <c r="Y12" i="42"/>
  <c r="X12" i="40"/>
  <c r="Y13" i="42"/>
  <c r="X13" i="40"/>
  <c r="Y14" i="42"/>
  <c r="X14" i="40"/>
  <c r="Y15" i="42"/>
  <c r="X15" i="40"/>
  <c r="Y16" i="42"/>
  <c r="X16" i="40"/>
  <c r="Y17" i="42"/>
  <c r="X17" i="40"/>
  <c r="Y18" i="42"/>
  <c r="X18" i="40"/>
  <c r="Y19" i="42"/>
  <c r="X19" i="40"/>
  <c r="Y20" i="42"/>
  <c r="X20" i="40"/>
  <c r="Y21" i="42"/>
  <c r="X21" i="40"/>
  <c r="Y22" i="42"/>
  <c r="X22" i="40"/>
  <c r="Y23" i="42"/>
  <c r="X23" i="40"/>
  <c r="Y24" i="42"/>
  <c r="X24" i="40"/>
  <c r="Y25" i="42"/>
  <c r="X25" i="40"/>
  <c r="Y26" i="42"/>
  <c r="X26" i="40"/>
  <c r="Y27" i="42"/>
  <c r="X27" i="40"/>
  <c r="Y28" i="42"/>
  <c r="X28" i="40"/>
  <c r="Y29" i="42"/>
  <c r="X29" i="40"/>
  <c r="Y30" i="42"/>
  <c r="X30" i="40"/>
  <c r="Y31" i="42"/>
  <c r="X31" i="40"/>
  <c r="Y32" i="42"/>
  <c r="X32" i="40"/>
  <c r="Y33" i="42"/>
  <c r="X33" i="40"/>
  <c r="Y34" i="42"/>
  <c r="X34" i="40"/>
  <c r="Y35" i="42"/>
  <c r="X35" i="40"/>
  <c r="Y36" i="42"/>
  <c r="X36" i="40"/>
  <c r="Y37" i="42"/>
  <c r="X37" i="40"/>
  <c r="Y38" i="42"/>
  <c r="X38" i="40"/>
  <c r="Y39" i="42"/>
  <c r="X39" i="40"/>
  <c r="Y40" i="42"/>
  <c r="X40" i="40"/>
  <c r="Y41" i="42"/>
  <c r="X41" i="40"/>
  <c r="Y42" i="42"/>
  <c r="X42" i="40"/>
  <c r="Y43" i="42"/>
  <c r="X43" i="40"/>
  <c r="Y44" i="42"/>
  <c r="X44" i="40"/>
  <c r="Y45" i="42"/>
  <c r="X45" i="40"/>
  <c r="Y46" i="42"/>
  <c r="X46" i="40"/>
  <c r="Y47" i="42"/>
  <c r="X47" i="40"/>
  <c r="Y48" i="42"/>
  <c r="X48" i="40"/>
  <c r="Y49" i="42"/>
  <c r="X49" i="40"/>
  <c r="Y50" i="42"/>
  <c r="X50" i="40"/>
  <c r="Y51" i="42"/>
  <c r="X51" i="40"/>
  <c r="Y52" i="42"/>
  <c r="X52" i="40"/>
  <c r="Y53" i="42"/>
  <c r="X53" i="40"/>
  <c r="Y54" i="42"/>
  <c r="X54" i="40"/>
  <c r="Y55" i="42"/>
  <c r="X55" i="40"/>
  <c r="Y56" i="42"/>
  <c r="X56" i="40"/>
  <c r="Y57" i="42"/>
  <c r="X57" i="40"/>
  <c r="Y58" i="42"/>
  <c r="X58" i="40"/>
  <c r="Y59" i="42"/>
  <c r="X59" i="40"/>
  <c r="Y60" i="42"/>
  <c r="X60" i="40"/>
  <c r="Y61" i="42"/>
  <c r="X61" i="40"/>
  <c r="Y62" i="42"/>
  <c r="X62" i="40"/>
  <c r="Y63" i="42"/>
  <c r="X63" i="40"/>
  <c r="Y64" i="42"/>
  <c r="X64" i="40"/>
  <c r="Y65" i="42"/>
  <c r="X65" i="40"/>
  <c r="Y66" i="42"/>
  <c r="X66" i="40"/>
  <c r="Y67" i="42"/>
  <c r="X67" i="40"/>
  <c r="Y68" i="42"/>
  <c r="X68" i="40"/>
  <c r="Y69" i="42"/>
  <c r="X69" i="40"/>
  <c r="Y70" i="42"/>
  <c r="X70" i="40"/>
  <c r="Y71" i="42"/>
  <c r="X71" i="40"/>
  <c r="Y72" i="42"/>
  <c r="X72" i="40"/>
  <c r="Y73" i="42"/>
  <c r="X73" i="40"/>
  <c r="Y74" i="42"/>
  <c r="X74" i="40"/>
  <c r="Y75" i="42"/>
  <c r="X75" i="40"/>
  <c r="Y76" i="42"/>
  <c r="X76" i="40"/>
  <c r="Y77" i="42"/>
  <c r="X77" i="40"/>
  <c r="Y78" i="42"/>
  <c r="X78" i="40"/>
  <c r="Y79" i="42"/>
  <c r="X79" i="40"/>
  <c r="Y80" i="42"/>
  <c r="X80" i="40"/>
  <c r="Y81" i="42"/>
  <c r="X81" i="40"/>
  <c r="Y82" i="42"/>
  <c r="X82" i="40"/>
  <c r="Y83" i="42"/>
  <c r="X83" i="40"/>
  <c r="Y84" i="42"/>
  <c r="X84" i="40"/>
  <c r="Y85" i="42"/>
  <c r="X85" i="40"/>
  <c r="Y86" i="42"/>
  <c r="X86" i="40"/>
  <c r="Y87" i="42"/>
  <c r="X87" i="40"/>
  <c r="Y88" i="42"/>
  <c r="X88" i="40"/>
  <c r="Y89" i="42"/>
  <c r="X89" i="40"/>
  <c r="Y90" i="42"/>
  <c r="X90" i="40"/>
  <c r="Y91" i="42"/>
  <c r="X91" i="40"/>
  <c r="Y92" i="42"/>
  <c r="X92" i="40"/>
  <c r="Y93" i="42"/>
  <c r="X93" i="40"/>
  <c r="Y94" i="42"/>
  <c r="X94" i="40"/>
  <c r="Y95" i="42"/>
  <c r="X95" i="40"/>
  <c r="Y96" i="42"/>
  <c r="X96" i="40"/>
  <c r="Y97" i="42"/>
  <c r="X97" i="40"/>
  <c r="Y98" i="42"/>
  <c r="X98" i="40"/>
  <c r="Y99" i="42"/>
  <c r="X99" i="40"/>
  <c r="Y100" i="42"/>
  <c r="X100" i="40"/>
  <c r="Y101" i="42"/>
  <c r="X101" i="40"/>
  <c r="Y102" i="42"/>
  <c r="X102" i="40"/>
  <c r="Y103" i="42"/>
  <c r="X103" i="40"/>
  <c r="Y104" i="42"/>
  <c r="X104" i="40"/>
  <c r="Y105" i="42"/>
  <c r="X105" i="40"/>
  <c r="Y106" i="42"/>
  <c r="X106" i="40"/>
  <c r="Y107" i="42"/>
  <c r="X107" i="40"/>
  <c r="Y108" i="42"/>
  <c r="X108" i="40"/>
  <c r="Y109" i="42"/>
  <c r="X109" i="40"/>
  <c r="Y110" i="42"/>
  <c r="X110" i="40"/>
  <c r="Y111" i="42"/>
  <c r="X111" i="40"/>
  <c r="Y112" i="42"/>
  <c r="X112" i="40"/>
  <c r="Y113" i="42"/>
  <c r="X113" i="40"/>
  <c r="Y114" i="42"/>
  <c r="X114" i="40"/>
  <c r="Y115" i="42"/>
  <c r="X115" i="40"/>
  <c r="Y116" i="42"/>
  <c r="X116" i="40"/>
  <c r="Y117" i="42"/>
  <c r="X117" i="40"/>
  <c r="Y118" i="42"/>
  <c r="X118" i="40"/>
  <c r="Y119" i="42"/>
  <c r="X119" i="40"/>
  <c r="Y120" i="42"/>
  <c r="X120" i="40"/>
  <c r="Y121" i="42"/>
  <c r="X121" i="40"/>
  <c r="Y122" i="42"/>
  <c r="X122" i="40"/>
  <c r="Y123" i="42"/>
  <c r="X123" i="40"/>
  <c r="Y124" i="42"/>
  <c r="X124" i="40"/>
  <c r="Y125" i="42"/>
  <c r="X125" i="40"/>
  <c r="Y126" i="42"/>
  <c r="X126" i="40"/>
  <c r="Y127" i="42"/>
  <c r="X127" i="40"/>
  <c r="Y128" i="42"/>
  <c r="X128" i="40"/>
  <c r="Y129" i="42"/>
  <c r="X129" i="40"/>
  <c r="Y130" i="42"/>
  <c r="X130" i="40"/>
  <c r="Y131" i="42"/>
  <c r="X131" i="40"/>
  <c r="Y132" i="42"/>
  <c r="X132" i="40"/>
  <c r="Y133" i="42"/>
  <c r="X133" i="40"/>
  <c r="Y134" i="42"/>
  <c r="X134" i="40"/>
  <c r="Y135" i="42"/>
  <c r="X135" i="40"/>
  <c r="Y136" i="42"/>
  <c r="X136" i="40"/>
  <c r="Y137" i="42"/>
  <c r="X137" i="40"/>
  <c r="Y138" i="42"/>
  <c r="X138" i="40"/>
  <c r="Y139" i="42"/>
  <c r="X139" i="40"/>
  <c r="Y140" i="42"/>
  <c r="X140" i="40"/>
  <c r="Y141" i="42"/>
  <c r="X141" i="40"/>
  <c r="Y142" i="42"/>
  <c r="X142" i="40"/>
  <c r="Y143" i="42"/>
  <c r="X143" i="40"/>
  <c r="Y144" i="42"/>
  <c r="X144" i="40"/>
  <c r="Y145" i="42"/>
  <c r="X145" i="40"/>
  <c r="Y146" i="42"/>
  <c r="X146" i="40"/>
  <c r="Y147" i="42"/>
  <c r="X147" i="40"/>
  <c r="Y148" i="42"/>
  <c r="X148" i="40"/>
  <c r="Y149" i="42"/>
  <c r="X149" i="40"/>
  <c r="Y150" i="42"/>
  <c r="X150" i="40"/>
  <c r="Y151" i="42"/>
  <c r="X151" i="40"/>
  <c r="Y152" i="42"/>
  <c r="X152" i="40"/>
  <c r="Y153" i="42"/>
  <c r="X153" i="40"/>
  <c r="Y154" i="42"/>
  <c r="X154" i="40"/>
  <c r="Y155" i="42"/>
  <c r="X155" i="40"/>
  <c r="Y156" i="42"/>
  <c r="X156" i="40"/>
  <c r="Y157" i="42"/>
  <c r="X157" i="40"/>
  <c r="Y158" i="42"/>
  <c r="X158" i="40"/>
  <c r="Y159" i="42"/>
  <c r="X159" i="40"/>
  <c r="Y160" i="42"/>
  <c r="X160" i="40"/>
  <c r="Y161" i="42"/>
  <c r="X161" i="40"/>
  <c r="Y162" i="42"/>
  <c r="X162" i="40"/>
  <c r="Y163" i="42"/>
  <c r="X163" i="40"/>
  <c r="Y164" i="42"/>
  <c r="X164" i="40"/>
  <c r="Y165" i="42"/>
  <c r="X165" i="40"/>
  <c r="Y166" i="42"/>
  <c r="X166" i="40"/>
  <c r="Y167" i="42"/>
  <c r="X167" i="40"/>
  <c r="Y168" i="42"/>
  <c r="X168" i="40"/>
  <c r="Y169" i="42"/>
  <c r="X169" i="40"/>
  <c r="Y170" i="42"/>
  <c r="X170" i="40"/>
  <c r="Y171" i="42"/>
  <c r="X171" i="40"/>
  <c r="Y172" i="42"/>
  <c r="X172" i="40"/>
  <c r="Y173" i="42"/>
  <c r="X173" i="40"/>
  <c r="Y174" i="42"/>
  <c r="X174" i="40"/>
  <c r="Y175" i="42"/>
  <c r="X175" i="40"/>
  <c r="Y176" i="42"/>
  <c r="X176" i="40"/>
  <c r="Y177" i="42"/>
  <c r="X177" i="40"/>
  <c r="Y178" i="42"/>
  <c r="X178" i="40"/>
  <c r="Y179" i="42"/>
  <c r="X179" i="40"/>
  <c r="Y180" i="42"/>
  <c r="X180" i="40"/>
  <c r="Y181" i="42"/>
  <c r="X181" i="40"/>
  <c r="Y182" i="42"/>
  <c r="X182" i="40"/>
  <c r="Y183" i="42"/>
  <c r="X183" i="40"/>
  <c r="Y184" i="42"/>
  <c r="X184" i="40"/>
  <c r="Y185" i="42"/>
  <c r="X185" i="40"/>
  <c r="Y186" i="42"/>
  <c r="X186" i="40"/>
  <c r="Y187" i="42"/>
  <c r="X187" i="40"/>
  <c r="Y188" i="42"/>
  <c r="X188" i="40"/>
  <c r="Y189" i="42"/>
  <c r="X189" i="40"/>
  <c r="Y190" i="42"/>
  <c r="X190" i="40"/>
  <c r="Y191" i="42"/>
  <c r="X191" i="40"/>
  <c r="Y192" i="42"/>
  <c r="X192" i="40"/>
  <c r="Y193" i="42"/>
  <c r="X193" i="40"/>
  <c r="Y194" i="42"/>
  <c r="X194" i="40"/>
  <c r="Y195" i="42"/>
  <c r="X195" i="40"/>
  <c r="Y196" i="42"/>
  <c r="X196" i="40"/>
  <c r="Y197" i="42"/>
  <c r="X197" i="40"/>
  <c r="Y198" i="42"/>
  <c r="X198" i="40"/>
  <c r="Y199" i="42"/>
  <c r="X199" i="40"/>
  <c r="Y200" i="42"/>
  <c r="X200" i="40"/>
  <c r="Y201" i="42"/>
  <c r="X201" i="40"/>
  <c r="Y202" i="42"/>
  <c r="X202" i="40"/>
  <c r="Y203" i="42"/>
  <c r="X203" i="40"/>
  <c r="Y204" i="42"/>
  <c r="X204" i="40"/>
  <c r="Y205" i="42"/>
  <c r="X205" i="40"/>
  <c r="Y206" i="42"/>
  <c r="X206" i="40"/>
  <c r="Y207" i="42"/>
  <c r="X207" i="40"/>
  <c r="Y208" i="42"/>
  <c r="X208" i="40"/>
  <c r="Y209" i="42"/>
  <c r="X209" i="40"/>
  <c r="Y210" i="42"/>
  <c r="X210" i="40"/>
  <c r="Y211" i="42"/>
  <c r="X211" i="40"/>
  <c r="Y212" i="42"/>
  <c r="X212" i="40"/>
  <c r="Y213" i="42"/>
  <c r="X213" i="40"/>
  <c r="Y214" i="42"/>
  <c r="X214" i="40"/>
  <c r="Y215" i="42"/>
  <c r="X215" i="40"/>
  <c r="Y216" i="42"/>
  <c r="X216" i="40"/>
  <c r="Y217" i="42"/>
  <c r="X217" i="40"/>
  <c r="Y218" i="42"/>
  <c r="X218" i="40"/>
  <c r="Y219" i="42"/>
  <c r="X219" i="40"/>
  <c r="Y220" i="42"/>
  <c r="X220" i="40"/>
  <c r="Y221" i="42"/>
  <c r="X221" i="40"/>
  <c r="Y222" i="42"/>
  <c r="X222" i="40"/>
  <c r="Y223" i="42"/>
  <c r="X223" i="40"/>
  <c r="Y224" i="42"/>
  <c r="X224" i="40"/>
  <c r="Y225" i="42"/>
  <c r="X225" i="40"/>
  <c r="Y226" i="42"/>
  <c r="X226" i="40"/>
  <c r="Y227" i="42"/>
  <c r="X227" i="40"/>
  <c r="Y228" i="42"/>
  <c r="X228" i="40"/>
  <c r="Y229" i="42"/>
  <c r="X229" i="40"/>
  <c r="Y230" i="42"/>
  <c r="X230" i="40"/>
  <c r="Y231" i="42"/>
  <c r="X231" i="40"/>
  <c r="Y232" i="42"/>
  <c r="X232" i="40"/>
  <c r="Y233" i="42"/>
  <c r="X233" i="40"/>
  <c r="Y234" i="42"/>
  <c r="X234" i="40"/>
  <c r="Y235" i="42"/>
  <c r="X235" i="40"/>
  <c r="Y236" i="42"/>
  <c r="X236" i="40"/>
  <c r="Y237" i="42"/>
  <c r="X237" i="40"/>
  <c r="Y238" i="42"/>
  <c r="X238" i="40"/>
  <c r="Y239" i="42"/>
  <c r="X239" i="40"/>
  <c r="Y240" i="42"/>
  <c r="X240" i="40"/>
  <c r="Y241" i="42"/>
  <c r="X241" i="40"/>
  <c r="Y242" i="42"/>
  <c r="X242" i="40"/>
  <c r="Y243" i="42"/>
  <c r="X243" i="40"/>
  <c r="Y244" i="42"/>
  <c r="X244" i="40"/>
  <c r="Y245" i="42"/>
  <c r="X245" i="40"/>
  <c r="Y246" i="42"/>
  <c r="X246" i="40"/>
  <c r="Y247" i="42"/>
  <c r="X247" i="40"/>
  <c r="Y248" i="42"/>
  <c r="X248" i="40"/>
  <c r="Y249" i="42"/>
  <c r="X249" i="40"/>
  <c r="Y250" i="42"/>
  <c r="X250" i="40"/>
  <c r="Y251" i="42"/>
  <c r="X251" i="40"/>
  <c r="Y252" i="42"/>
  <c r="X252" i="40"/>
  <c r="Y253" i="42"/>
  <c r="X253" i="40"/>
  <c r="Y254" i="42"/>
  <c r="X254" i="40"/>
  <c r="Y255" i="42"/>
  <c r="X255" i="40"/>
  <c r="Y256" i="42"/>
  <c r="X256" i="40"/>
  <c r="Y257" i="42"/>
  <c r="X257" i="40"/>
  <c r="Y258" i="42"/>
  <c r="X258" i="40"/>
  <c r="Y259" i="42"/>
  <c r="X259" i="40"/>
  <c r="Y260" i="42"/>
  <c r="X260" i="40"/>
  <c r="Y261" i="42"/>
  <c r="X261" i="40"/>
  <c r="X262" i="40"/>
  <c r="Q16" i="42" l="1"/>
  <c r="X35" i="47"/>
  <c r="L22" i="40"/>
  <c r="L20" i="40"/>
  <c r="L17" i="40"/>
  <c r="Q13" i="42"/>
  <c r="L18" i="40"/>
  <c r="L15" i="40"/>
  <c r="M6" i="42"/>
  <c r="W31" i="47"/>
  <c r="F3" i="49" s="1"/>
  <c r="L9" i="40"/>
  <c r="L21" i="40"/>
  <c r="Q12" i="42"/>
  <c r="W34" i="47"/>
  <c r="F7" i="49" s="1"/>
  <c r="Q8" i="42"/>
  <c r="L12" i="40"/>
  <c r="Q10" i="42"/>
  <c r="Q9" i="42"/>
  <c r="L14" i="40"/>
  <c r="Q11" i="42"/>
  <c r="L11" i="40"/>
  <c r="Q7" i="42"/>
  <c r="L19" i="40"/>
  <c r="F4" i="48"/>
  <c r="F3" i="48"/>
  <c r="M4" i="42"/>
  <c r="Q4" i="42"/>
  <c r="J3" i="43" s="1"/>
  <c r="L4" i="40"/>
  <c r="P4" i="40"/>
  <c r="J3" i="39" s="1"/>
  <c r="X33" i="47"/>
  <c r="M5" i="42"/>
  <c r="L13" i="40"/>
  <c r="M14" i="42"/>
  <c r="L6" i="40"/>
  <c r="L16" i="40"/>
  <c r="W32" i="47"/>
  <c r="F5" i="49" s="1"/>
  <c r="L7" i="40"/>
  <c r="L5" i="40"/>
  <c r="W36" i="47"/>
  <c r="Q15" i="42"/>
  <c r="L8" i="40"/>
  <c r="L10" i="40"/>
  <c r="F4" i="49" l="1"/>
  <c r="D41" i="29"/>
  <c r="G2" i="35"/>
  <c r="G12" i="35"/>
  <c r="G23" i="35"/>
  <c r="G5" i="35"/>
  <c r="G4" i="35"/>
  <c r="G41" i="35"/>
  <c r="G29" i="35"/>
  <c r="U13" i="49" a="1"/>
  <c r="U13" i="49" l="1"/>
  <c r="S13" i="49" s="1"/>
  <c r="AD23" i="49" s="1"/>
  <c r="G20" i="35"/>
  <c r="G47" i="35"/>
  <c r="G26" i="35"/>
  <c r="G49" i="35"/>
  <c r="G33" i="35"/>
  <c r="AD234" i="49" l="1"/>
  <c r="AD56" i="49"/>
  <c r="AD102" i="49"/>
  <c r="AD203" i="49"/>
  <c r="AD214" i="49"/>
  <c r="AD60" i="49"/>
  <c r="AD148" i="49"/>
  <c r="AD170" i="49"/>
  <c r="AD196" i="49"/>
  <c r="AD98" i="49"/>
  <c r="AD85" i="49"/>
  <c r="AD26" i="49"/>
  <c r="AD161" i="49"/>
  <c r="AD158" i="49"/>
  <c r="AD69" i="49"/>
  <c r="AD128" i="49"/>
  <c r="AD96" i="49"/>
  <c r="AD136" i="49"/>
  <c r="AD31" i="49"/>
  <c r="AD221" i="49"/>
  <c r="AD139" i="49"/>
  <c r="AD235" i="49"/>
  <c r="AD181" i="49"/>
  <c r="AD19" i="49"/>
  <c r="AD223" i="49"/>
  <c r="AD123" i="49"/>
  <c r="AD103" i="49"/>
  <c r="AD92" i="49"/>
  <c r="AD24" i="49"/>
  <c r="AD93" i="49"/>
  <c r="AD256" i="49"/>
  <c r="AD186" i="49"/>
  <c r="AD46" i="49"/>
  <c r="AD178" i="49"/>
  <c r="AD78" i="49"/>
  <c r="AD75" i="49"/>
  <c r="AD152" i="49"/>
  <c r="AD7" i="49"/>
  <c r="AD165" i="49"/>
  <c r="AD183" i="49"/>
  <c r="AD53" i="49"/>
  <c r="AD246" i="49"/>
  <c r="AD30" i="49"/>
  <c r="AD155" i="49"/>
  <c r="AD124" i="49"/>
  <c r="AD216" i="49"/>
  <c r="AD143" i="49"/>
  <c r="AD240" i="49"/>
  <c r="AD57" i="49"/>
  <c r="AD71" i="49"/>
  <c r="AD29" i="49"/>
  <c r="AD34" i="49"/>
  <c r="AD215" i="49"/>
  <c r="AD201" i="49"/>
  <c r="AD121" i="49"/>
  <c r="AD51" i="49"/>
  <c r="AD166" i="49"/>
  <c r="AD153" i="49"/>
  <c r="AD172" i="49"/>
  <c r="AD52" i="49"/>
  <c r="AD91" i="49"/>
  <c r="AD41" i="49"/>
  <c r="AD111" i="49"/>
  <c r="AD81" i="49"/>
  <c r="AD74" i="49"/>
  <c r="AD112" i="49"/>
  <c r="AD141" i="49"/>
  <c r="AD176" i="49"/>
  <c r="AD131" i="49"/>
  <c r="AD252" i="49"/>
  <c r="AD147" i="49"/>
  <c r="AD5" i="49"/>
  <c r="AD144" i="49"/>
  <c r="AD126" i="49"/>
  <c r="AD211" i="49"/>
  <c r="AD116" i="49"/>
  <c r="AD99" i="49"/>
  <c r="AD64" i="49"/>
  <c r="AD254" i="49"/>
  <c r="AD16" i="49"/>
  <c r="AD142" i="49"/>
  <c r="AD257" i="49"/>
  <c r="AD197" i="49"/>
  <c r="AD188" i="49"/>
  <c r="AD105" i="49"/>
  <c r="AD157" i="49"/>
  <c r="AD35" i="49"/>
  <c r="AD245" i="49"/>
  <c r="AD110" i="49"/>
  <c r="AD100" i="49"/>
  <c r="AD72" i="49"/>
  <c r="AD242" i="49"/>
  <c r="AD84" i="49"/>
  <c r="AD205" i="49"/>
  <c r="AD184" i="49"/>
  <c r="AD45" i="49"/>
  <c r="AD113" i="49"/>
  <c r="AD213" i="49"/>
  <c r="AD137" i="49"/>
  <c r="AD204" i="49"/>
  <c r="AD244" i="49"/>
  <c r="AD10" i="49"/>
  <c r="AD230" i="49"/>
  <c r="AD39" i="49"/>
  <c r="AD239" i="49"/>
  <c r="AD49" i="49"/>
  <c r="AD109" i="49"/>
  <c r="AD101" i="49"/>
  <c r="AD119" i="49"/>
  <c r="AD133" i="49"/>
  <c r="AD95" i="49"/>
  <c r="AD82" i="49"/>
  <c r="AD67" i="49"/>
  <c r="AD212" i="49"/>
  <c r="AD227" i="49"/>
  <c r="AD115" i="49"/>
  <c r="AD236" i="49"/>
  <c r="AD88" i="49"/>
  <c r="AD225" i="49"/>
  <c r="AD62" i="49"/>
  <c r="AD108" i="49"/>
  <c r="AD151" i="49"/>
  <c r="AD44" i="49"/>
  <c r="AD59" i="49"/>
  <c r="AD140" i="49"/>
  <c r="AD6" i="49"/>
  <c r="AD50" i="49"/>
  <c r="AD171" i="49"/>
  <c r="AD58" i="49"/>
  <c r="AD251" i="49"/>
  <c r="AD231" i="49"/>
  <c r="AD138" i="49"/>
  <c r="AD117" i="49"/>
  <c r="AD162" i="49"/>
  <c r="AD127" i="49"/>
  <c r="AD4" i="49"/>
  <c r="AD237" i="49"/>
  <c r="AD104" i="49"/>
  <c r="AD77" i="49"/>
  <c r="AD54" i="49"/>
  <c r="AD167" i="49"/>
  <c r="AD134" i="49"/>
  <c r="AD249" i="49"/>
  <c r="AD250" i="49"/>
  <c r="AD130" i="49"/>
  <c r="AD159" i="49"/>
  <c r="AD65" i="49"/>
  <c r="AD97" i="49"/>
  <c r="AD190" i="49"/>
  <c r="AD210" i="49"/>
  <c r="AD169" i="49"/>
  <c r="AD14" i="49"/>
  <c r="AD247" i="49"/>
  <c r="AD200" i="49"/>
  <c r="AD37" i="49"/>
  <c r="AD175" i="49"/>
  <c r="AD125" i="49"/>
  <c r="AD154" i="49"/>
  <c r="AD222" i="49"/>
  <c r="AD226" i="49"/>
  <c r="AD241" i="49"/>
  <c r="AD135" i="49"/>
  <c r="AD61" i="49"/>
  <c r="AD42" i="49"/>
  <c r="AD76" i="49"/>
  <c r="AD114" i="49"/>
  <c r="AD17" i="49"/>
  <c r="AD163" i="49"/>
  <c r="AD218" i="49"/>
  <c r="AD3" i="49"/>
  <c r="AD27" i="49"/>
  <c r="AD182" i="49"/>
  <c r="AD208" i="49"/>
  <c r="AD20" i="49"/>
  <c r="AD107" i="49"/>
  <c r="AD185" i="49"/>
  <c r="AD207" i="49"/>
  <c r="AD55" i="49"/>
  <c r="AD206" i="49"/>
  <c r="AD25" i="49"/>
  <c r="AD8" i="49"/>
  <c r="AD40" i="49"/>
  <c r="AD21" i="49"/>
  <c r="AD255" i="49"/>
  <c r="AD48" i="49"/>
  <c r="AD47" i="49"/>
  <c r="AD202" i="49"/>
  <c r="AD194" i="49"/>
  <c r="AD243" i="49"/>
  <c r="AD193" i="49"/>
  <c r="AD209" i="49"/>
  <c r="AD146" i="49"/>
  <c r="AD195" i="49"/>
  <c r="AD11" i="49"/>
  <c r="AD87" i="49"/>
  <c r="AD63" i="49"/>
  <c r="AD15" i="49"/>
  <c r="AD149" i="49"/>
  <c r="AD89" i="49"/>
  <c r="AD248" i="49"/>
  <c r="AD232" i="49"/>
  <c r="AD132" i="49"/>
  <c r="AD43" i="49"/>
  <c r="AD79" i="49"/>
  <c r="AD118" i="49"/>
  <c r="AD120" i="49"/>
  <c r="AD66" i="49"/>
  <c r="AD198" i="49"/>
  <c r="AD199" i="49"/>
  <c r="AD33" i="49"/>
  <c r="AD13" i="49"/>
  <c r="AD68" i="49"/>
  <c r="AD238" i="49"/>
  <c r="AD192" i="49"/>
  <c r="AD9" i="49"/>
  <c r="AD156" i="49"/>
  <c r="AD38" i="49"/>
  <c r="AD86" i="49"/>
  <c r="AD12" i="49"/>
  <c r="AD32" i="49"/>
  <c r="AD36" i="49"/>
  <c r="AD70" i="49"/>
  <c r="AD106" i="49"/>
  <c r="AD145" i="49"/>
  <c r="AD129" i="49"/>
  <c r="AD220" i="49"/>
  <c r="AD122" i="49"/>
  <c r="AD177" i="49"/>
  <c r="AD73" i="49"/>
  <c r="AD191" i="49"/>
  <c r="AD253" i="49"/>
  <c r="AD18" i="49"/>
  <c r="AD174" i="49"/>
  <c r="AD219" i="49"/>
  <c r="AD179" i="49"/>
  <c r="AD28" i="49"/>
  <c r="AD233" i="49"/>
  <c r="AD187" i="49"/>
  <c r="AD229" i="49"/>
  <c r="AD150" i="49"/>
  <c r="AD173" i="49"/>
  <c r="AD217" i="49"/>
  <c r="AD22" i="49"/>
  <c r="AD83" i="49"/>
  <c r="AD180" i="49"/>
  <c r="AD168" i="49"/>
  <c r="AD228" i="49"/>
  <c r="AD160" i="49"/>
  <c r="AD189" i="49"/>
  <c r="AD80" i="49"/>
  <c r="AD164" i="49"/>
  <c r="AD90" i="49"/>
  <c r="AD94" i="49"/>
  <c r="AD224" i="49"/>
  <c r="G22" i="35"/>
  <c r="G50" i="35"/>
  <c r="G6" i="35"/>
  <c r="G46" i="35"/>
  <c r="U3" i="48" a="1"/>
  <c r="U5" i="48" l="1"/>
  <c r="U4" i="48"/>
  <c r="U3" i="48"/>
  <c r="G48" i="35"/>
  <c r="G45" i="35"/>
  <c r="G34" i="35"/>
  <c r="G16" i="35"/>
  <c r="G31" i="35"/>
  <c r="U9" i="49" a="1"/>
  <c r="S3" i="48" l="1" a="1"/>
  <c r="S5" i="48" s="1"/>
  <c r="U9" i="49"/>
  <c r="U10" i="49"/>
  <c r="U3" i="49" a="1"/>
  <c r="S3" i="48" l="1"/>
  <c r="S4" i="48"/>
  <c r="S9" i="49" a="1"/>
  <c r="S10" i="49" s="1"/>
  <c r="AF6" i="48"/>
  <c r="U5" i="49"/>
  <c r="U4" i="49"/>
  <c r="U3" i="49"/>
  <c r="G43" i="35"/>
  <c r="G35" i="35"/>
  <c r="G8" i="35"/>
  <c r="AF3" i="48" l="1"/>
  <c r="AF16" i="48"/>
  <c r="AF25" i="48"/>
  <c r="AF24" i="48"/>
  <c r="AF20" i="48"/>
  <c r="AF13" i="48"/>
  <c r="AF26" i="48"/>
  <c r="AF14" i="48"/>
  <c r="AF11" i="48"/>
  <c r="AF17" i="48"/>
  <c r="AF18" i="48"/>
  <c r="AF22" i="48"/>
  <c r="AF8" i="48"/>
  <c r="AF19" i="48"/>
  <c r="AF21" i="48"/>
  <c r="AF4" i="48"/>
  <c r="AF23" i="48"/>
  <c r="AF15" i="48"/>
  <c r="AF5" i="48"/>
  <c r="AF7" i="48"/>
  <c r="AF12" i="48"/>
  <c r="AF10" i="48"/>
  <c r="AF9" i="48"/>
  <c r="S9" i="49"/>
  <c r="AE166" i="49" s="1"/>
  <c r="S3" i="49" a="1"/>
  <c r="S5" i="49" s="1"/>
  <c r="G40" i="35"/>
  <c r="G15" i="35"/>
  <c r="G18" i="35"/>
  <c r="G36" i="35"/>
  <c r="G44" i="35"/>
  <c r="U13" i="48" a="1"/>
  <c r="AE216" i="49" l="1"/>
  <c r="AE33" i="49"/>
  <c r="AE196" i="49"/>
  <c r="AE13" i="49"/>
  <c r="AE147" i="49"/>
  <c r="AE132" i="49"/>
  <c r="AE87" i="49"/>
  <c r="AE5" i="49"/>
  <c r="AE18" i="49"/>
  <c r="AE56" i="49"/>
  <c r="AE117" i="49"/>
  <c r="AE58" i="49"/>
  <c r="AE32" i="49"/>
  <c r="AE210" i="49"/>
  <c r="AE158" i="49"/>
  <c r="AE14" i="49"/>
  <c r="AE215" i="49"/>
  <c r="AE226" i="49"/>
  <c r="AE209" i="49"/>
  <c r="AE225" i="49"/>
  <c r="AE116" i="49"/>
  <c r="AE111" i="49"/>
  <c r="AE75" i="49"/>
  <c r="AE252" i="49"/>
  <c r="AE145" i="49"/>
  <c r="AE134" i="49"/>
  <c r="AE29" i="49"/>
  <c r="AE80" i="49"/>
  <c r="AE59" i="49"/>
  <c r="AE153" i="49"/>
  <c r="AE135" i="49"/>
  <c r="AE17" i="49"/>
  <c r="AE253" i="49"/>
  <c r="AE72" i="49"/>
  <c r="AE156" i="49"/>
  <c r="AE231" i="49"/>
  <c r="AE105" i="49"/>
  <c r="AE103" i="49"/>
  <c r="AE94" i="49"/>
  <c r="AE195" i="49"/>
  <c r="AE237" i="49"/>
  <c r="AE229" i="49"/>
  <c r="AE159" i="49"/>
  <c r="AE36" i="49"/>
  <c r="AE228" i="49"/>
  <c r="AE241" i="49"/>
  <c r="AE202" i="49"/>
  <c r="AE78" i="49"/>
  <c r="AE133" i="49"/>
  <c r="AE7" i="49"/>
  <c r="AE61" i="49"/>
  <c r="AE227" i="49"/>
  <c r="AE172" i="49"/>
  <c r="AE95" i="49"/>
  <c r="AE112" i="49"/>
  <c r="AE212" i="49"/>
  <c r="AE11" i="49"/>
  <c r="AE96" i="49"/>
  <c r="AE185" i="49"/>
  <c r="AE123" i="49"/>
  <c r="AE238" i="49"/>
  <c r="AE167" i="49"/>
  <c r="AE119" i="49"/>
  <c r="AE118" i="49"/>
  <c r="AE20" i="49"/>
  <c r="AE161" i="49"/>
  <c r="AE115" i="49"/>
  <c r="AE199" i="49"/>
  <c r="AE222" i="49"/>
  <c r="AE12" i="49"/>
  <c r="AE65" i="49"/>
  <c r="AE38" i="49"/>
  <c r="AE207" i="49"/>
  <c r="AE175" i="49"/>
  <c r="AE101" i="49"/>
  <c r="AE206" i="49"/>
  <c r="AE92" i="49"/>
  <c r="AE122" i="49"/>
  <c r="AE178" i="49"/>
  <c r="AE62" i="49"/>
  <c r="AE54" i="49"/>
  <c r="AE188" i="49"/>
  <c r="AE250" i="49"/>
  <c r="AE69" i="49"/>
  <c r="AE98" i="49"/>
  <c r="AE79" i="49"/>
  <c r="AE198" i="49"/>
  <c r="AE218" i="49"/>
  <c r="AE146" i="49"/>
  <c r="AE109" i="49"/>
  <c r="AE31" i="49"/>
  <c r="AE81" i="49"/>
  <c r="AE39" i="49"/>
  <c r="AE64" i="49"/>
  <c r="AE4" i="49"/>
  <c r="AE236" i="49"/>
  <c r="AE63" i="49"/>
  <c r="AE148" i="49"/>
  <c r="AE57" i="49"/>
  <c r="AE142" i="49"/>
  <c r="AE127" i="49"/>
  <c r="AE150" i="49"/>
  <c r="AE47" i="49"/>
  <c r="AE106" i="49"/>
  <c r="AE126" i="49"/>
  <c r="AE247" i="49"/>
  <c r="AE52" i="49"/>
  <c r="AE53" i="49"/>
  <c r="AE66" i="49"/>
  <c r="AE240" i="49"/>
  <c r="AE89" i="49"/>
  <c r="AE114" i="49"/>
  <c r="AE130" i="49"/>
  <c r="AE143" i="49"/>
  <c r="AE211" i="49"/>
  <c r="AE182" i="49"/>
  <c r="AE193" i="49"/>
  <c r="AE213" i="49"/>
  <c r="AE245" i="49"/>
  <c r="AE24" i="49"/>
  <c r="AE110" i="49"/>
  <c r="AE42" i="49"/>
  <c r="AE71" i="49"/>
  <c r="AE70" i="49"/>
  <c r="AE163" i="49"/>
  <c r="AE82" i="49"/>
  <c r="AE83" i="49"/>
  <c r="AE50" i="49"/>
  <c r="AE108" i="49"/>
  <c r="AE255" i="49"/>
  <c r="AE191" i="49"/>
  <c r="AE102" i="49"/>
  <c r="AE74" i="49"/>
  <c r="AE44" i="49"/>
  <c r="AE100" i="49"/>
  <c r="AE125" i="49"/>
  <c r="AE3" i="49"/>
  <c r="AE246" i="49"/>
  <c r="AE128" i="49"/>
  <c r="AE217" i="49"/>
  <c r="AE200" i="49"/>
  <c r="AE190" i="49"/>
  <c r="AE244" i="49"/>
  <c r="AE37" i="49"/>
  <c r="AE155" i="49"/>
  <c r="AE19" i="49"/>
  <c r="AE9" i="49"/>
  <c r="AE152" i="49"/>
  <c r="AE138" i="49"/>
  <c r="AE173" i="49"/>
  <c r="AE214" i="49"/>
  <c r="AE113" i="49"/>
  <c r="AE234" i="49"/>
  <c r="AE168" i="49"/>
  <c r="AE230" i="49"/>
  <c r="AE6" i="49"/>
  <c r="AE23" i="49"/>
  <c r="AE55" i="49"/>
  <c r="AE251" i="49"/>
  <c r="AE35" i="49"/>
  <c r="AE85" i="49"/>
  <c r="AE194" i="49"/>
  <c r="AE184" i="49"/>
  <c r="AE235" i="49"/>
  <c r="AE124" i="49"/>
  <c r="AE93" i="49"/>
  <c r="AE203" i="49"/>
  <c r="AE165" i="49"/>
  <c r="AE220" i="49"/>
  <c r="AE257" i="49"/>
  <c r="AE16" i="49"/>
  <c r="AE169" i="49"/>
  <c r="AE181" i="49"/>
  <c r="AE174" i="49"/>
  <c r="AE256" i="49"/>
  <c r="AE248" i="49"/>
  <c r="AE160" i="49"/>
  <c r="AE243" i="49"/>
  <c r="AE254" i="49"/>
  <c r="AE223" i="49"/>
  <c r="AE239" i="49"/>
  <c r="AE186" i="49"/>
  <c r="AE233" i="49"/>
  <c r="AE10" i="49"/>
  <c r="AE189" i="49"/>
  <c r="AE183" i="49"/>
  <c r="AE205" i="49"/>
  <c r="AE67" i="49"/>
  <c r="AE48" i="49"/>
  <c r="AE144" i="49"/>
  <c r="AE149" i="49"/>
  <c r="AE139" i="49"/>
  <c r="AE154" i="49"/>
  <c r="AE224" i="49"/>
  <c r="AE170" i="49"/>
  <c r="AE232" i="49"/>
  <c r="AE176" i="49"/>
  <c r="AE121" i="49"/>
  <c r="AE208" i="49"/>
  <c r="AE164" i="49"/>
  <c r="AE192" i="49"/>
  <c r="AE60" i="49"/>
  <c r="AE177" i="49"/>
  <c r="AE179" i="49"/>
  <c r="AE73" i="49"/>
  <c r="AE242" i="49"/>
  <c r="AE86" i="49"/>
  <c r="AE84" i="49"/>
  <c r="AE201" i="49"/>
  <c r="AE249" i="49"/>
  <c r="AE28" i="49"/>
  <c r="AE41" i="49"/>
  <c r="AE221" i="49"/>
  <c r="AE15" i="49"/>
  <c r="AE129" i="49"/>
  <c r="AE30" i="49"/>
  <c r="AE25" i="49"/>
  <c r="AE27" i="49"/>
  <c r="AE140" i="49"/>
  <c r="AE136" i="49"/>
  <c r="AE68" i="49"/>
  <c r="AE34" i="49"/>
  <c r="S4" i="49"/>
  <c r="S3" i="49"/>
  <c r="AE51" i="49"/>
  <c r="AE162" i="49"/>
  <c r="AE171" i="49"/>
  <c r="AE77" i="49"/>
  <c r="AE88" i="49"/>
  <c r="AE49" i="49"/>
  <c r="AE151" i="49"/>
  <c r="AE104" i="49"/>
  <c r="AE90" i="49"/>
  <c r="AE219" i="49"/>
  <c r="AE8" i="49"/>
  <c r="AE76" i="49"/>
  <c r="AE46" i="49"/>
  <c r="AE26" i="49"/>
  <c r="AE40" i="49"/>
  <c r="AE137" i="49"/>
  <c r="AE131" i="49"/>
  <c r="AE22" i="49"/>
  <c r="AE120" i="49"/>
  <c r="AE204" i="49"/>
  <c r="AE91" i="49"/>
  <c r="AE43" i="49"/>
  <c r="AE45" i="49"/>
  <c r="AE21" i="49"/>
  <c r="AE99" i="49"/>
  <c r="AE141" i="49"/>
  <c r="AE107" i="49"/>
  <c r="AE197" i="49"/>
  <c r="AE187" i="49"/>
  <c r="AE157" i="49"/>
  <c r="AE180" i="49"/>
  <c r="AE97" i="49"/>
  <c r="U13" i="48"/>
  <c r="S13" i="48" s="1"/>
  <c r="G19" i="35"/>
  <c r="G30" i="35"/>
  <c r="G24" i="35"/>
  <c r="G28" i="35"/>
  <c r="G13" i="35"/>
  <c r="G37" i="35"/>
  <c r="G32" i="35"/>
  <c r="G14" i="35"/>
  <c r="N1" i="40"/>
  <c r="J4" i="39"/>
  <c r="J5" i="39"/>
  <c r="J6" i="39"/>
  <c r="J7" i="39"/>
  <c r="Y9" i="39" a="1"/>
  <c r="AF40" i="49" l="1"/>
  <c r="AF68" i="49"/>
  <c r="AF135" i="49"/>
  <c r="AF134" i="49"/>
  <c r="AF71" i="49"/>
  <c r="AF54" i="49"/>
  <c r="AF87" i="49"/>
  <c r="AF257" i="49"/>
  <c r="AF81" i="49"/>
  <c r="AF215" i="49"/>
  <c r="AF236" i="49"/>
  <c r="AF20" i="49"/>
  <c r="AF73" i="49"/>
  <c r="AF249" i="49"/>
  <c r="AF239" i="49"/>
  <c r="AF232" i="49"/>
  <c r="AF220" i="49"/>
  <c r="AF130" i="49"/>
  <c r="AF160" i="49"/>
  <c r="AF231" i="49"/>
  <c r="AF82" i="49"/>
  <c r="AF185" i="49"/>
  <c r="AF24" i="49"/>
  <c r="AF179" i="49"/>
  <c r="AF149" i="49"/>
  <c r="AF240" i="49"/>
  <c r="AF117" i="49"/>
  <c r="AF48" i="49"/>
  <c r="AF90" i="49"/>
  <c r="AF255" i="49"/>
  <c r="AF80" i="49"/>
  <c r="AF58" i="49"/>
  <c r="AF21" i="49"/>
  <c r="AF131" i="49"/>
  <c r="AF195" i="49"/>
  <c r="AF243" i="49"/>
  <c r="AF203" i="49"/>
  <c r="AF161" i="49"/>
  <c r="AF138" i="49"/>
  <c r="AF180" i="49"/>
  <c r="AF247" i="49"/>
  <c r="AF168" i="49"/>
  <c r="AF198" i="49"/>
  <c r="AF27" i="49"/>
  <c r="AF209" i="49"/>
  <c r="AF250" i="49"/>
  <c r="AF7" i="49"/>
  <c r="AF105" i="49"/>
  <c r="AF13" i="49"/>
  <c r="AF126" i="49"/>
  <c r="AF148" i="49"/>
  <c r="AF95" i="49"/>
  <c r="AF31" i="49"/>
  <c r="AF184" i="49"/>
  <c r="AF139" i="49"/>
  <c r="AF43" i="49"/>
  <c r="AF33" i="49"/>
  <c r="AF83" i="49"/>
  <c r="AF47" i="49"/>
  <c r="AF37" i="49"/>
  <c r="AF59" i="49"/>
  <c r="AF122" i="49"/>
  <c r="AF212" i="49"/>
  <c r="AF183" i="49"/>
  <c r="AF36" i="49"/>
  <c r="AF226" i="49"/>
  <c r="AF109" i="49"/>
  <c r="AF85" i="49"/>
  <c r="AF228" i="49"/>
  <c r="AF204" i="49"/>
  <c r="AF67" i="49"/>
  <c r="AF137" i="49"/>
  <c r="AF256" i="49"/>
  <c r="AF86" i="49"/>
  <c r="AF11" i="49"/>
  <c r="AF177" i="49"/>
  <c r="AF115" i="49"/>
  <c r="AF151" i="49"/>
  <c r="AF96" i="49"/>
  <c r="AF164" i="49"/>
  <c r="AF166" i="49"/>
  <c r="AF112" i="49"/>
  <c r="AF45" i="49"/>
  <c r="AF182" i="49"/>
  <c r="AF170" i="49"/>
  <c r="AF8" i="49"/>
  <c r="AF10" i="49"/>
  <c r="AF9" i="49"/>
  <c r="AF50" i="49"/>
  <c r="AF78" i="49"/>
  <c r="AF173" i="49"/>
  <c r="AF238" i="49"/>
  <c r="AF6" i="49"/>
  <c r="AF254" i="49"/>
  <c r="AF143" i="49"/>
  <c r="AF189" i="49"/>
  <c r="AF94" i="49"/>
  <c r="AF172" i="49"/>
  <c r="AF244" i="49"/>
  <c r="AF192" i="49"/>
  <c r="AF98" i="49"/>
  <c r="AF103" i="49"/>
  <c r="AF108" i="49"/>
  <c r="AF34" i="49"/>
  <c r="AF217" i="49"/>
  <c r="AF118" i="49"/>
  <c r="AF186" i="49"/>
  <c r="AF56" i="49"/>
  <c r="AF145" i="49"/>
  <c r="AF42" i="49"/>
  <c r="AF28" i="49"/>
  <c r="AF188" i="49"/>
  <c r="AF156" i="49"/>
  <c r="AF165" i="49"/>
  <c r="AF150" i="49"/>
  <c r="AF167" i="49"/>
  <c r="AF63" i="49"/>
  <c r="AF235" i="49"/>
  <c r="AF74" i="49"/>
  <c r="AF38" i="49"/>
  <c r="AF221" i="49"/>
  <c r="AF223" i="49"/>
  <c r="AF153" i="49"/>
  <c r="AF53" i="49"/>
  <c r="AF60" i="49"/>
  <c r="AF141" i="49"/>
  <c r="AF201" i="49"/>
  <c r="AF92" i="49"/>
  <c r="AF191" i="49"/>
  <c r="AF62" i="49"/>
  <c r="AF116" i="49"/>
  <c r="AF197" i="49"/>
  <c r="AF121" i="49"/>
  <c r="AF163" i="49"/>
  <c r="AF4" i="49"/>
  <c r="AF208" i="49"/>
  <c r="AF200" i="49"/>
  <c r="AF30" i="49"/>
  <c r="AF99" i="49"/>
  <c r="AF89" i="49"/>
  <c r="AF51" i="49"/>
  <c r="AF107" i="49"/>
  <c r="AF194" i="49"/>
  <c r="AF46" i="49"/>
  <c r="AF113" i="49"/>
  <c r="AF207" i="49"/>
  <c r="AF205" i="49"/>
  <c r="AF157" i="49"/>
  <c r="AF106" i="49"/>
  <c r="AF72" i="49"/>
  <c r="AF18" i="49"/>
  <c r="AF175" i="49"/>
  <c r="AF61" i="49"/>
  <c r="AF210" i="49"/>
  <c r="AF17" i="49"/>
  <c r="AF111" i="49"/>
  <c r="AF55" i="49"/>
  <c r="AF75" i="49"/>
  <c r="AF93" i="49"/>
  <c r="AF70" i="49"/>
  <c r="AF169" i="49"/>
  <c r="AF66" i="49"/>
  <c r="AF110" i="49"/>
  <c r="AF64" i="49"/>
  <c r="AF132" i="49"/>
  <c r="AF77" i="49"/>
  <c r="AF146" i="49"/>
  <c r="AF159" i="49"/>
  <c r="AF211" i="49"/>
  <c r="AF199" i="49"/>
  <c r="AF242" i="49"/>
  <c r="AF123" i="49"/>
  <c r="AF52" i="49"/>
  <c r="AF252" i="49"/>
  <c r="AF84" i="49"/>
  <c r="AF245" i="49"/>
  <c r="AF155" i="49"/>
  <c r="AF162" i="49"/>
  <c r="AF129" i="49"/>
  <c r="AF246" i="49"/>
  <c r="AF100" i="49"/>
  <c r="AF125" i="49"/>
  <c r="AF140" i="49"/>
  <c r="AF12" i="49"/>
  <c r="AF128" i="49"/>
  <c r="AF49" i="49"/>
  <c r="AF202" i="49"/>
  <c r="AF5" i="49"/>
  <c r="AF227" i="49"/>
  <c r="AF119" i="49"/>
  <c r="AF144" i="49"/>
  <c r="AF196" i="49"/>
  <c r="AF15" i="49"/>
  <c r="AF230" i="49"/>
  <c r="AF19" i="49"/>
  <c r="AF251" i="49"/>
  <c r="AF218" i="49"/>
  <c r="AF23" i="49"/>
  <c r="AF248" i="49"/>
  <c r="AF181" i="49"/>
  <c r="AF216" i="49"/>
  <c r="AF114" i="49"/>
  <c r="AF229" i="49"/>
  <c r="AF120" i="49"/>
  <c r="AF44" i="49"/>
  <c r="AF174" i="49"/>
  <c r="AF190" i="49"/>
  <c r="AF213" i="49"/>
  <c r="AF26" i="49"/>
  <c r="AF102" i="49"/>
  <c r="AF193" i="49"/>
  <c r="AF88" i="49"/>
  <c r="AF178" i="49"/>
  <c r="AF16" i="49"/>
  <c r="AF104" i="49"/>
  <c r="AF97" i="49"/>
  <c r="AF152" i="49"/>
  <c r="AF22" i="49"/>
  <c r="AF233" i="49"/>
  <c r="AF154" i="49"/>
  <c r="AF224" i="49"/>
  <c r="AF41" i="49"/>
  <c r="AF101" i="49"/>
  <c r="AF225" i="49"/>
  <c r="AF3" i="49"/>
  <c r="AF219" i="49"/>
  <c r="AF133" i="49"/>
  <c r="AF241" i="49"/>
  <c r="AF65" i="49"/>
  <c r="AF142" i="49"/>
  <c r="AF127" i="49"/>
  <c r="AF76" i="49"/>
  <c r="AF237" i="49"/>
  <c r="AF39" i="49"/>
  <c r="AF124" i="49"/>
  <c r="AF222" i="49"/>
  <c r="AF158" i="49"/>
  <c r="AF91" i="49"/>
  <c r="AF206" i="49"/>
  <c r="AF79" i="49"/>
  <c r="AF29" i="49"/>
  <c r="AF32" i="49"/>
  <c r="AF25" i="49"/>
  <c r="AF253" i="49"/>
  <c r="AF57" i="49"/>
  <c r="AF136" i="49"/>
  <c r="AF214" i="49"/>
  <c r="AF176" i="49"/>
  <c r="AF14" i="49"/>
  <c r="AF69" i="49"/>
  <c r="AF171" i="49"/>
  <c r="AF234" i="49"/>
  <c r="AF35" i="49"/>
  <c r="AF187" i="49"/>
  <c r="AF147" i="49"/>
  <c r="AD16" i="48"/>
  <c r="AD19" i="48"/>
  <c r="AD3" i="48"/>
  <c r="AD9" i="48"/>
  <c r="AD11" i="48"/>
  <c r="AD10" i="48"/>
  <c r="AD13" i="48"/>
  <c r="AD17" i="48"/>
  <c r="AD5" i="48"/>
  <c r="AD4" i="48"/>
  <c r="AD25" i="48"/>
  <c r="AD26" i="48"/>
  <c r="AD7" i="48"/>
  <c r="AD22" i="48"/>
  <c r="AD6" i="48"/>
  <c r="AD20" i="48"/>
  <c r="AD18" i="48"/>
  <c r="AD8" i="48"/>
  <c r="AD15" i="48"/>
  <c r="AD21" i="48"/>
  <c r="AD14" i="48"/>
  <c r="AD23" i="48"/>
  <c r="AD12" i="48"/>
  <c r="AD24" i="48"/>
  <c r="Y10" i="39"/>
  <c r="Y9" i="39"/>
  <c r="G21" i="35"/>
  <c r="Y3" i="39" a="1"/>
  <c r="W9" i="39" l="1" a="1"/>
  <c r="W10" i="39" s="1"/>
  <c r="Y3" i="39"/>
  <c r="Y5" i="39"/>
  <c r="Y4" i="39"/>
  <c r="G17" i="35"/>
  <c r="U26" i="40"/>
  <c r="W9" i="39" l="1"/>
  <c r="AI125" i="39" s="1"/>
  <c r="W3" i="39" a="1"/>
  <c r="W3" i="39" s="1"/>
  <c r="Y26" i="40"/>
  <c r="U22" i="40"/>
  <c r="AI21" i="39" l="1"/>
  <c r="AI104" i="39"/>
  <c r="AI80" i="39"/>
  <c r="AI108" i="39"/>
  <c r="AI22" i="39"/>
  <c r="AI97" i="39"/>
  <c r="AI93" i="39"/>
  <c r="AI27" i="39"/>
  <c r="AI40" i="39"/>
  <c r="AI5" i="39"/>
  <c r="AI46" i="39"/>
  <c r="AI91" i="39"/>
  <c r="AI53" i="39"/>
  <c r="AI52" i="39"/>
  <c r="AI47" i="39"/>
  <c r="AI56" i="39"/>
  <c r="AI116" i="39"/>
  <c r="AI17" i="39"/>
  <c r="AI61" i="39"/>
  <c r="AI87" i="39"/>
  <c r="AI129" i="39"/>
  <c r="AI85" i="39"/>
  <c r="AI88" i="39"/>
  <c r="AI60" i="39"/>
  <c r="AI55" i="39"/>
  <c r="AI113" i="39"/>
  <c r="AI36" i="39"/>
  <c r="AI95" i="39"/>
  <c r="AI3" i="39"/>
  <c r="AI25" i="39"/>
  <c r="AI103" i="39"/>
  <c r="AI8" i="39"/>
  <c r="AI20" i="39"/>
  <c r="AI112" i="39"/>
  <c r="AI117" i="39"/>
  <c r="AI83" i="39"/>
  <c r="AI70" i="39"/>
  <c r="AI63" i="39"/>
  <c r="AI118" i="39"/>
  <c r="AI62" i="39"/>
  <c r="AI41" i="39"/>
  <c r="AI42" i="39"/>
  <c r="AI51" i="39"/>
  <c r="AI121" i="39"/>
  <c r="AI81" i="39"/>
  <c r="AI26" i="39"/>
  <c r="AI14" i="39"/>
  <c r="AI35" i="39"/>
  <c r="AI119" i="39"/>
  <c r="AI68" i="39"/>
  <c r="AI124" i="39"/>
  <c r="AI115" i="39"/>
  <c r="AI102" i="39"/>
  <c r="AI92" i="39"/>
  <c r="AI77" i="39"/>
  <c r="AI75" i="39"/>
  <c r="AI99" i="39"/>
  <c r="AI43" i="39"/>
  <c r="AI50" i="39"/>
  <c r="AI105" i="39"/>
  <c r="AI90" i="39"/>
  <c r="AI64" i="39"/>
  <c r="AI98" i="39"/>
  <c r="AI19" i="39"/>
  <c r="AI126" i="39"/>
  <c r="AI73" i="39"/>
  <c r="AI16" i="39"/>
  <c r="AI24" i="39"/>
  <c r="AI31" i="39"/>
  <c r="AI114" i="39"/>
  <c r="AI100" i="39"/>
  <c r="AI127" i="39"/>
  <c r="AI11" i="39"/>
  <c r="AI65" i="39"/>
  <c r="AI109" i="39"/>
  <c r="AI58" i="39"/>
  <c r="AI76" i="39"/>
  <c r="AI38" i="39"/>
  <c r="AI72" i="39"/>
  <c r="AI4" i="39"/>
  <c r="AI79" i="39"/>
  <c r="AI34" i="39"/>
  <c r="AI94" i="39"/>
  <c r="AI74" i="39"/>
  <c r="AI37" i="39"/>
  <c r="AI29" i="39"/>
  <c r="AI123" i="39"/>
  <c r="AI89" i="39"/>
  <c r="AI107" i="39"/>
  <c r="AI86" i="39"/>
  <c r="AI33" i="39"/>
  <c r="AI111" i="39"/>
  <c r="AI66" i="39"/>
  <c r="AI131" i="39"/>
  <c r="AI54" i="39"/>
  <c r="AI9" i="39"/>
  <c r="AI122" i="39"/>
  <c r="AI6" i="39"/>
  <c r="AI96" i="39"/>
  <c r="AI18" i="39"/>
  <c r="AI15" i="39"/>
  <c r="AI48" i="39"/>
  <c r="AI132" i="39"/>
  <c r="AI57" i="39"/>
  <c r="AI7" i="39"/>
  <c r="AI12" i="39"/>
  <c r="AI10" i="39"/>
  <c r="AI101" i="39"/>
  <c r="AI32" i="39"/>
  <c r="AI71" i="39"/>
  <c r="AI110" i="39"/>
  <c r="AI82" i="39"/>
  <c r="AI49" i="39"/>
  <c r="AI128" i="39"/>
  <c r="AI120" i="39"/>
  <c r="AI28" i="39"/>
  <c r="AI130" i="39"/>
  <c r="AI45" i="39"/>
  <c r="AI67" i="39"/>
  <c r="AI106" i="39"/>
  <c r="AI44" i="39"/>
  <c r="AI84" i="39"/>
  <c r="AI78" i="39"/>
  <c r="AI30" i="39"/>
  <c r="AI69" i="39"/>
  <c r="AI39" i="39"/>
  <c r="AI59" i="39"/>
  <c r="W5" i="39"/>
  <c r="W4" i="39"/>
  <c r="AI13" i="39"/>
  <c r="AI23" i="39"/>
  <c r="Y22" i="40"/>
  <c r="U216" i="40"/>
  <c r="AJ9" i="39" l="1"/>
  <c r="AJ31" i="39"/>
  <c r="AJ97" i="39"/>
  <c r="AJ89" i="39"/>
  <c r="AJ88" i="39"/>
  <c r="AJ108" i="39"/>
  <c r="AJ38" i="39"/>
  <c r="AJ91" i="39"/>
  <c r="AJ28" i="39"/>
  <c r="AJ100" i="39"/>
  <c r="AJ46" i="39"/>
  <c r="AJ132" i="39"/>
  <c r="AJ61" i="39"/>
  <c r="AJ112" i="39"/>
  <c r="AJ35" i="39"/>
  <c r="AJ93" i="39"/>
  <c r="AJ122" i="39"/>
  <c r="AJ75" i="39"/>
  <c r="AJ21" i="39"/>
  <c r="AJ34" i="39"/>
  <c r="AJ57" i="39"/>
  <c r="AJ69" i="39"/>
  <c r="AJ74" i="39"/>
  <c r="AJ115" i="39"/>
  <c r="AJ48" i="39"/>
  <c r="AJ56" i="39"/>
  <c r="AJ44" i="39"/>
  <c r="AJ29" i="39"/>
  <c r="AJ17" i="39"/>
  <c r="AJ22" i="39"/>
  <c r="AJ20" i="39"/>
  <c r="AJ65" i="39"/>
  <c r="AJ102" i="39"/>
  <c r="AJ41" i="39"/>
  <c r="AJ52" i="39"/>
  <c r="AJ127" i="39"/>
  <c r="AJ96" i="39"/>
  <c r="AJ80" i="39"/>
  <c r="AJ24" i="39"/>
  <c r="AJ19" i="39"/>
  <c r="AJ51" i="39"/>
  <c r="AJ95" i="39"/>
  <c r="AJ85" i="39"/>
  <c r="AJ90" i="39"/>
  <c r="AJ106" i="39"/>
  <c r="AJ94" i="39"/>
  <c r="AJ55" i="39"/>
  <c r="AJ40" i="39"/>
  <c r="AJ72" i="39"/>
  <c r="AJ49" i="39"/>
  <c r="AJ62" i="39"/>
  <c r="AJ68" i="39"/>
  <c r="AJ79" i="39"/>
  <c r="AJ105" i="39"/>
  <c r="AJ131" i="39"/>
  <c r="AJ126" i="39"/>
  <c r="AJ67" i="39"/>
  <c r="AJ32" i="39"/>
  <c r="AJ124" i="39"/>
  <c r="AJ43" i="39"/>
  <c r="AJ130" i="39"/>
  <c r="AJ47" i="39"/>
  <c r="AJ8" i="39"/>
  <c r="AJ4" i="39"/>
  <c r="AJ33" i="39"/>
  <c r="AJ86" i="39"/>
  <c r="AJ101" i="39"/>
  <c r="AJ117" i="39"/>
  <c r="AJ83" i="39"/>
  <c r="AJ128" i="39"/>
  <c r="AJ71" i="39"/>
  <c r="AJ14" i="39"/>
  <c r="AJ36" i="39"/>
  <c r="AJ119" i="39"/>
  <c r="AJ10" i="39"/>
  <c r="AJ109" i="39"/>
  <c r="AJ78" i="39"/>
  <c r="AJ53" i="39"/>
  <c r="AJ58" i="39"/>
  <c r="AJ60" i="39"/>
  <c r="AJ92" i="39"/>
  <c r="AJ54" i="39"/>
  <c r="AJ120" i="39"/>
  <c r="AJ110" i="39"/>
  <c r="AJ45" i="39"/>
  <c r="AJ6" i="39"/>
  <c r="AJ64" i="39"/>
  <c r="AJ82" i="39"/>
  <c r="AJ76" i="39"/>
  <c r="AJ116" i="39"/>
  <c r="AJ42" i="39"/>
  <c r="AJ13" i="39"/>
  <c r="AJ77" i="39"/>
  <c r="AJ104" i="39"/>
  <c r="AJ125" i="39"/>
  <c r="AJ70" i="39"/>
  <c r="AJ16" i="39"/>
  <c r="AJ129" i="39"/>
  <c r="AJ63" i="39"/>
  <c r="AJ81" i="39"/>
  <c r="AJ12" i="39"/>
  <c r="AJ50" i="39"/>
  <c r="AJ30" i="39"/>
  <c r="AJ66" i="39"/>
  <c r="AJ99" i="39"/>
  <c r="AJ5" i="39"/>
  <c r="AJ7" i="39"/>
  <c r="AJ73" i="39"/>
  <c r="AJ113" i="39"/>
  <c r="AJ26" i="39"/>
  <c r="AJ39" i="39"/>
  <c r="AJ25" i="39"/>
  <c r="AJ15" i="39"/>
  <c r="AJ18" i="39"/>
  <c r="AJ27" i="39"/>
  <c r="AJ98" i="39"/>
  <c r="AJ87" i="39"/>
  <c r="AJ84" i="39"/>
  <c r="AJ3" i="39"/>
  <c r="AJ107" i="39"/>
  <c r="AJ37" i="39"/>
  <c r="AJ121" i="39"/>
  <c r="AJ103" i="39"/>
  <c r="AJ111" i="39"/>
  <c r="AJ118" i="39"/>
  <c r="AJ114" i="39"/>
  <c r="AJ59" i="39"/>
  <c r="AJ23" i="39"/>
  <c r="AJ11" i="39"/>
  <c r="AJ123" i="39"/>
  <c r="Y216" i="40"/>
  <c r="U125" i="40"/>
  <c r="Y125" i="40"/>
  <c r="U44" i="40"/>
  <c r="Y44" i="40"/>
  <c r="U236" i="40"/>
  <c r="Y236" i="40"/>
  <c r="U95" i="40"/>
  <c r="Y95" i="40"/>
  <c r="U28" i="40"/>
  <c r="Y28" i="40"/>
  <c r="U11" i="40"/>
  <c r="Y11" i="40"/>
  <c r="U149" i="40"/>
  <c r="Y149" i="40"/>
  <c r="U15" i="40"/>
  <c r="Y15" i="40"/>
  <c r="U181" i="40"/>
  <c r="Y181" i="40"/>
  <c r="U115" i="40"/>
  <c r="Y115" i="40"/>
  <c r="U196" i="40"/>
  <c r="Y196" i="40"/>
  <c r="N9" i="40"/>
  <c r="U57" i="40"/>
  <c r="Y57" i="40"/>
  <c r="N18" i="40"/>
  <c r="U54" i="40"/>
  <c r="Y54" i="40"/>
  <c r="U144" i="40"/>
  <c r="Y144" i="40"/>
  <c r="U171" i="40"/>
  <c r="Y171" i="40"/>
  <c r="U190" i="40"/>
  <c r="Y190" i="40"/>
  <c r="U229" i="40"/>
  <c r="Y229" i="40"/>
  <c r="N12" i="40"/>
  <c r="U154" i="40"/>
  <c r="Y154" i="40"/>
  <c r="U233" i="40"/>
  <c r="Y233" i="40"/>
  <c r="U117" i="40"/>
  <c r="Y117" i="40"/>
  <c r="U138" i="40"/>
  <c r="Y138" i="40"/>
  <c r="U262" i="40"/>
  <c r="Y262" i="40"/>
  <c r="U166" i="40"/>
  <c r="Y166" i="40"/>
  <c r="U182" i="40"/>
  <c r="Y182" i="40"/>
  <c r="U129" i="40"/>
  <c r="Y129" i="40"/>
  <c r="U254" i="40"/>
  <c r="Y254" i="40"/>
  <c r="U221" i="40"/>
  <c r="Y221" i="40"/>
  <c r="U218" i="40"/>
  <c r="Y218" i="40"/>
  <c r="N15" i="40"/>
  <c r="N13" i="40"/>
  <c r="U150" i="40"/>
  <c r="Y150" i="40"/>
  <c r="U19" i="40"/>
  <c r="Y19" i="40"/>
  <c r="U240" i="40"/>
  <c r="Y240" i="40"/>
  <c r="U172" i="40"/>
  <c r="Y172" i="40"/>
  <c r="U134" i="40"/>
  <c r="Y134" i="40"/>
  <c r="N14" i="40"/>
  <c r="U36" i="40"/>
  <c r="Y36" i="40"/>
  <c r="U185" i="40"/>
  <c r="Y185" i="40"/>
  <c r="U70" i="40"/>
  <c r="Y70" i="40"/>
  <c r="U192" i="40"/>
  <c r="Y192" i="40"/>
  <c r="U195" i="40"/>
  <c r="Y195" i="40"/>
  <c r="U114" i="40"/>
  <c r="Y114" i="40"/>
  <c r="U260" i="40"/>
  <c r="Y260" i="40"/>
  <c r="U7" i="40"/>
  <c r="Y7" i="40"/>
  <c r="U146" i="40"/>
  <c r="Y146" i="40"/>
  <c r="U238" i="40"/>
  <c r="Y238" i="40"/>
  <c r="U143" i="40"/>
  <c r="Y143" i="40"/>
  <c r="U124" i="40"/>
  <c r="Y124" i="40"/>
  <c r="U241" i="40"/>
  <c r="Y241" i="40"/>
  <c r="U56" i="40"/>
  <c r="Y56" i="40"/>
  <c r="U12" i="40"/>
  <c r="Y12" i="40"/>
  <c r="U227" i="40"/>
  <c r="Y227" i="40"/>
  <c r="U79" i="40"/>
  <c r="Y79" i="40"/>
  <c r="U63" i="40"/>
  <c r="Y63" i="40"/>
  <c r="U103" i="40"/>
  <c r="Y103" i="40"/>
  <c r="U252" i="40"/>
  <c r="Y252" i="40"/>
  <c r="U177" i="40"/>
  <c r="Y177" i="40"/>
  <c r="U176" i="40"/>
  <c r="Y176" i="40"/>
  <c r="U245" i="40"/>
  <c r="Y245" i="40"/>
  <c r="U93" i="40"/>
  <c r="Y93" i="40"/>
  <c r="U253" i="40"/>
  <c r="Y253" i="40"/>
  <c r="U68" i="40"/>
  <c r="Y68" i="40"/>
  <c r="U107" i="40"/>
  <c r="Y107" i="40"/>
  <c r="U199" i="40"/>
  <c r="Y199" i="40"/>
  <c r="U112" i="40"/>
  <c r="Y112" i="40"/>
  <c r="U162" i="40"/>
  <c r="Y162" i="40"/>
  <c r="U83" i="40"/>
  <c r="Y83" i="40"/>
  <c r="U141" i="40"/>
  <c r="Y141" i="40"/>
  <c r="U201" i="40"/>
  <c r="Y201" i="40"/>
  <c r="N8" i="40"/>
  <c r="U237" i="40"/>
  <c r="Y237" i="40"/>
  <c r="U94" i="40"/>
  <c r="Y94" i="40"/>
  <c r="U33" i="40"/>
  <c r="Y33" i="40"/>
  <c r="U188" i="40"/>
  <c r="Y188" i="40"/>
  <c r="U167" i="40"/>
  <c r="Y167" i="40"/>
  <c r="U178" i="40"/>
  <c r="Y178" i="40"/>
  <c r="U193" i="40"/>
  <c r="Y193" i="40"/>
  <c r="U247" i="40"/>
  <c r="Y247" i="40"/>
  <c r="U16" i="40"/>
  <c r="Y16" i="40"/>
  <c r="U214" i="40"/>
  <c r="Y214" i="40"/>
  <c r="U67" i="40"/>
  <c r="Y67" i="40"/>
  <c r="U215" i="40"/>
  <c r="Y215" i="40"/>
  <c r="U168" i="40"/>
  <c r="Y168" i="40"/>
  <c r="U255" i="40"/>
  <c r="Y255" i="40"/>
  <c r="U52" i="40"/>
  <c r="Y52" i="40"/>
  <c r="N7" i="40"/>
  <c r="U158" i="40"/>
  <c r="Y158" i="40"/>
  <c r="U34" i="40"/>
  <c r="Y34" i="40"/>
  <c r="U86" i="40"/>
  <c r="Y86" i="40"/>
  <c r="U212" i="40"/>
  <c r="Y212" i="40"/>
  <c r="U261" i="40"/>
  <c r="Y261" i="40"/>
  <c r="U170" i="40"/>
  <c r="Y170" i="40"/>
  <c r="U187" i="40"/>
  <c r="Y187" i="40"/>
  <c r="U242" i="40"/>
  <c r="Y242" i="40"/>
  <c r="U104" i="40"/>
  <c r="Y104" i="40"/>
  <c r="U120" i="40"/>
  <c r="Y120" i="40"/>
  <c r="U231" i="40"/>
  <c r="Y231" i="40"/>
  <c r="U203" i="40"/>
  <c r="Y203" i="40"/>
  <c r="U50" i="40"/>
  <c r="Y50" i="40"/>
  <c r="U49" i="40"/>
  <c r="Y49" i="40"/>
  <c r="U9" i="40"/>
  <c r="Y9" i="40"/>
  <c r="U217" i="40"/>
  <c r="Y217" i="40"/>
  <c r="U60" i="40"/>
  <c r="Y60" i="40"/>
  <c r="U251" i="40"/>
  <c r="Y251" i="40"/>
  <c r="U244" i="40"/>
  <c r="Y244" i="40"/>
  <c r="U75" i="40"/>
  <c r="Y75" i="40"/>
  <c r="U191" i="40"/>
  <c r="Y191" i="40"/>
  <c r="U84" i="40"/>
  <c r="Y84" i="40"/>
  <c r="U156" i="40"/>
  <c r="Y156" i="40"/>
  <c r="N4" i="40"/>
  <c r="N5" i="40"/>
  <c r="U119" i="40"/>
  <c r="Y119" i="40"/>
  <c r="U126" i="40"/>
  <c r="Y126" i="40"/>
  <c r="U92" i="40"/>
  <c r="Y92" i="40"/>
  <c r="U220" i="40"/>
  <c r="Y220" i="40"/>
  <c r="U71" i="40"/>
  <c r="Y71" i="40"/>
  <c r="U248" i="40"/>
  <c r="Y248" i="40"/>
  <c r="U109" i="40"/>
  <c r="Y109" i="40"/>
  <c r="U133" i="40"/>
  <c r="Y133" i="40"/>
  <c r="U108" i="40"/>
  <c r="Y108" i="40"/>
  <c r="N22" i="40"/>
  <c r="U205" i="40"/>
  <c r="Y205" i="40"/>
  <c r="U159" i="40"/>
  <c r="Y159" i="40"/>
  <c r="U122" i="40"/>
  <c r="Y122" i="40"/>
  <c r="U226" i="40"/>
  <c r="Y226" i="40"/>
  <c r="U258" i="40"/>
  <c r="Y258" i="40"/>
  <c r="N21" i="40"/>
  <c r="U73" i="40"/>
  <c r="Y73" i="40"/>
  <c r="U234" i="40"/>
  <c r="Y234" i="40"/>
  <c r="U194" i="40"/>
  <c r="Y194" i="40"/>
  <c r="U169" i="40"/>
  <c r="Y169" i="40"/>
  <c r="U88" i="40"/>
  <c r="Y88" i="40"/>
  <c r="U183" i="40"/>
  <c r="Y183" i="40"/>
  <c r="U175" i="40"/>
  <c r="Y175" i="40"/>
  <c r="U65" i="40"/>
  <c r="Y65" i="40"/>
  <c r="U259" i="40"/>
  <c r="Y259" i="40"/>
  <c r="U145" i="40"/>
  <c r="Y145" i="40"/>
  <c r="U74" i="40"/>
  <c r="Y74" i="40"/>
  <c r="U139" i="40"/>
  <c r="Y139" i="40"/>
  <c r="U163" i="40"/>
  <c r="Y163" i="40"/>
  <c r="U131" i="40"/>
  <c r="Y131" i="40"/>
  <c r="U174" i="40"/>
  <c r="Y174" i="40"/>
  <c r="U249" i="40"/>
  <c r="Y249" i="40"/>
  <c r="U161" i="40"/>
  <c r="Y161" i="40"/>
  <c r="U208" i="40"/>
  <c r="Y208" i="40"/>
  <c r="U61" i="40"/>
  <c r="Y61" i="40"/>
  <c r="U228" i="40"/>
  <c r="Y228" i="40"/>
  <c r="U123" i="40"/>
  <c r="Y123" i="40"/>
  <c r="U239" i="40"/>
  <c r="Y239" i="40"/>
  <c r="N20" i="40"/>
  <c r="U98" i="40"/>
  <c r="Y98" i="40"/>
  <c r="U30" i="40"/>
  <c r="Y30" i="40"/>
  <c r="U91" i="40"/>
  <c r="Y91" i="40"/>
  <c r="U106" i="40"/>
  <c r="Y106" i="40"/>
  <c r="U243" i="40"/>
  <c r="Y243" i="40"/>
  <c r="U165" i="40"/>
  <c r="Y165" i="40"/>
  <c r="U76" i="40"/>
  <c r="Y76" i="40"/>
  <c r="U58" i="40"/>
  <c r="Y58" i="40"/>
  <c r="U210" i="40"/>
  <c r="Y210" i="40"/>
  <c r="U246" i="40"/>
  <c r="Y246" i="40"/>
  <c r="U186" i="40"/>
  <c r="Y186" i="40"/>
  <c r="N11" i="40"/>
  <c r="U256" i="40"/>
  <c r="Y256" i="40"/>
  <c r="U42" i="40"/>
  <c r="Y42" i="40"/>
  <c r="U4" i="40"/>
  <c r="Y4" i="40"/>
  <c r="U90" i="40"/>
  <c r="Y90" i="40"/>
  <c r="N17" i="40"/>
  <c r="U173" i="40"/>
  <c r="Y173" i="40"/>
  <c r="U77" i="40"/>
  <c r="Y77" i="40"/>
  <c r="U53" i="40"/>
  <c r="Y53" i="40"/>
  <c r="N16" i="40"/>
  <c r="U51" i="40"/>
  <c r="Y51" i="40"/>
  <c r="U82" i="40"/>
  <c r="Y82" i="40"/>
  <c r="U97" i="40"/>
  <c r="Y97" i="40"/>
  <c r="N10" i="40"/>
  <c r="U78" i="40"/>
  <c r="Y78" i="40"/>
  <c r="U164" i="40"/>
  <c r="Y164" i="40"/>
  <c r="U87" i="40"/>
  <c r="Y87" i="40"/>
  <c r="U45" i="40"/>
  <c r="Y45" i="40"/>
  <c r="U250" i="40"/>
  <c r="Y250" i="40"/>
  <c r="U99" i="40"/>
  <c r="Y99" i="40"/>
  <c r="U184" i="40"/>
  <c r="Y184" i="40"/>
  <c r="U232" i="40"/>
  <c r="Y232" i="40"/>
  <c r="U23" i="40"/>
  <c r="Y23" i="40"/>
  <c r="U24" i="40"/>
  <c r="Y24" i="40"/>
  <c r="U140" i="40"/>
  <c r="Y140" i="40"/>
  <c r="U8" i="40"/>
  <c r="Y8" i="40"/>
  <c r="U72" i="40"/>
  <c r="Y72" i="40"/>
  <c r="U155" i="40"/>
  <c r="Y155" i="40"/>
  <c r="U121" i="40"/>
  <c r="Y121" i="40"/>
  <c r="U224" i="40"/>
  <c r="Y224" i="40"/>
  <c r="U85" i="40"/>
  <c r="Y85" i="40"/>
  <c r="U127" i="40"/>
  <c r="Y127" i="40"/>
  <c r="U62" i="40"/>
  <c r="Y62" i="40"/>
  <c r="U136" i="40"/>
  <c r="Y136" i="40"/>
  <c r="U101" i="40"/>
  <c r="Y101" i="40"/>
  <c r="U29" i="40"/>
  <c r="Y29" i="40"/>
  <c r="U3" i="40"/>
  <c r="Y3" i="40"/>
  <c r="U69" i="40"/>
  <c r="Y69" i="40"/>
  <c r="U43" i="40"/>
  <c r="Y43" i="40"/>
  <c r="U223" i="40"/>
  <c r="Y223" i="40"/>
  <c r="U180" i="40"/>
  <c r="Y180" i="40"/>
  <c r="U153" i="40"/>
  <c r="Y153" i="40"/>
  <c r="U14" i="40"/>
  <c r="Y14" i="40"/>
  <c r="U41" i="40"/>
  <c r="Y41" i="40"/>
  <c r="U116" i="40"/>
  <c r="Y116" i="40"/>
  <c r="U59" i="40"/>
  <c r="Y59" i="40"/>
  <c r="U110" i="40"/>
  <c r="Y110" i="40"/>
  <c r="U204" i="40"/>
  <c r="Y204" i="40"/>
  <c r="U118" i="40"/>
  <c r="Y118" i="40"/>
  <c r="U47" i="40"/>
  <c r="Y47" i="40"/>
  <c r="U105" i="40"/>
  <c r="Y105" i="40"/>
  <c r="U130" i="40"/>
  <c r="Y130" i="40"/>
  <c r="U35" i="40"/>
  <c r="Y35" i="40"/>
  <c r="U257" i="40"/>
  <c r="Y257" i="40"/>
  <c r="U179" i="40"/>
  <c r="Y179" i="40"/>
  <c r="N6" i="40"/>
  <c r="U6" i="40"/>
  <c r="Y6" i="40"/>
  <c r="U157" i="40"/>
  <c r="Y157" i="40"/>
  <c r="U230" i="40"/>
  <c r="Y230" i="40"/>
  <c r="U225" i="40"/>
  <c r="Y225" i="40"/>
  <c r="U147" i="40"/>
  <c r="Y147" i="40"/>
  <c r="U198" i="40"/>
  <c r="Y198" i="40"/>
  <c r="U151" i="40"/>
  <c r="Y151" i="40"/>
  <c r="U20" i="40"/>
  <c r="Y20" i="40"/>
  <c r="U25" i="40"/>
  <c r="Y25" i="40"/>
  <c r="N19" i="40"/>
  <c r="U5" i="40"/>
  <c r="Y5" i="40"/>
  <c r="G42" i="35"/>
  <c r="U9" i="48" a="1"/>
  <c r="U10" i="48"/>
  <c r="U9" i="48"/>
  <c r="S9" i="48" a="1"/>
  <c r="S9" i="48" s="1"/>
  <c r="U152" i="40"/>
  <c r="S10" i="48" l="1"/>
  <c r="Y152" i="40"/>
  <c r="G27" i="35"/>
  <c r="U31" i="40"/>
  <c r="AE12" i="48" l="1"/>
  <c r="AE6" i="48"/>
  <c r="AE15" i="48"/>
  <c r="AE24" i="48"/>
  <c r="AE11" i="48"/>
  <c r="AE17" i="48"/>
  <c r="AE3" i="48"/>
  <c r="AE5" i="48"/>
  <c r="AE4" i="48"/>
  <c r="AE9" i="48"/>
  <c r="AE19" i="48"/>
  <c r="AE22" i="48"/>
  <c r="AE25" i="48"/>
  <c r="AE7" i="48"/>
  <c r="AE13" i="48"/>
  <c r="AE16" i="48"/>
  <c r="AE26" i="48"/>
  <c r="AE23" i="48"/>
  <c r="AE21" i="48"/>
  <c r="AE18" i="48"/>
  <c r="AE8" i="48"/>
  <c r="AE20" i="48"/>
  <c r="AE14" i="48"/>
  <c r="AE10" i="48"/>
  <c r="Y31" i="40"/>
  <c r="U219" i="40"/>
  <c r="Y219" i="40"/>
  <c r="U235" i="40"/>
  <c r="Y235" i="40"/>
  <c r="U17" i="40"/>
  <c r="Y17" i="40"/>
  <c r="U142" i="40"/>
  <c r="Y142" i="40"/>
  <c r="U40" i="40"/>
  <c r="Y40" i="40"/>
  <c r="G11" i="35"/>
  <c r="U39" i="40"/>
  <c r="Y39" i="40"/>
  <c r="U202" i="40"/>
  <c r="Y202" i="40"/>
  <c r="U64" i="40"/>
  <c r="Y64" i="40"/>
  <c r="U81" i="40"/>
  <c r="Y81" i="40"/>
  <c r="U46" i="40"/>
  <c r="Y46" i="40"/>
  <c r="U10" i="40"/>
  <c r="Y10" i="40"/>
  <c r="G25" i="35"/>
  <c r="G7" i="35"/>
  <c r="U13" i="40"/>
  <c r="Y13" i="40"/>
  <c r="U207" i="40"/>
  <c r="Y207" i="40"/>
  <c r="U206" i="40"/>
  <c r="Y206" i="40"/>
  <c r="U100" i="40"/>
  <c r="Y100" i="40"/>
  <c r="U222" i="40"/>
  <c r="Y222" i="40"/>
  <c r="G9" i="35"/>
  <c r="U160" i="40"/>
  <c r="Y160" i="40"/>
  <c r="U135" i="40"/>
  <c r="Y135" i="40"/>
  <c r="U48" i="40"/>
  <c r="Y48" i="40"/>
  <c r="G10" i="35"/>
  <c r="U213" i="40"/>
  <c r="Y213" i="40"/>
  <c r="U189" i="40"/>
  <c r="Y189" i="40"/>
  <c r="U89" i="40"/>
  <c r="Y89" i="40"/>
  <c r="U111" i="40"/>
  <c r="Y111" i="40"/>
  <c r="U102" i="40"/>
  <c r="Y102" i="40"/>
  <c r="U113" i="40"/>
  <c r="Y113" i="40"/>
  <c r="U27" i="40"/>
  <c r="Y27" i="40"/>
  <c r="G3" i="35"/>
  <c r="U137" i="40"/>
  <c r="Y137" i="40"/>
  <c r="U197" i="40"/>
  <c r="Y197" i="40"/>
  <c r="U21" i="40"/>
  <c r="Y21" i="40"/>
  <c r="U37" i="40"/>
  <c r="Y37" i="40"/>
  <c r="G38" i="35"/>
  <c r="U18" i="40"/>
  <c r="Y18" i="40"/>
  <c r="U200" i="40"/>
  <c r="Y200" i="40"/>
  <c r="U55" i="40"/>
  <c r="Y55" i="40"/>
  <c r="U96" i="40"/>
  <c r="Y96" i="40"/>
  <c r="U66" i="40"/>
  <c r="Y66" i="40"/>
  <c r="U80" i="40"/>
  <c r="Y80" i="40"/>
  <c r="U38" i="40"/>
  <c r="Y38" i="40"/>
  <c r="U211" i="40"/>
  <c r="Y211" i="40"/>
  <c r="U209" i="40"/>
  <c r="Y209" i="40"/>
  <c r="U128" i="40"/>
  <c r="Y128" i="40"/>
  <c r="U132" i="40"/>
  <c r="Y132" i="40"/>
  <c r="G39" i="35"/>
  <c r="U32" i="40"/>
  <c r="Y32" i="40"/>
  <c r="U148" i="40"/>
  <c r="Y148" i="40"/>
  <c r="Y13" i="39" a="1"/>
  <c r="Y13" i="39"/>
  <c r="W13" i="39" s="1"/>
  <c r="H41" i="35"/>
  <c r="H76" i="33" s="1"/>
  <c r="L76" i="33" s="1"/>
  <c r="H19" i="35"/>
  <c r="H56" i="33" s="1"/>
  <c r="L56" i="33" s="1"/>
  <c r="H27" i="35"/>
  <c r="H63" i="33" s="1"/>
  <c r="L63" i="33" s="1"/>
  <c r="H5" i="35"/>
  <c r="H43" i="33" s="1"/>
  <c r="L43" i="33" s="1"/>
  <c r="H46" i="35"/>
  <c r="H81" i="33" s="1"/>
  <c r="L81" i="33" s="1"/>
  <c r="H17" i="35"/>
  <c r="H54" i="33" s="1"/>
  <c r="L54" i="33" s="1"/>
  <c r="H28" i="35"/>
  <c r="H64" i="33" s="1"/>
  <c r="L64" i="33" s="1"/>
  <c r="H16" i="35"/>
  <c r="H53" i="33" s="1"/>
  <c r="L53" i="33" s="1"/>
  <c r="H37" i="35"/>
  <c r="H73" i="33" s="1"/>
  <c r="L73" i="33" s="1"/>
  <c r="H26" i="35"/>
  <c r="H40" i="35"/>
  <c r="H75" i="33" s="1"/>
  <c r="L75" i="33" s="1"/>
  <c r="H2" i="35"/>
  <c r="H6" i="35"/>
  <c r="H44" i="33" s="1"/>
  <c r="L44" i="33" s="1"/>
  <c r="H11" i="35"/>
  <c r="H49" i="33" s="1"/>
  <c r="L49" i="33" s="1"/>
  <c r="H9" i="35"/>
  <c r="H47" i="33" s="1"/>
  <c r="L47" i="33" s="1"/>
  <c r="O13" i="40"/>
  <c r="O19" i="40"/>
  <c r="H23" i="35"/>
  <c r="H60" i="33" s="1"/>
  <c r="L60" i="33" s="1"/>
  <c r="H49" i="35"/>
  <c r="H84" i="33" s="1"/>
  <c r="L84" i="33" s="1"/>
  <c r="H36" i="35"/>
  <c r="H72" i="33" s="1"/>
  <c r="L72" i="33" s="1"/>
  <c r="H3" i="35"/>
  <c r="H41" i="33" s="1"/>
  <c r="L41" i="33" s="1"/>
  <c r="H24" i="35"/>
  <c r="H61" i="33" s="1"/>
  <c r="L61" i="33" s="1"/>
  <c r="H43" i="35"/>
  <c r="H78" i="33" s="1"/>
  <c r="L78" i="33" s="1"/>
  <c r="H21" i="35"/>
  <c r="H58" i="33" s="1"/>
  <c r="L58" i="33" s="1"/>
  <c r="H15" i="35"/>
  <c r="H52" i="33" s="1"/>
  <c r="L52" i="33" s="1"/>
  <c r="H38" i="35"/>
  <c r="H33" i="35"/>
  <c r="H69" i="33" s="1"/>
  <c r="L69" i="33" s="1"/>
  <c r="H22" i="35"/>
  <c r="H59" i="33" s="1"/>
  <c r="L59" i="33" s="1"/>
  <c r="H29" i="35"/>
  <c r="H65" i="33" s="1"/>
  <c r="L65" i="33" s="1"/>
  <c r="H48" i="35"/>
  <c r="H83" i="33" s="1"/>
  <c r="L83" i="33" s="1"/>
  <c r="H32" i="35"/>
  <c r="H68" i="33" s="1"/>
  <c r="L68" i="33" s="1"/>
  <c r="O6" i="40"/>
  <c r="O11" i="40"/>
  <c r="H10" i="35"/>
  <c r="H48" i="33" s="1"/>
  <c r="L48" i="33" s="1"/>
  <c r="H35" i="35"/>
  <c r="H71" i="33" s="1"/>
  <c r="L71" i="33" s="1"/>
  <c r="H25" i="35"/>
  <c r="H62" i="33" s="1"/>
  <c r="L62" i="33" s="1"/>
  <c r="H8" i="35"/>
  <c r="H46" i="33" s="1"/>
  <c r="L46" i="33" s="1"/>
  <c r="H4" i="35"/>
  <c r="H42" i="33" s="1"/>
  <c r="L42" i="33" s="1"/>
  <c r="H20" i="35"/>
  <c r="H57" i="33" s="1"/>
  <c r="L57" i="33" s="1"/>
  <c r="H44" i="35"/>
  <c r="H79" i="33" s="1"/>
  <c r="L79" i="33" s="1"/>
  <c r="H13" i="35"/>
  <c r="H51" i="33" s="1"/>
  <c r="L51" i="33" s="1"/>
  <c r="O18" i="40"/>
  <c r="H12" i="35"/>
  <c r="H50" i="33" s="1"/>
  <c r="L50" i="33" s="1"/>
  <c r="H42" i="35"/>
  <c r="H77" i="33" s="1"/>
  <c r="L77" i="33" s="1"/>
  <c r="O17" i="40"/>
  <c r="H50" i="35"/>
  <c r="H39" i="35"/>
  <c r="H74" i="33" s="1"/>
  <c r="L74" i="33" s="1"/>
  <c r="H34" i="35"/>
  <c r="H70" i="33" s="1"/>
  <c r="L70" i="33" s="1"/>
  <c r="O9" i="40"/>
  <c r="H14" i="35"/>
  <c r="H30" i="35"/>
  <c r="H66" i="33" s="1"/>
  <c r="L66" i="33" s="1"/>
  <c r="O5" i="40"/>
  <c r="H45" i="35"/>
  <c r="H80" i="33" s="1"/>
  <c r="L80" i="33" s="1"/>
  <c r="H47" i="35"/>
  <c r="H82" i="33" s="1"/>
  <c r="L82" i="33" s="1"/>
  <c r="O8" i="40"/>
  <c r="H7" i="35"/>
  <c r="H45" i="33" s="1"/>
  <c r="L45" i="33" s="1"/>
  <c r="H18" i="35"/>
  <c r="H55" i="33" s="1"/>
  <c r="L55" i="33" s="1"/>
  <c r="H31" i="35"/>
  <c r="H67" i="33" s="1"/>
  <c r="L67" i="33" s="1"/>
  <c r="K24" i="49"/>
  <c r="C43" i="49" s="1"/>
  <c r="H34" i="33" s="1"/>
  <c r="L34" i="33" s="1"/>
  <c r="K27" i="49"/>
  <c r="C46" i="49" s="1"/>
  <c r="H37" i="33" s="1"/>
  <c r="L37" i="33" s="1"/>
  <c r="L19" i="48"/>
  <c r="C27" i="48" s="1"/>
  <c r="H7" i="33" s="1"/>
  <c r="L7" i="33" s="1"/>
  <c r="L21" i="49"/>
  <c r="J29" i="49"/>
  <c r="J18" i="49"/>
  <c r="J16" i="48"/>
  <c r="J30" i="49"/>
  <c r="J17" i="49"/>
  <c r="L16" i="49"/>
  <c r="K16" i="49"/>
  <c r="C35" i="49" s="1"/>
  <c r="H26" i="33" s="1"/>
  <c r="L26" i="33" s="1"/>
  <c r="O19" i="39"/>
  <c r="L27" i="49"/>
  <c r="K19" i="48"/>
  <c r="K21" i="49"/>
  <c r="C40" i="49" s="1"/>
  <c r="H31" i="33" s="1"/>
  <c r="L31" i="33" s="1"/>
  <c r="O14" i="40"/>
  <c r="K18" i="49"/>
  <c r="C37" i="49" s="1"/>
  <c r="H28" i="33" s="1"/>
  <c r="L28" i="33" s="1"/>
  <c r="L16" i="48"/>
  <c r="C24" i="48" s="1"/>
  <c r="H4" i="33" s="1"/>
  <c r="L4" i="33" s="1"/>
  <c r="O7" i="40"/>
  <c r="O15" i="39"/>
  <c r="K17" i="49"/>
  <c r="C36" i="49" s="1"/>
  <c r="H27" i="33" s="1"/>
  <c r="L27" i="33" s="1"/>
  <c r="O21" i="39"/>
  <c r="P19" i="39"/>
  <c r="C32" i="39" s="1"/>
  <c r="H19" i="33" s="1"/>
  <c r="L19" i="33" s="1"/>
  <c r="O10" i="40"/>
  <c r="J19" i="48"/>
  <c r="J21" i="49"/>
  <c r="L25" i="49"/>
  <c r="P16" i="39"/>
  <c r="C29" i="39" s="1"/>
  <c r="H16" i="33" s="1"/>
  <c r="L16" i="33" s="1"/>
  <c r="K16" i="48"/>
  <c r="J15" i="48"/>
  <c r="P15" i="39"/>
  <c r="C28" i="39" s="1"/>
  <c r="H15" i="33" s="1"/>
  <c r="L15" i="33" s="1"/>
  <c r="L17" i="49"/>
  <c r="P24" i="39"/>
  <c r="C37" i="39" s="1"/>
  <c r="H24" i="33" s="1"/>
  <c r="L24" i="33" s="1"/>
  <c r="O4" i="40"/>
  <c r="L23" i="49"/>
  <c r="L19" i="49"/>
  <c r="K25" i="49"/>
  <c r="C44" i="49" s="1"/>
  <c r="H35" i="33" s="1"/>
  <c r="L35" i="33" s="1"/>
  <c r="O16" i="39"/>
  <c r="P20" i="39"/>
  <c r="C33" i="39" s="1"/>
  <c r="H20" i="33" s="1"/>
  <c r="L20" i="33" s="1"/>
  <c r="P22" i="39"/>
  <c r="C35" i="39" s="1"/>
  <c r="H22" i="33" s="1"/>
  <c r="L22" i="33" s="1"/>
  <c r="L15" i="48"/>
  <c r="C23" i="48" s="1"/>
  <c r="H3" i="33" s="1"/>
  <c r="L3" i="33" s="1"/>
  <c r="P21" i="39"/>
  <c r="C34" i="39" s="1"/>
  <c r="H21" i="33" s="1"/>
  <c r="L21" i="33" s="1"/>
  <c r="K17" i="48"/>
  <c r="O24" i="39"/>
  <c r="J20" i="49"/>
  <c r="J23" i="49"/>
  <c r="J19" i="49"/>
  <c r="J25" i="49"/>
  <c r="L28" i="49"/>
  <c r="O20" i="39"/>
  <c r="O22" i="39"/>
  <c r="K15" i="48"/>
  <c r="O21" i="40"/>
  <c r="L18" i="48"/>
  <c r="C26" i="48" s="1"/>
  <c r="H6" i="33" s="1"/>
  <c r="L6" i="33" s="1"/>
  <c r="L17" i="48"/>
  <c r="C25" i="48" s="1"/>
  <c r="H5" i="33" s="1"/>
  <c r="L5" i="33" s="1"/>
  <c r="O16" i="40"/>
  <c r="P18" i="39"/>
  <c r="C31" i="39" s="1"/>
  <c r="H18" i="33" s="1"/>
  <c r="L18" i="33" s="1"/>
  <c r="K20" i="49"/>
  <c r="C39" i="49" s="1"/>
  <c r="H30" i="33" s="1"/>
  <c r="L30" i="33" s="1"/>
  <c r="P23" i="39"/>
  <c r="C36" i="39" s="1"/>
  <c r="H23" i="33" s="1"/>
  <c r="L23" i="33" s="1"/>
  <c r="K23" i="49"/>
  <c r="C42" i="49" s="1"/>
  <c r="H33" i="33" s="1"/>
  <c r="L33" i="33" s="1"/>
  <c r="K19" i="49"/>
  <c r="C38" i="49" s="1"/>
  <c r="H29" i="33" s="1"/>
  <c r="L29" i="33" s="1"/>
  <c r="J28" i="49"/>
  <c r="K26" i="49"/>
  <c r="C45" i="49" s="1"/>
  <c r="H36" i="33" s="1"/>
  <c r="L36" i="33" s="1"/>
  <c r="L15" i="49"/>
  <c r="L22" i="49"/>
  <c r="K18" i="48"/>
  <c r="J17" i="48"/>
  <c r="J24" i="49"/>
  <c r="L20" i="49"/>
  <c r="L29" i="49"/>
  <c r="O12" i="40"/>
  <c r="L26" i="49"/>
  <c r="J15" i="49"/>
  <c r="O22" i="40"/>
  <c r="O23" i="39"/>
  <c r="K29" i="49"/>
  <c r="C48" i="49" s="1"/>
  <c r="H39" i="33" s="1"/>
  <c r="L39" i="33" s="1"/>
  <c r="O17" i="39"/>
  <c r="O15" i="40"/>
  <c r="L18" i="49"/>
  <c r="J26" i="49"/>
  <c r="K30" i="49"/>
  <c r="C49" i="49" s="1"/>
  <c r="H40" i="33" s="1"/>
  <c r="L40" i="33" s="1"/>
  <c r="K15" i="49"/>
  <c r="C34" i="49" s="1"/>
  <c r="H25" i="33" s="1"/>
  <c r="L25" i="33" s="1"/>
  <c r="J22" i="49"/>
  <c r="J16" i="49"/>
  <c r="O20" i="40"/>
  <c r="O18" i="39"/>
  <c r="P17" i="39"/>
  <c r="C30" i="39" s="1"/>
  <c r="H17" i="33" s="1"/>
  <c r="L17" i="33" s="1"/>
  <c r="K28" i="49"/>
  <c r="C47" i="49" s="1"/>
  <c r="H38" i="33" s="1"/>
  <c r="L38" i="33" s="1"/>
  <c r="L30" i="49"/>
  <c r="K22" i="49"/>
  <c r="C41" i="49" s="1"/>
  <c r="H32" i="33" s="1"/>
  <c r="L32" i="33" s="1"/>
  <c r="J18" i="48"/>
  <c r="L24" i="49"/>
  <c r="J27" i="49"/>
  <c r="M44" i="33"/>
  <c r="M84" i="33"/>
  <c r="M58" i="33"/>
  <c r="M51" i="33"/>
  <c r="M77" i="33"/>
  <c r="M33" i="33"/>
  <c r="M38" i="33"/>
  <c r="M21" i="33"/>
  <c r="M68" i="33"/>
  <c r="M6" i="33"/>
  <c r="M76" i="33"/>
  <c r="M65" i="33"/>
  <c r="M34" i="33"/>
  <c r="M39" i="33"/>
  <c r="M73" i="33"/>
  <c r="M26" i="33"/>
  <c r="M56" i="33"/>
  <c r="M64" i="33"/>
  <c r="M61" i="33"/>
  <c r="M83" i="33"/>
  <c r="M62" i="33"/>
  <c r="M67" i="33"/>
  <c r="M4" i="33"/>
  <c r="M35" i="33"/>
  <c r="M5" i="33"/>
  <c r="M22" i="33"/>
  <c r="M29" i="33"/>
  <c r="M50" i="33"/>
  <c r="M55" i="33"/>
  <c r="M41" i="33"/>
  <c r="M82" i="33"/>
  <c r="M40" i="33"/>
  <c r="M43" i="33"/>
  <c r="M66" i="33"/>
  <c r="M27" i="33"/>
  <c r="M81" i="33"/>
  <c r="M59" i="33"/>
  <c r="M48" i="33"/>
  <c r="M57" i="33"/>
  <c r="M70" i="33"/>
  <c r="M45" i="33"/>
  <c r="M37" i="33"/>
  <c r="M19" i="33"/>
  <c r="M25" i="33"/>
  <c r="M15" i="33"/>
  <c r="M23" i="33"/>
  <c r="M79" i="33"/>
  <c r="M28" i="33"/>
  <c r="M54" i="33"/>
  <c r="M71" i="33"/>
  <c r="M47" i="33"/>
  <c r="M74" i="33"/>
  <c r="M31" i="33"/>
  <c r="M49" i="33"/>
  <c r="M72" i="33"/>
  <c r="M52" i="33"/>
  <c r="M80" i="33"/>
  <c r="M7" i="33"/>
  <c r="M32" i="33"/>
  <c r="M36" i="33"/>
  <c r="M42" i="33"/>
  <c r="M20" i="33"/>
  <c r="M63" i="33"/>
  <c r="M53" i="33"/>
  <c r="M75" i="33"/>
  <c r="M60" i="33"/>
  <c r="M78" i="33"/>
  <c r="M46" i="33"/>
  <c r="M16" i="33"/>
  <c r="M24" i="33"/>
  <c r="M17" i="33"/>
  <c r="M30" i="33"/>
  <c r="M69" i="33"/>
  <c r="M3" i="33"/>
  <c r="M18" i="33"/>
  <c r="N25" i="33"/>
  <c r="N15" i="33"/>
  <c r="N2" i="33"/>
  <c r="N41" i="33"/>
  <c r="AH101" i="39" l="1"/>
  <c r="N16" i="39"/>
  <c r="N20" i="39"/>
  <c r="N17" i="39"/>
  <c r="N22" i="39"/>
  <c r="AH82" i="39"/>
  <c r="AH54" i="39"/>
  <c r="AH79" i="39"/>
  <c r="AH32" i="39"/>
  <c r="AH109" i="39"/>
  <c r="N23" i="39"/>
  <c r="N18" i="39"/>
  <c r="N19" i="39"/>
  <c r="AH111" i="39"/>
  <c r="N21" i="39"/>
  <c r="AH15" i="39"/>
  <c r="AH114" i="39"/>
  <c r="AH63" i="39"/>
  <c r="AH61" i="39"/>
  <c r="AH57" i="39"/>
  <c r="AH74" i="39"/>
  <c r="AH59" i="39"/>
  <c r="AH53" i="39"/>
  <c r="AH68" i="39"/>
  <c r="AH115" i="39"/>
  <c r="AH55" i="39"/>
  <c r="AH120" i="39"/>
  <c r="AH100" i="39"/>
  <c r="AH125" i="39"/>
  <c r="AH62" i="39"/>
  <c r="AH8" i="39"/>
  <c r="AH92" i="39"/>
  <c r="AH21" i="39"/>
  <c r="AH80" i="39"/>
  <c r="AH131" i="39"/>
  <c r="AH78" i="39"/>
  <c r="AH119" i="39"/>
  <c r="AH129" i="39"/>
  <c r="AH23" i="39"/>
  <c r="AH35" i="39"/>
  <c r="AH72" i="39"/>
  <c r="AH28" i="39"/>
  <c r="AH71" i="39"/>
  <c r="AH126" i="39"/>
  <c r="AH104" i="39"/>
  <c r="AH19" i="39"/>
  <c r="AH66" i="39"/>
  <c r="AH107" i="39"/>
  <c r="AH83" i="39"/>
  <c r="AH44" i="39"/>
  <c r="AH5" i="39"/>
  <c r="AH24" i="39"/>
  <c r="AH37" i="39"/>
  <c r="AH29" i="39"/>
  <c r="AH9" i="39"/>
  <c r="AH102" i="39"/>
  <c r="AH3" i="39"/>
  <c r="AH103" i="39"/>
  <c r="AH31" i="39"/>
  <c r="AH110" i="39"/>
  <c r="AH26" i="39"/>
  <c r="AH90" i="39"/>
  <c r="AH41" i="39"/>
  <c r="AH51" i="39"/>
  <c r="N24" i="39"/>
  <c r="AH52" i="39"/>
  <c r="AH127" i="39"/>
  <c r="AH91" i="39"/>
  <c r="AH25" i="39"/>
  <c r="AH14" i="39"/>
  <c r="AH117" i="39"/>
  <c r="AH84" i="39"/>
  <c r="N15" i="39"/>
  <c r="AH118" i="39"/>
  <c r="AH38" i="39"/>
  <c r="AH30" i="39"/>
  <c r="AH86" i="39"/>
  <c r="AH11" i="39"/>
  <c r="AH27" i="39"/>
  <c r="AH17" i="39"/>
  <c r="AH22" i="39"/>
  <c r="AH87" i="39"/>
  <c r="AH128" i="39"/>
  <c r="AH46" i="39"/>
  <c r="AH76" i="39"/>
  <c r="AH43" i="39"/>
  <c r="AH56" i="39"/>
  <c r="AH75" i="39"/>
  <c r="AH45" i="39"/>
  <c r="AH77" i="39"/>
  <c r="AH36" i="39"/>
  <c r="AH122" i="39"/>
  <c r="AH69" i="39"/>
  <c r="AH105" i="39"/>
  <c r="AH6" i="39"/>
  <c r="AH12" i="39"/>
  <c r="AH58" i="39"/>
  <c r="AH130" i="39"/>
  <c r="AH50" i="39"/>
  <c r="AH132" i="39"/>
  <c r="AH60" i="39"/>
  <c r="AH67" i="39"/>
  <c r="AH48" i="39"/>
  <c r="AH81" i="39"/>
  <c r="AH64" i="39"/>
  <c r="AH39" i="39"/>
  <c r="AH73" i="39"/>
  <c r="AH42" i="39"/>
  <c r="AH94" i="39"/>
  <c r="AH121" i="39"/>
  <c r="AH13" i="39"/>
  <c r="AH96" i="39"/>
  <c r="AH108" i="39"/>
  <c r="AH93" i="39"/>
  <c r="AH85" i="39"/>
  <c r="AH4" i="39"/>
  <c r="AH95" i="39"/>
  <c r="AH34" i="39"/>
  <c r="AH65" i="39"/>
  <c r="AH106" i="39"/>
  <c r="AH20" i="39"/>
  <c r="AH89" i="39"/>
  <c r="AH88" i="39"/>
  <c r="AH18" i="39"/>
  <c r="AH98" i="39"/>
  <c r="AH7" i="39"/>
  <c r="AH112" i="39"/>
  <c r="AH10" i="39"/>
  <c r="AH116" i="39"/>
  <c r="AH123" i="39"/>
  <c r="AH49" i="39"/>
  <c r="AH124" i="39"/>
  <c r="AH47" i="39"/>
  <c r="AH70" i="39"/>
  <c r="AH16" i="39"/>
  <c r="AH33" i="39"/>
  <c r="AH40" i="39"/>
  <c r="AH113" i="39"/>
  <c r="AH99" i="39"/>
  <c r="AH97" i="39"/>
  <c r="P14" i="47" a="1"/>
  <c r="P13" i="45" a="1"/>
  <c r="P13" i="45"/>
  <c r="P15" i="45"/>
  <c r="P14" i="47"/>
  <c r="P19" i="45"/>
  <c r="P16" i="45"/>
  <c r="P22" i="47"/>
  <c r="P27" i="47"/>
  <c r="P14" i="45"/>
  <c r="P17" i="47"/>
  <c r="P17" i="45"/>
  <c r="P23" i="47"/>
  <c r="P15" i="47"/>
  <c r="P21" i="45"/>
  <c r="P18" i="45"/>
  <c r="P25" i="47"/>
  <c r="P20" i="45"/>
  <c r="P24" i="47"/>
  <c r="P26" i="47"/>
  <c r="P20" i="47"/>
  <c r="P18" i="47"/>
  <c r="P19" i="47"/>
  <c r="P16" i="47"/>
  <c r="P21" i="47"/>
  <c r="O1" i="42"/>
  <c r="O13" i="42"/>
  <c r="O16" i="42"/>
  <c r="O8" i="42"/>
  <c r="O12" i="42"/>
  <c r="O11" i="42"/>
  <c r="O6" i="42"/>
  <c r="O15" i="42"/>
  <c r="O10" i="42"/>
  <c r="O4" i="42"/>
  <c r="O9" i="42"/>
  <c r="O5" i="42"/>
  <c r="O7" i="42"/>
  <c r="O14" i="42"/>
  <c r="V224" i="42"/>
  <c r="V188" i="42"/>
  <c r="V228" i="42"/>
  <c r="V107" i="42"/>
  <c r="V166" i="42"/>
  <c r="V180" i="42"/>
  <c r="V94" i="42"/>
  <c r="V92" i="42"/>
  <c r="V210" i="42"/>
  <c r="V165" i="42"/>
  <c r="V183" i="42"/>
  <c r="V74" i="42"/>
  <c r="V3" i="42"/>
  <c r="V236" i="42"/>
  <c r="V245" i="42"/>
  <c r="V123" i="42"/>
  <c r="V19" i="42"/>
  <c r="V233" i="42"/>
  <c r="V68" i="42"/>
  <c r="V197" i="42"/>
  <c r="V198" i="42"/>
  <c r="V175" i="42"/>
  <c r="V125" i="42"/>
  <c r="V156" i="42"/>
  <c r="V187" i="42"/>
  <c r="V7" i="42"/>
  <c r="V172" i="42"/>
  <c r="V160" i="42"/>
  <c r="V50" i="42"/>
  <c r="V170" i="42"/>
  <c r="V189" i="42"/>
  <c r="V174" i="42"/>
  <c r="V51" i="42"/>
  <c r="V207" i="42"/>
  <c r="V151" i="42"/>
  <c r="V18" i="42"/>
  <c r="V143" i="42"/>
  <c r="V128" i="42"/>
  <c r="V45" i="42"/>
  <c r="V215" i="42"/>
  <c r="V69" i="42"/>
  <c r="V26" i="42"/>
  <c r="V33" i="42"/>
  <c r="V219" i="42"/>
  <c r="V54" i="42"/>
  <c r="V67" i="42"/>
  <c r="V100" i="42"/>
  <c r="V205" i="42"/>
  <c r="V47" i="42"/>
  <c r="V24" i="42"/>
  <c r="V161" i="42"/>
  <c r="V250" i="42"/>
  <c r="V208" i="42"/>
  <c r="V48" i="42"/>
  <c r="V87" i="42"/>
  <c r="V21" i="42"/>
  <c r="V131" i="42"/>
  <c r="V217" i="42"/>
  <c r="V49" i="42"/>
  <c r="V27" i="42"/>
  <c r="V195" i="42"/>
  <c r="V124" i="42"/>
  <c r="V40" i="42"/>
  <c r="V157" i="42"/>
  <c r="V242" i="42"/>
  <c r="V11" i="42"/>
  <c r="V147" i="42"/>
  <c r="V76" i="42"/>
  <c r="V115" i="42"/>
  <c r="V149" i="42"/>
  <c r="V235" i="42"/>
  <c r="V135" i="42"/>
  <c r="V225" i="42"/>
  <c r="V185" i="42"/>
  <c r="V97" i="42"/>
  <c r="V88" i="42"/>
  <c r="V239" i="42"/>
  <c r="V95" i="42"/>
  <c r="V65" i="42"/>
  <c r="V136" i="42"/>
  <c r="V64" i="42"/>
  <c r="V5" i="42"/>
  <c r="V148" i="42"/>
  <c r="V201" i="42"/>
  <c r="V103" i="42"/>
  <c r="V152" i="42"/>
  <c r="V243" i="42"/>
  <c r="V167" i="42"/>
  <c r="V150" i="42"/>
  <c r="V72" i="42"/>
  <c r="V247" i="42"/>
  <c r="V116" i="42"/>
  <c r="V41" i="42"/>
  <c r="V216" i="42"/>
  <c r="V104" i="42"/>
  <c r="V105" i="42"/>
  <c r="V102" i="42"/>
  <c r="V171" i="42"/>
  <c r="V234" i="42"/>
  <c r="V194" i="42"/>
  <c r="V61" i="42"/>
  <c r="V109" i="42"/>
  <c r="V163" i="42"/>
  <c r="V16" i="42"/>
  <c r="V80" i="42"/>
  <c r="V121" i="42"/>
  <c r="V83" i="42"/>
  <c r="V13" i="42"/>
  <c r="V182" i="42"/>
  <c r="V213" i="42"/>
  <c r="V209" i="42"/>
  <c r="V238" i="42"/>
  <c r="V251" i="42"/>
  <c r="V140" i="42"/>
  <c r="V10" i="42"/>
  <c r="V30" i="42"/>
  <c r="V44" i="42"/>
  <c r="V20" i="42"/>
  <c r="V81" i="42"/>
  <c r="V6" i="42"/>
  <c r="V106" i="42"/>
  <c r="V179" i="42"/>
  <c r="V192" i="42"/>
  <c r="V55" i="42"/>
  <c r="V82" i="42"/>
  <c r="V240" i="42"/>
  <c r="V226" i="42"/>
  <c r="V37" i="42"/>
  <c r="V206" i="42"/>
  <c r="V42" i="42"/>
  <c r="V57" i="42"/>
  <c r="V261" i="42"/>
  <c r="V63" i="42"/>
  <c r="V62" i="42"/>
  <c r="V145" i="42"/>
  <c r="V71" i="42"/>
  <c r="V258" i="42"/>
  <c r="V199" i="42"/>
  <c r="V15" i="42"/>
  <c r="V134" i="42"/>
  <c r="V220" i="42"/>
  <c r="V142" i="42"/>
  <c r="V249" i="42"/>
  <c r="V110" i="42"/>
  <c r="V248" i="42"/>
  <c r="V35" i="42"/>
  <c r="V36" i="42"/>
  <c r="V232" i="42"/>
  <c r="V202" i="42"/>
  <c r="V25" i="42"/>
  <c r="V196" i="42"/>
  <c r="V190" i="42"/>
  <c r="V120" i="42"/>
  <c r="V162" i="42"/>
  <c r="V75" i="42"/>
  <c r="V186" i="42"/>
  <c r="V112" i="42"/>
  <c r="V218" i="42"/>
  <c r="V133" i="42"/>
  <c r="V227" i="42"/>
  <c r="V32" i="42"/>
  <c r="V60" i="42"/>
  <c r="V139" i="42"/>
  <c r="V260" i="42"/>
  <c r="V191" i="42"/>
  <c r="V59" i="42"/>
  <c r="V93" i="42"/>
  <c r="V214" i="42"/>
  <c r="V193" i="42"/>
  <c r="V9" i="42"/>
  <c r="V91" i="42"/>
  <c r="V66" i="42"/>
  <c r="V222" i="42"/>
  <c r="V146" i="42"/>
  <c r="V256" i="42"/>
  <c r="V126" i="42"/>
  <c r="V246" i="42"/>
  <c r="V155" i="42"/>
  <c r="V137" i="42"/>
  <c r="V52" i="42"/>
  <c r="V89" i="42"/>
  <c r="V70" i="42"/>
  <c r="V168" i="42"/>
  <c r="V255" i="42"/>
  <c r="V23" i="42"/>
  <c r="V231" i="42"/>
  <c r="V114" i="42"/>
  <c r="V39" i="42"/>
  <c r="V244" i="42"/>
  <c r="V138" i="42"/>
  <c r="V164" i="42"/>
  <c r="V178" i="42"/>
  <c r="V77" i="42"/>
  <c r="V257" i="42"/>
  <c r="V184" i="42"/>
  <c r="V212" i="42"/>
  <c r="V237" i="42"/>
  <c r="V252" i="42"/>
  <c r="V132" i="42"/>
  <c r="V241" i="42"/>
  <c r="V98" i="42"/>
  <c r="V101" i="42"/>
  <c r="V8" i="42"/>
  <c r="V221" i="42"/>
  <c r="V46" i="42"/>
  <c r="V127" i="42"/>
  <c r="V200" i="42"/>
  <c r="V230" i="42"/>
  <c r="V90" i="42"/>
  <c r="V99" i="42"/>
  <c r="V85" i="42"/>
  <c r="V111" i="42"/>
  <c r="V12" i="42"/>
  <c r="V43" i="42"/>
  <c r="V154" i="42"/>
  <c r="V118" i="42"/>
  <c r="V153" i="42"/>
  <c r="V28" i="42"/>
  <c r="V53" i="42"/>
  <c r="V38" i="42"/>
  <c r="V4" i="42"/>
  <c r="V31" i="42"/>
  <c r="V176" i="42"/>
  <c r="V56" i="42"/>
  <c r="V223" i="42"/>
  <c r="V17" i="42"/>
  <c r="V130" i="42"/>
  <c r="V73" i="42"/>
  <c r="V86" i="42"/>
  <c r="V108" i="42"/>
  <c r="V253" i="42"/>
  <c r="V259" i="42"/>
  <c r="V84" i="42"/>
  <c r="V34" i="42"/>
  <c r="V144" i="42"/>
  <c r="V169" i="42"/>
  <c r="V203" i="42"/>
  <c r="V159" i="42"/>
  <c r="V14" i="42"/>
  <c r="V229" i="42"/>
  <c r="V204" i="42"/>
  <c r="V158" i="42"/>
  <c r="V122" i="42"/>
  <c r="V173" i="42"/>
  <c r="V29" i="42"/>
  <c r="V211" i="42"/>
  <c r="V78" i="42"/>
  <c r="V117" i="42"/>
  <c r="V141" i="42"/>
  <c r="V254" i="42"/>
  <c r="V113" i="42"/>
  <c r="V119" i="42"/>
  <c r="V79" i="42"/>
  <c r="V22" i="42"/>
  <c r="V96" i="42"/>
  <c r="V129" i="42"/>
  <c r="V58" i="42"/>
  <c r="V177" i="42"/>
  <c r="V181" i="42"/>
  <c r="J4" i="43"/>
  <c r="J7" i="43"/>
  <c r="J6" i="43"/>
  <c r="J5" i="43"/>
  <c r="Y13" i="43" a="1"/>
  <c r="Y9" i="43" a="1"/>
  <c r="Y3" i="43" a="1"/>
  <c r="Y5" i="43" l="1"/>
  <c r="Y4" i="43"/>
  <c r="Y3" i="43"/>
  <c r="Y9" i="43"/>
  <c r="Y10" i="43"/>
  <c r="Y13" i="43"/>
  <c r="W13" i="43" s="1"/>
  <c r="Z181" i="42"/>
  <c r="Z177" i="42"/>
  <c r="Z58" i="42"/>
  <c r="Z129" i="42"/>
  <c r="Z96" i="42"/>
  <c r="Z22" i="42"/>
  <c r="Z79" i="42"/>
  <c r="Z119" i="42"/>
  <c r="Z113" i="42"/>
  <c r="Z254" i="42"/>
  <c r="Z141" i="42"/>
  <c r="Z117" i="42"/>
  <c r="Z78" i="42"/>
  <c r="Z211" i="42"/>
  <c r="Z29" i="42"/>
  <c r="Z173" i="42"/>
  <c r="Z122" i="42"/>
  <c r="Z158" i="42"/>
  <c r="Z204" i="42"/>
  <c r="Z229" i="42"/>
  <c r="Z14" i="42"/>
  <c r="Z159" i="42"/>
  <c r="Z203" i="42"/>
  <c r="Z169" i="42"/>
  <c r="Z144" i="42"/>
  <c r="Z34" i="42"/>
  <c r="Z84" i="42"/>
  <c r="Z259" i="42"/>
  <c r="Z253" i="42"/>
  <c r="Z108" i="42"/>
  <c r="Z86" i="42"/>
  <c r="Z73" i="42"/>
  <c r="Z130" i="42"/>
  <c r="Z17" i="42"/>
  <c r="Z223" i="42"/>
  <c r="Z56" i="42"/>
  <c r="Z176" i="42"/>
  <c r="Z31" i="42"/>
  <c r="Z4" i="42"/>
  <c r="Z38" i="42"/>
  <c r="Z53" i="42"/>
  <c r="Z28" i="42"/>
  <c r="Z153" i="42"/>
  <c r="Z118" i="42"/>
  <c r="Z154" i="42"/>
  <c r="Z43" i="42"/>
  <c r="Z12" i="42"/>
  <c r="Z111" i="42"/>
  <c r="Z85" i="42"/>
  <c r="Z99" i="42"/>
  <c r="Z90" i="42"/>
  <c r="Z230" i="42"/>
  <c r="Z200" i="42"/>
  <c r="Z127" i="42"/>
  <c r="Z46" i="42"/>
  <c r="Z221" i="42"/>
  <c r="Z8" i="42"/>
  <c r="Z101" i="42"/>
  <c r="Z98" i="42"/>
  <c r="Z241" i="42"/>
  <c r="Z132" i="42"/>
  <c r="Z252" i="42"/>
  <c r="Z237" i="42"/>
  <c r="Z212" i="42"/>
  <c r="Z184" i="42"/>
  <c r="Z257" i="42"/>
  <c r="Z77" i="42"/>
  <c r="Z178" i="42"/>
  <c r="Z164" i="42"/>
  <c r="Z138" i="42"/>
  <c r="Z244" i="42"/>
  <c r="Z39" i="42"/>
  <c r="Z114" i="42"/>
  <c r="Z231" i="42"/>
  <c r="Z23" i="42"/>
  <c r="Z255" i="42"/>
  <c r="Z168" i="42"/>
  <c r="Z70" i="42"/>
  <c r="Z89" i="42"/>
  <c r="Z52" i="42"/>
  <c r="Z137" i="42"/>
  <c r="Z155" i="42"/>
  <c r="Z246" i="42"/>
  <c r="Z126" i="42"/>
  <c r="Z256" i="42"/>
  <c r="Z146" i="42"/>
  <c r="Z222" i="42"/>
  <c r="Z66" i="42"/>
  <c r="Z91" i="42"/>
  <c r="Z9" i="42"/>
  <c r="Z193" i="42"/>
  <c r="Z214" i="42"/>
  <c r="Z93" i="42"/>
  <c r="Z59" i="42"/>
  <c r="Z191" i="42"/>
  <c r="Z260" i="42"/>
  <c r="Z139" i="42"/>
  <c r="Z60" i="42"/>
  <c r="Z32" i="42"/>
  <c r="Z227" i="42"/>
  <c r="Z133" i="42"/>
  <c r="Z218" i="42"/>
  <c r="Z112" i="42"/>
  <c r="Z186" i="42"/>
  <c r="Z75" i="42"/>
  <c r="Z162" i="42"/>
  <c r="Z120" i="42"/>
  <c r="Z190" i="42"/>
  <c r="Z196" i="42"/>
  <c r="Z25" i="42"/>
  <c r="Z202" i="42"/>
  <c r="Z232" i="42"/>
  <c r="Z36" i="42"/>
  <c r="Z35" i="42"/>
  <c r="Z248" i="42"/>
  <c r="Z110" i="42"/>
  <c r="Z249" i="42"/>
  <c r="Z142" i="42"/>
  <c r="Z220" i="42"/>
  <c r="Z134" i="42"/>
  <c r="Z15" i="42"/>
  <c r="Z199" i="42"/>
  <c r="Z258" i="42"/>
  <c r="Z71" i="42"/>
  <c r="Z145" i="42"/>
  <c r="Z62" i="42"/>
  <c r="Z63" i="42"/>
  <c r="Z261" i="42"/>
  <c r="Z57" i="42"/>
  <c r="Z42" i="42"/>
  <c r="Z206" i="42"/>
  <c r="Z37" i="42"/>
  <c r="Z226" i="42"/>
  <c r="Z240" i="42"/>
  <c r="Z82" i="42"/>
  <c r="Z55" i="42"/>
  <c r="Z192" i="42"/>
  <c r="Z179" i="42"/>
  <c r="Z106" i="42"/>
  <c r="Z6" i="42"/>
  <c r="Z81" i="42"/>
  <c r="Z20" i="42"/>
  <c r="Z44" i="42"/>
  <c r="Z30" i="42"/>
  <c r="Z10" i="42"/>
  <c r="Z140" i="42"/>
  <c r="Z251" i="42"/>
  <c r="Z238" i="42"/>
  <c r="Z209" i="42"/>
  <c r="Z213" i="42"/>
  <c r="Z182" i="42"/>
  <c r="Z13" i="42"/>
  <c r="Z83" i="42"/>
  <c r="Z121" i="42"/>
  <c r="Z80" i="42"/>
  <c r="Z16" i="42"/>
  <c r="Z163" i="42"/>
  <c r="Z109" i="42"/>
  <c r="Z61" i="42"/>
  <c r="Z194" i="42"/>
  <c r="Z234" i="42"/>
  <c r="Z171" i="42"/>
  <c r="Z102" i="42"/>
  <c r="Z105" i="42"/>
  <c r="Z104" i="42"/>
  <c r="Z216" i="42"/>
  <c r="Z41" i="42"/>
  <c r="Z116" i="42"/>
  <c r="Z247" i="42"/>
  <c r="Z72" i="42"/>
  <c r="Z150" i="42"/>
  <c r="Z167" i="42"/>
  <c r="Z243" i="42"/>
  <c r="Z152" i="42"/>
  <c r="Z103" i="42"/>
  <c r="Z201" i="42"/>
  <c r="Z148" i="42"/>
  <c r="Z5" i="42"/>
  <c r="Z64" i="42"/>
  <c r="Z136" i="42"/>
  <c r="Z65" i="42"/>
  <c r="Z95" i="42"/>
  <c r="Z239" i="42"/>
  <c r="Z88" i="42"/>
  <c r="Z97" i="42"/>
  <c r="Z185" i="42"/>
  <c r="Z225" i="42"/>
  <c r="Z135" i="42"/>
  <c r="Z235" i="42"/>
  <c r="Z149" i="42"/>
  <c r="Z115" i="42"/>
  <c r="Z76" i="42"/>
  <c r="Z147" i="42"/>
  <c r="Z11" i="42"/>
  <c r="Z242" i="42"/>
  <c r="Z157" i="42"/>
  <c r="Z40" i="42"/>
  <c r="Z124" i="42"/>
  <c r="Z195" i="42"/>
  <c r="Z27" i="42"/>
  <c r="Z49" i="42"/>
  <c r="Z217" i="42"/>
  <c r="Z131" i="42"/>
  <c r="Z21" i="42"/>
  <c r="Z87" i="42"/>
  <c r="Z48" i="42"/>
  <c r="Z208" i="42"/>
  <c r="Z250" i="42"/>
  <c r="Z161" i="42"/>
  <c r="Z24" i="42"/>
  <c r="Z47" i="42"/>
  <c r="Z205" i="42"/>
  <c r="Z100" i="42"/>
  <c r="Z67" i="42"/>
  <c r="Z54" i="42"/>
  <c r="Z219" i="42"/>
  <c r="Z33" i="42"/>
  <c r="Z26" i="42"/>
  <c r="Z69" i="42"/>
  <c r="Z215" i="42"/>
  <c r="Z45" i="42"/>
  <c r="Z128" i="42"/>
  <c r="Z143" i="42"/>
  <c r="Z18" i="42"/>
  <c r="Z151" i="42"/>
  <c r="Z207" i="42"/>
  <c r="Z51" i="42"/>
  <c r="Z174" i="42"/>
  <c r="Z189" i="42"/>
  <c r="Z170" i="42"/>
  <c r="Z50" i="42"/>
  <c r="Z160" i="42"/>
  <c r="Z172" i="42"/>
  <c r="Z7" i="42"/>
  <c r="Z187" i="42"/>
  <c r="Z156" i="42"/>
  <c r="Z125" i="42"/>
  <c r="Z175" i="42"/>
  <c r="Z198" i="42"/>
  <c r="Z197" i="42"/>
  <c r="Z68" i="42"/>
  <c r="Z233" i="42"/>
  <c r="Z19" i="42"/>
  <c r="Z123" i="42"/>
  <c r="Z245" i="42"/>
  <c r="Z236" i="42"/>
  <c r="Z3" i="42"/>
  <c r="Z74" i="42"/>
  <c r="Z183" i="42"/>
  <c r="Z165" i="42"/>
  <c r="Z210" i="42"/>
  <c r="Z92" i="42"/>
  <c r="Z94" i="42"/>
  <c r="Z180" i="42"/>
  <c r="Z166" i="42"/>
  <c r="Z107" i="42"/>
  <c r="Z228" i="42"/>
  <c r="Z188" i="42"/>
  <c r="Z224" i="42"/>
  <c r="P14" i="42"/>
  <c r="P7" i="42"/>
  <c r="P5" i="42"/>
  <c r="P9" i="42"/>
  <c r="P4" i="42"/>
  <c r="P10" i="42"/>
  <c r="P15" i="42"/>
  <c r="P6" i="42"/>
  <c r="P11" i="42"/>
  <c r="P12" i="42"/>
  <c r="P8" i="42"/>
  <c r="P16" i="42"/>
  <c r="P13" i="42"/>
  <c r="AH3" i="43" l="1"/>
  <c r="AH61" i="43"/>
  <c r="AH27" i="43"/>
  <c r="AH50" i="43"/>
  <c r="AH9" i="43"/>
  <c r="AH37" i="43"/>
  <c r="AH47" i="43"/>
  <c r="AH33" i="43"/>
  <c r="AH29" i="43"/>
  <c r="AH63" i="43"/>
  <c r="AH65" i="43"/>
  <c r="AH31" i="43"/>
  <c r="AH5" i="43"/>
  <c r="AH24" i="43"/>
  <c r="AH48" i="43"/>
  <c r="AH20" i="43"/>
  <c r="AH49" i="43"/>
  <c r="AH8" i="43"/>
  <c r="AH25" i="43"/>
  <c r="AH11" i="43"/>
  <c r="AH42" i="43"/>
  <c r="AH62" i="43"/>
  <c r="AH60" i="43"/>
  <c r="AH36" i="43"/>
  <c r="AH16" i="43"/>
  <c r="AH55" i="43"/>
  <c r="AH51" i="43"/>
  <c r="N16" i="43"/>
  <c r="N15" i="43"/>
  <c r="AH64" i="43"/>
  <c r="AH30" i="43"/>
  <c r="AH6" i="43"/>
  <c r="AH41" i="43"/>
  <c r="N18" i="43"/>
  <c r="AH18" i="43"/>
  <c r="AH44" i="43"/>
  <c r="N19" i="43"/>
  <c r="AH59" i="43"/>
  <c r="AH39" i="43"/>
  <c r="N17" i="43"/>
  <c r="AH17" i="43"/>
  <c r="AH45" i="43"/>
  <c r="AH58" i="43"/>
  <c r="AH10" i="43"/>
  <c r="AH38" i="43"/>
  <c r="AH40" i="43"/>
  <c r="AH21" i="43"/>
  <c r="AH4" i="43"/>
  <c r="AH28" i="43"/>
  <c r="AH19" i="43"/>
  <c r="AH15" i="43"/>
  <c r="AH43" i="43"/>
  <c r="N21" i="43"/>
  <c r="AH32" i="43"/>
  <c r="N20" i="43"/>
  <c r="AH34" i="43"/>
  <c r="AH14" i="43"/>
  <c r="AH26" i="43"/>
  <c r="AH53" i="43"/>
  <c r="AH12" i="43"/>
  <c r="AH57" i="43"/>
  <c r="AH7" i="43"/>
  <c r="AH22" i="43"/>
  <c r="AH35" i="43"/>
  <c r="AH23" i="43"/>
  <c r="AH54" i="43"/>
  <c r="AH56" i="43"/>
  <c r="AH13" i="43"/>
  <c r="AH46" i="43"/>
  <c r="AH52" i="43"/>
  <c r="W9" i="43" a="1"/>
  <c r="W9" i="43" l="1"/>
  <c r="W10" i="43"/>
  <c r="AI34" i="43" l="1"/>
  <c r="AI19" i="43"/>
  <c r="AI27" i="43"/>
  <c r="AI59" i="43"/>
  <c r="AI21" i="43"/>
  <c r="AI33" i="43"/>
  <c r="AI13" i="43"/>
  <c r="AI61" i="43"/>
  <c r="AI5" i="43"/>
  <c r="AI8" i="43"/>
  <c r="AI58" i="43"/>
  <c r="AI62" i="43"/>
  <c r="AI57" i="43"/>
  <c r="O16" i="43"/>
  <c r="AI37" i="43"/>
  <c r="AI28" i="43"/>
  <c r="AI65" i="43"/>
  <c r="AI48" i="43"/>
  <c r="AI29" i="43"/>
  <c r="AI56" i="43"/>
  <c r="AI9" i="43"/>
  <c r="O19" i="43"/>
  <c r="AI45" i="43"/>
  <c r="AI17" i="43"/>
  <c r="AI36" i="43"/>
  <c r="AI42" i="43"/>
  <c r="AI15" i="43"/>
  <c r="AI16" i="43"/>
  <c r="AI44" i="43"/>
  <c r="AI54" i="43"/>
  <c r="AI46" i="43"/>
  <c r="AI14" i="43"/>
  <c r="AI39" i="43"/>
  <c r="AI31" i="43"/>
  <c r="AI24" i="43"/>
  <c r="O18" i="43"/>
  <c r="AI40" i="43"/>
  <c r="AI11" i="43"/>
  <c r="AI22" i="43"/>
  <c r="AI41" i="43"/>
  <c r="O20" i="43"/>
  <c r="AI47" i="43"/>
  <c r="AI26" i="43"/>
  <c r="AI6" i="43"/>
  <c r="O21" i="43"/>
  <c r="AI18" i="43"/>
  <c r="AI20" i="43"/>
  <c r="AI4" i="43"/>
  <c r="AI49" i="43"/>
  <c r="AI32" i="43"/>
  <c r="AI50" i="43"/>
  <c r="AI25" i="43"/>
  <c r="AI12" i="43"/>
  <c r="AI3" i="43"/>
  <c r="AI23" i="43"/>
  <c r="AI53" i="43"/>
  <c r="O17" i="43"/>
  <c r="AI7" i="43"/>
  <c r="AI35" i="43"/>
  <c r="AI60" i="43"/>
  <c r="AI63" i="43"/>
  <c r="AI38" i="43"/>
  <c r="O15" i="43"/>
  <c r="AI64" i="43"/>
  <c r="AI30" i="43"/>
  <c r="AI55" i="43"/>
  <c r="AI43" i="43"/>
  <c r="AI52" i="43"/>
  <c r="AI10" i="43"/>
  <c r="AI51" i="43"/>
  <c r="W3" i="43" a="1"/>
  <c r="W4" i="43" l="1"/>
  <c r="W3" i="43"/>
  <c r="W5" i="43"/>
  <c r="AJ33" i="43" l="1"/>
  <c r="AJ12" i="43"/>
  <c r="AJ26" i="43"/>
  <c r="AJ28" i="43"/>
  <c r="AJ58" i="43"/>
  <c r="AJ8" i="43"/>
  <c r="AJ41" i="43"/>
  <c r="AJ59" i="43"/>
  <c r="AJ54" i="43"/>
  <c r="AJ22" i="43"/>
  <c r="AJ61" i="43"/>
  <c r="AJ34" i="43"/>
  <c r="AJ4" i="43"/>
  <c r="AJ7" i="43"/>
  <c r="AJ13" i="43"/>
  <c r="AJ11" i="43"/>
  <c r="AJ16" i="43"/>
  <c r="AJ65" i="43"/>
  <c r="AJ38" i="43"/>
  <c r="AJ47" i="43"/>
  <c r="AJ10" i="43"/>
  <c r="AJ5" i="43"/>
  <c r="AJ36" i="43"/>
  <c r="AJ19" i="43"/>
  <c r="AJ52" i="43"/>
  <c r="AJ32" i="43"/>
  <c r="AJ60" i="43"/>
  <c r="AJ3" i="43"/>
  <c r="AJ56" i="43"/>
  <c r="AJ57" i="43"/>
  <c r="AJ45" i="43"/>
  <c r="AJ53" i="43"/>
  <c r="AJ64" i="43"/>
  <c r="AJ43" i="43"/>
  <c r="AJ6" i="43"/>
  <c r="AJ27" i="43"/>
  <c r="AJ21" i="43"/>
  <c r="AJ9" i="43"/>
  <c r="AJ42" i="43"/>
  <c r="AJ30" i="43"/>
  <c r="AJ62" i="43"/>
  <c r="AJ15" i="43"/>
  <c r="AJ51" i="43"/>
  <c r="AJ25" i="43"/>
  <c r="AJ20" i="43"/>
  <c r="AJ40" i="43"/>
  <c r="AJ14" i="43"/>
  <c r="AJ49" i="43"/>
  <c r="AJ63" i="43"/>
  <c r="AJ44" i="43"/>
  <c r="AJ29" i="43"/>
  <c r="AJ18" i="43"/>
  <c r="AJ24" i="43"/>
  <c r="AJ23" i="43"/>
  <c r="AJ17" i="43"/>
  <c r="AJ37" i="43"/>
  <c r="AJ39" i="43"/>
  <c r="AJ31" i="43"/>
  <c r="AJ48" i="43"/>
  <c r="AJ35" i="43"/>
  <c r="AJ50" i="43"/>
  <c r="AJ46" i="43"/>
  <c r="AJ55" i="43"/>
  <c r="P19" i="43"/>
  <c r="C29" i="43" s="1"/>
  <c r="H12" i="33" s="1"/>
  <c r="L12" i="33" s="1"/>
  <c r="P16" i="43"/>
  <c r="C26" i="43" s="1"/>
  <c r="H9" i="33" s="1"/>
  <c r="L9" i="33" s="1"/>
  <c r="P20" i="43"/>
  <c r="C30" i="43" s="1"/>
  <c r="H13" i="33" s="1"/>
  <c r="L13" i="33" s="1"/>
  <c r="P18" i="43"/>
  <c r="C28" i="43" s="1"/>
  <c r="H11" i="33" s="1"/>
  <c r="L11" i="33" s="1"/>
  <c r="P17" i="43"/>
  <c r="C27" i="43" s="1"/>
  <c r="H10" i="33" s="1"/>
  <c r="L10" i="33" s="1"/>
  <c r="P15" i="43"/>
  <c r="C25" i="43" s="1"/>
  <c r="H8" i="33" s="1"/>
  <c r="L8" i="33" s="1"/>
  <c r="P21" i="43"/>
  <c r="C31" i="43" s="1"/>
  <c r="H14" i="33" s="1"/>
  <c r="L14" i="33" s="1"/>
  <c r="M9" i="33"/>
  <c r="M8" i="33"/>
  <c r="M14" i="33"/>
  <c r="M12" i="33"/>
  <c r="M13" i="33"/>
  <c r="M11" i="33"/>
  <c r="M10" i="33"/>
  <c r="N8" i="33"/>
</calcChain>
</file>

<file path=xl/comments1.xml><?xml version="1.0" encoding="utf-8"?>
<comments xmlns="http://schemas.openxmlformats.org/spreadsheetml/2006/main">
  <authors>
    <author>Ferdinando Ametrano</author>
  </authors>
  <commentList>
    <comment ref="D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<sst xmlns="http://schemas.openxmlformats.org/spreadsheetml/2006/main" count="801" uniqueCount="195">
  <si>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</si>
  <si>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</si>
  <si>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</si>
  <si>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</si>
  <si>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</si>
  <si>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</si>
  <si>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</si>
  <si>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</si>
  <si>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</si>
  <si>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</si>
  <si>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</si>
  <si>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</si>
  <si>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LastDayInYear</t>
  </si>
  <si>
    <t>QuoteSuffix</t>
  </si>
  <si>
    <t>_Quote</t>
  </si>
  <si>
    <t>LastDayInNextYear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</si>
  <si>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</si>
  <si>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</si>
  <si>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</si>
  <si>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</si>
  <si>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</si>
  <si>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</si>
  <si>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</si>
  <si>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</si>
  <si>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</si>
  <si>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</si>
  <si>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</si>
  <si>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</si>
  <si>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</si>
  <si>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</si>
  <si>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</si>
  <si>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</si>
  <si>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OIS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</si>
  <si>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</si>
  <si>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</si>
  <si>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</si>
  <si>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</si>
  <si>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</si>
  <si>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</si>
  <si>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</si>
  <si>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</si>
  <si>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</si>
  <si>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</si>
  <si>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</si>
  <si>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</si>
  <si>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</si>
  <si>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</si>
  <si>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</si>
  <si>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</si>
  <si>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</si>
  <si>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</si>
  <si>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</si>
  <si>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</si>
  <si>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</si>
  <si>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</si>
  <si>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</si>
  <si>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</si>
  <si>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</si>
  <si>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</si>
  <si>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</si>
  <si>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</si>
  <si>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</si>
  <si>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</si>
  <si>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</si>
  <si>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</si>
  <si>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</si>
  <si>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</si>
  <si>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</si>
  <si>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</si>
  <si>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</si>
  <si>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</si>
  <si>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</si>
  <si>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</si>
  <si>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</si>
  <si>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</si>
  <si>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</si>
  <si>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</si>
  <si>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</si>
  <si>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</si>
  <si>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</si>
  <si>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</si>
  <si>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</si>
  <si>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</si>
  <si>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</si>
  <si>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</si>
  <si>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</si>
  <si>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Fixing Date</t>
  </si>
  <si>
    <t>Value Date</t>
  </si>
  <si>
    <t>Maturity Date</t>
  </si>
  <si>
    <t>spread</t>
  </si>
  <si>
    <t>interp. FRA</t>
  </si>
  <si>
    <t>Depo Settings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</si>
  <si>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</si>
  <si>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</si>
  <si>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</si>
  <si>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</si>
  <si>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</si>
  <si>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</si>
  <si>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</si>
  <si>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</si>
  <si>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</si>
  <si>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</si>
  <si>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</si>
  <si>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</si>
  <si>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</si>
  <si>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</si>
  <si>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</si>
  <si>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</si>
  <si>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</si>
  <si>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</si>
  <si>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</si>
  <si>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</si>
  <si>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</si>
  <si>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</si>
  <si>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</si>
  <si>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</si>
  <si>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</si>
  <si>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</si>
  <si>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</si>
  <si>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</si>
  <si>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</si>
  <si>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</si>
  <si>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</si>
  <si>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</si>
  <si>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</si>
  <si>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</si>
  <si>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</si>
  <si>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</si>
  <si>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</si>
  <si>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</si>
  <si>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</si>
  <si>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</si>
  <si>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6Y</t>
  </si>
  <si>
    <t>7Y</t>
  </si>
  <si>
    <t>8Y</t>
  </si>
  <si>
    <t>Discount factor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</si>
  <si>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</si>
  <si>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</si>
  <si>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</si>
  <si>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</si>
  <si>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</si>
  <si>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</si>
  <si>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</si>
  <si>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</si>
  <si>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</si>
  <si>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</si>
  <si>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</si>
  <si>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</si>
  <si>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</si>
  <si>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</si>
  <si>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Delta(0M;1Y)extrap</t>
  </si>
  <si>
    <t>Basis</t>
  </si>
  <si>
    <t>Discount Factor</t>
  </si>
  <si>
    <t>Tenor</t>
  </si>
  <si>
    <t>Delta Interp</t>
  </si>
  <si>
    <t>Diff (bps)</t>
  </si>
  <si>
    <t>GBP</t>
  </si>
  <si>
    <t>UnitedKingdom::Exchange</t>
  </si>
  <si>
    <t>Sonia</t>
  </si>
  <si>
    <t>Actual/365 (Fixed)</t>
  </si>
  <si>
    <t>Libor</t>
  </si>
  <si>
    <t>Swap index</t>
  </si>
  <si>
    <t>SB</t>
  </si>
  <si>
    <t>6L</t>
  </si>
  <si>
    <t>12L</t>
  </si>
  <si>
    <t>2Y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</si>
  <si>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</si>
  <si>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</si>
  <si>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</si>
  <si>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</si>
  <si>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</si>
  <si>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</si>
  <si>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</si>
  <si>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</si>
  <si>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</si>
  <si>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</si>
  <si>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</si>
  <si>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</si>
  <si>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</si>
  <si>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</si>
  <si>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</si>
  <si>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</si>
  <si>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</si>
  <si>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</si>
  <si>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</si>
  <si>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</si>
  <si>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</si>
  <si>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</si>
  <si>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</si>
  <si>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</si>
  <si>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</si>
  <si>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</si>
  <si>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Semiannual</t>
  </si>
  <si>
    <t>Last Fixing Value Date</t>
  </si>
  <si>
    <t>Min 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</si>
</sst>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E+00"/>
    <numFmt numFmtId="178" formatCode="0.0000E+00"/>
    <numFmt numFmtId="179" formatCode="0.00000"/>
    <numFmt numFmtId="180" formatCode="0.000000"/>
    <numFmt numFmtId="181" formatCode="0.0000000000"/>
  </numFmts>
  <fonts count="31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b/>
      <sz val="8"/>
      <color theme="0"/>
      <name val="Courier New"/>
      <family val="3"/>
    </font>
    <font>
      <sz val="8"/>
      <color theme="1"/>
      <name val="Courier New"/>
      <family val="3"/>
    </font>
    <font>
      <i/>
      <sz val="8"/>
      <color theme="0"/>
      <name val="Courier New"/>
      <family val="3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i/>
      <sz val="8"/>
      <color theme="0"/>
      <name val="Microsoft Sans Serif"/>
      <family val="2"/>
    </font>
    <font>
      <sz val="8"/>
      <color indexed="10"/>
      <name val="Arial"/>
      <family val="2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6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507">
    <xf numFmtId="0" fontId="0" fillId="0" borderId="0" xfId="0"/>
    <xf numFmtId="0" fontId="11" fillId="3" borderId="0" xfId="15" applyFont="1" applyFill="1"/>
    <xf numFmtId="0" fontId="11" fillId="5" borderId="4" xfId="15" applyFont="1" applyFill="1" applyBorder="1"/>
    <xf numFmtId="0" fontId="11" fillId="5" borderId="0" xfId="15" applyFont="1" applyFill="1" applyBorder="1"/>
    <xf numFmtId="0" fontId="11" fillId="5" borderId="5" xfId="15" applyFont="1" applyFill="1" applyBorder="1"/>
    <xf numFmtId="0" fontId="11" fillId="6" borderId="6" xfId="15" applyFont="1" applyFill="1" applyBorder="1" applyAlignment="1">
      <alignment horizontal="right"/>
    </xf>
    <xf numFmtId="0" fontId="11" fillId="5" borderId="6" xfId="15" applyFont="1" applyFill="1" applyBorder="1" applyAlignment="1">
      <alignment horizontal="center"/>
    </xf>
    <xf numFmtId="168" fontId="11" fillId="5" borderId="6" xfId="15" applyNumberFormat="1" applyFont="1" applyFill="1" applyBorder="1" applyAlignment="1">
      <alignment horizontal="center"/>
    </xf>
    <xf numFmtId="0" fontId="11" fillId="3" borderId="0" xfId="16" applyFont="1" applyFill="1"/>
    <xf numFmtId="0" fontId="14" fillId="5" borderId="4" xfId="14" applyFont="1" applyFill="1" applyBorder="1"/>
    <xf numFmtId="0" fontId="14" fillId="5" borderId="0" xfId="14" applyFont="1" applyFill="1" applyBorder="1"/>
    <xf numFmtId="0" fontId="14" fillId="5" borderId="5" xfId="14" applyFont="1" applyFill="1" applyBorder="1"/>
    <xf numFmtId="169" fontId="11" fillId="5" borderId="6" xfId="17" applyNumberFormat="1" applyFont="1" applyFill="1" applyBorder="1" applyAlignment="1">
      <alignment horizontal="center"/>
    </xf>
    <xf numFmtId="0" fontId="14" fillId="6" borderId="6" xfId="14" applyNumberFormat="1" applyFont="1" applyFill="1" applyBorder="1"/>
    <xf numFmtId="170" fontId="14" fillId="7" borderId="7" xfId="14" applyNumberFormat="1" applyFont="1" applyFill="1" applyBorder="1" applyAlignment="1" applyProtection="1">
      <alignment horizontal="center"/>
    </xf>
    <xf numFmtId="15" fontId="14" fillId="5" borderId="5" xfId="14" applyNumberFormat="1" applyFont="1" applyFill="1" applyBorder="1"/>
    <xf numFmtId="171" fontId="11" fillId="5" borderId="7" xfId="17" applyNumberFormat="1" applyFont="1" applyFill="1" applyBorder="1" applyAlignment="1">
      <alignment horizontal="center"/>
    </xf>
    <xf numFmtId="169" fontId="11" fillId="5" borderId="7" xfId="17" applyNumberFormat="1" applyFont="1" applyFill="1" applyBorder="1" applyAlignment="1">
      <alignment horizontal="center"/>
    </xf>
    <xf numFmtId="170" fontId="14" fillId="7" borderId="7" xfId="14" quotePrefix="1" applyNumberFormat="1" applyFont="1" applyFill="1" applyBorder="1" applyAlignment="1" applyProtection="1">
      <alignment horizontal="left"/>
    </xf>
    <xf numFmtId="170" fontId="14" fillId="7" borderId="7" xfId="14" quotePrefix="1" applyNumberFormat="1" applyFont="1" applyFill="1" applyBorder="1" applyAlignment="1" applyProtection="1">
      <alignment horizontal="center"/>
    </xf>
    <xf numFmtId="172" fontId="14" fillId="7" borderId="7" xfId="14" quotePrefix="1" applyNumberFormat="1" applyFont="1" applyFill="1" applyBorder="1" applyAlignment="1" applyProtection="1">
      <alignment horizontal="center"/>
    </xf>
    <xf numFmtId="173" fontId="14" fillId="7" borderId="7" xfId="14" quotePrefix="1" applyNumberFormat="1" applyFont="1" applyFill="1" applyBorder="1" applyAlignment="1" applyProtection="1">
      <alignment horizontal="center"/>
    </xf>
    <xf numFmtId="0" fontId="14" fillId="5" borderId="10" xfId="14" applyFont="1" applyFill="1" applyBorder="1"/>
    <xf numFmtId="0" fontId="14" fillId="5" borderId="11" xfId="14" applyFont="1" applyFill="1" applyBorder="1"/>
    <xf numFmtId="0" fontId="14" fillId="5" borderId="12" xfId="14" applyFont="1" applyFill="1" applyBorder="1"/>
    <xf numFmtId="0" fontId="11" fillId="5" borderId="10" xfId="15" applyFont="1" applyFill="1" applyBorder="1"/>
    <xf numFmtId="0" fontId="11" fillId="5" borderId="11" xfId="15" applyFont="1" applyFill="1" applyBorder="1"/>
    <xf numFmtId="0" fontId="11" fillId="5" borderId="12" xfId="15" applyFont="1" applyFill="1" applyBorder="1"/>
    <xf numFmtId="0" fontId="11" fillId="3" borderId="0" xfId="15" applyFont="1" applyFill="1" applyBorder="1"/>
    <xf numFmtId="0" fontId="11" fillId="5" borderId="0" xfId="0" applyFont="1" applyFill="1" applyBorder="1"/>
    <xf numFmtId="0" fontId="11" fillId="0" borderId="0" xfId="0" applyFont="1"/>
    <xf numFmtId="0" fontId="11" fillId="0" borderId="0" xfId="0" applyFont="1" applyBorder="1"/>
    <xf numFmtId="172" fontId="11" fillId="0" borderId="8" xfId="0" applyNumberFormat="1" applyFont="1" applyBorder="1"/>
    <xf numFmtId="172" fontId="11" fillId="0" borderId="0" xfId="0" applyNumberFormat="1" applyFont="1"/>
    <xf numFmtId="0" fontId="11" fillId="5" borderId="23" xfId="14" applyFont="1" applyFill="1" applyBorder="1"/>
    <xf numFmtId="0" fontId="11" fillId="5" borderId="24" xfId="14" applyFont="1" applyFill="1" applyBorder="1"/>
    <xf numFmtId="0" fontId="11" fillId="0" borderId="0" xfId="14" applyFont="1"/>
    <xf numFmtId="0" fontId="11" fillId="5" borderId="24" xfId="20" applyFont="1" applyFill="1" applyBorder="1"/>
    <xf numFmtId="0" fontId="11" fillId="5" borderId="24" xfId="20" applyFont="1" applyFill="1" applyBorder="1" applyAlignment="1">
      <alignment horizontal="center"/>
    </xf>
    <xf numFmtId="0" fontId="11" fillId="5" borderId="25" xfId="18" applyFont="1" applyFill="1" applyBorder="1"/>
    <xf numFmtId="0" fontId="12" fillId="0" borderId="0" xfId="14" applyFont="1"/>
    <xf numFmtId="0" fontId="11" fillId="5" borderId="4" xfId="20" applyFont="1" applyFill="1" applyBorder="1" applyAlignment="1">
      <alignment horizontal="center"/>
    </xf>
    <xf numFmtId="0" fontId="11" fillId="5" borderId="0" xfId="20" applyFont="1" applyFill="1" applyBorder="1" applyAlignment="1">
      <alignment horizontal="center"/>
    </xf>
    <xf numFmtId="0" fontId="11" fillId="5" borderId="5" xfId="18" applyFont="1" applyFill="1" applyBorder="1"/>
    <xf numFmtId="0" fontId="11" fillId="5" borderId="0" xfId="20" quotePrefix="1" applyFont="1" applyFill="1" applyBorder="1" applyAlignment="1">
      <alignment horizontal="center"/>
    </xf>
    <xf numFmtId="0" fontId="11" fillId="5" borderId="8" xfId="14" applyNumberFormat="1" applyFont="1" applyFill="1" applyBorder="1" applyAlignment="1"/>
    <xf numFmtId="0" fontId="12" fillId="5" borderId="4" xfId="14" applyFont="1" applyFill="1" applyBorder="1" applyAlignment="1">
      <alignment horizontal="center"/>
    </xf>
    <xf numFmtId="0" fontId="11" fillId="5" borderId="4" xfId="0" applyFont="1" applyFill="1" applyBorder="1"/>
    <xf numFmtId="0" fontId="11" fillId="5" borderId="0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0" xfId="0" quotePrefix="1" applyFont="1" applyFill="1" applyBorder="1" applyAlignment="1">
      <alignment horizontal="center"/>
    </xf>
    <xf numFmtId="0" fontId="11" fillId="5" borderId="5" xfId="0" applyFont="1" applyFill="1" applyBorder="1"/>
    <xf numFmtId="0" fontId="11" fillId="5" borderId="10" xfId="0" applyFont="1" applyFill="1" applyBorder="1"/>
    <xf numFmtId="0" fontId="11" fillId="5" borderId="11" xfId="0" applyFont="1" applyFill="1" applyBorder="1"/>
    <xf numFmtId="0" fontId="11" fillId="5" borderId="12" xfId="0" applyFont="1" applyFill="1" applyBorder="1"/>
    <xf numFmtId="0" fontId="12" fillId="5" borderId="10" xfId="14" applyFont="1" applyFill="1" applyBorder="1" applyAlignment="1">
      <alignment horizontal="center"/>
    </xf>
    <xf numFmtId="0" fontId="11" fillId="0" borderId="0" xfId="8" applyFont="1"/>
    <xf numFmtId="172" fontId="11" fillId="0" borderId="0" xfId="8" applyNumberFormat="1" applyFont="1"/>
    <xf numFmtId="0" fontId="11" fillId="5" borderId="0" xfId="19" quotePrefix="1" applyFont="1" applyFill="1" applyBorder="1" applyAlignment="1">
      <alignment horizontal="center"/>
    </xf>
    <xf numFmtId="0" fontId="11" fillId="5" borderId="0" xfId="19" applyFont="1" applyFill="1" applyBorder="1" applyAlignment="1">
      <alignment horizontal="center"/>
    </xf>
    <xf numFmtId="0" fontId="11" fillId="8" borderId="4" xfId="15" applyFont="1" applyFill="1" applyBorder="1"/>
    <xf numFmtId="0" fontId="11" fillId="8" borderId="0" xfId="15" applyFont="1" applyFill="1" applyBorder="1" applyAlignment="1">
      <alignment horizontal="right"/>
    </xf>
    <xf numFmtId="171" fontId="11" fillId="8" borderId="0" xfId="17" applyNumberFormat="1" applyFont="1" applyFill="1" applyBorder="1" applyAlignment="1">
      <alignment horizontal="center"/>
    </xf>
    <xf numFmtId="0" fontId="11" fillId="8" borderId="5" xfId="15" applyFont="1" applyFill="1" applyBorder="1"/>
    <xf numFmtId="1" fontId="11" fillId="5" borderId="6" xfId="15" applyNumberFormat="1" applyFont="1" applyFill="1" applyBorder="1" applyAlignment="1">
      <alignment horizontal="center"/>
    </xf>
    <xf numFmtId="169" fontId="12" fillId="5" borderId="7" xfId="17" applyNumberFormat="1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/>
    </xf>
    <xf numFmtId="0" fontId="11" fillId="6" borderId="6" xfId="15" applyFont="1" applyFill="1" applyBorder="1" applyAlignment="1">
      <alignment horizontal="right" vertical="center"/>
    </xf>
    <xf numFmtId="169" fontId="11" fillId="9" borderId="6" xfId="11" applyNumberFormat="1" applyFont="1" applyFill="1" applyBorder="1" applyAlignment="1">
      <alignment horizontal="center"/>
    </xf>
    <xf numFmtId="0" fontId="11" fillId="5" borderId="6" xfId="0" applyNumberFormat="1" applyFont="1" applyFill="1" applyBorder="1" applyAlignment="1">
      <alignment horizontal="center"/>
    </xf>
    <xf numFmtId="169" fontId="11" fillId="5" borderId="16" xfId="0" applyNumberFormat="1" applyFont="1" applyFill="1" applyBorder="1" applyAlignment="1">
      <alignment horizontal="right"/>
    </xf>
    <xf numFmtId="175" fontId="11" fillId="5" borderId="17" xfId="0" applyNumberFormat="1" applyFont="1" applyFill="1" applyBorder="1" applyAlignment="1">
      <alignment horizontal="center"/>
    </xf>
    <xf numFmtId="169" fontId="11" fillId="5" borderId="18" xfId="0" applyNumberFormat="1" applyFont="1" applyFill="1" applyBorder="1" applyAlignment="1">
      <alignment horizontal="right"/>
    </xf>
    <xf numFmtId="0" fontId="11" fillId="5" borderId="15" xfId="0" applyFont="1" applyFill="1" applyBorder="1" applyAlignment="1">
      <alignment horizontal="center"/>
    </xf>
    <xf numFmtId="0" fontId="17" fillId="6" borderId="16" xfId="0" applyFont="1" applyFill="1" applyBorder="1" applyAlignment="1">
      <alignment horizontal="right"/>
    </xf>
    <xf numFmtId="176" fontId="11" fillId="7" borderId="17" xfId="0" quotePrefix="1" applyNumberFormat="1" applyFont="1" applyFill="1" applyBorder="1" applyAlignment="1">
      <alignment horizontal="center"/>
    </xf>
    <xf numFmtId="0" fontId="17" fillId="6" borderId="18" xfId="0" applyFont="1" applyFill="1" applyBorder="1" applyAlignment="1">
      <alignment horizontal="right"/>
    </xf>
    <xf numFmtId="1" fontId="16" fillId="7" borderId="15" xfId="0" applyNumberFormat="1" applyFont="1" applyFill="1" applyBorder="1" applyAlignment="1">
      <alignment horizontal="left"/>
    </xf>
    <xf numFmtId="0" fontId="19" fillId="5" borderId="11" xfId="14" applyFont="1" applyFill="1" applyBorder="1" applyAlignment="1"/>
    <xf numFmtId="0" fontId="12" fillId="5" borderId="11" xfId="14" applyNumberFormat="1" applyFont="1" applyFill="1" applyBorder="1" applyAlignment="1"/>
    <xf numFmtId="0" fontId="15" fillId="5" borderId="0" xfId="15" applyFont="1" applyFill="1" applyBorder="1" applyAlignment="1">
      <alignment horizontal="right" vertical="center"/>
    </xf>
    <xf numFmtId="174" fontId="16" fillId="5" borderId="0" xfId="15" applyNumberFormat="1" applyFont="1" applyFill="1" applyBorder="1" applyAlignment="1">
      <alignment horizontal="right" vertical="center"/>
    </xf>
    <xf numFmtId="0" fontId="11" fillId="5" borderId="31" xfId="14" applyNumberFormat="1" applyFont="1" applyFill="1" applyBorder="1" applyAlignment="1"/>
    <xf numFmtId="0" fontId="11" fillId="0" borderId="4" xfId="21" applyNumberFormat="1" applyFont="1" applyFill="1" applyBorder="1" applyAlignment="1">
      <alignment vertical="center"/>
    </xf>
    <xf numFmtId="172" fontId="11" fillId="0" borderId="5" xfId="21" quotePrefix="1" applyNumberFormat="1" applyFont="1" applyFill="1" applyBorder="1" applyAlignment="1"/>
    <xf numFmtId="0" fontId="11" fillId="0" borderId="33" xfId="21" applyNumberFormat="1" applyFont="1" applyFill="1" applyBorder="1" applyAlignment="1">
      <alignment vertical="center"/>
    </xf>
    <xf numFmtId="172" fontId="11" fillId="0" borderId="34" xfId="21" quotePrefix="1" applyNumberFormat="1" applyFont="1" applyFill="1" applyBorder="1" applyAlignment="1"/>
    <xf numFmtId="0" fontId="11" fillId="0" borderId="10" xfId="21" applyNumberFormat="1" applyFont="1" applyFill="1" applyBorder="1" applyAlignment="1">
      <alignment vertical="center"/>
    </xf>
    <xf numFmtId="172" fontId="11" fillId="0" borderId="12" xfId="21" quotePrefix="1" applyNumberFormat="1" applyFont="1" applyFill="1" applyBorder="1" applyAlignment="1"/>
    <xf numFmtId="172" fontId="11" fillId="0" borderId="35" xfId="21" applyNumberFormat="1" applyFont="1" applyBorder="1" applyAlignment="1"/>
    <xf numFmtId="172" fontId="11" fillId="0" borderId="36" xfId="21" applyNumberFormat="1" applyFont="1" applyBorder="1" applyAlignment="1"/>
    <xf numFmtId="172" fontId="11" fillId="0" borderId="37" xfId="21" applyNumberFormat="1" applyFont="1" applyBorder="1" applyAlignment="1"/>
    <xf numFmtId="172" fontId="11" fillId="0" borderId="4" xfId="21" applyNumberFormat="1" applyFont="1" applyFill="1" applyBorder="1" applyAlignment="1"/>
    <xf numFmtId="172" fontId="11" fillId="0" borderId="5" xfId="21" applyNumberFormat="1" applyFont="1" applyFill="1" applyBorder="1" applyAlignment="1"/>
    <xf numFmtId="172" fontId="11" fillId="0" borderId="33" xfId="21" applyNumberFormat="1" applyFont="1" applyFill="1" applyBorder="1" applyAlignment="1"/>
    <xf numFmtId="172" fontId="11" fillId="0" borderId="34" xfId="21" applyNumberFormat="1" applyFont="1" applyFill="1" applyBorder="1" applyAlignment="1"/>
    <xf numFmtId="172" fontId="11" fillId="0" borderId="10" xfId="21" applyNumberFormat="1" applyFont="1" applyFill="1" applyBorder="1" applyAlignment="1"/>
    <xf numFmtId="172" fontId="11" fillId="0" borderId="12" xfId="21" applyNumberFormat="1" applyFont="1" applyFill="1" applyBorder="1" applyAlignment="1"/>
    <xf numFmtId="0" fontId="11" fillId="0" borderId="4" xfId="21" applyNumberFormat="1" applyFont="1" applyFill="1" applyBorder="1" applyAlignment="1"/>
    <xf numFmtId="0" fontId="11" fillId="0" borderId="33" xfId="21" applyNumberFormat="1" applyFont="1" applyFill="1" applyBorder="1" applyAlignment="1"/>
    <xf numFmtId="0" fontId="11" fillId="0" borderId="10" xfId="21" applyNumberFormat="1" applyFont="1" applyFill="1" applyBorder="1" applyAlignment="1"/>
    <xf numFmtId="0" fontId="11" fillId="5" borderId="35" xfId="20" applyFont="1" applyFill="1" applyBorder="1" applyAlignment="1">
      <alignment horizontal="center"/>
    </xf>
    <xf numFmtId="0" fontId="11" fillId="5" borderId="35" xfId="20" quotePrefix="1" applyFont="1" applyFill="1" applyBorder="1" applyAlignment="1">
      <alignment horizontal="center"/>
    </xf>
    <xf numFmtId="0" fontId="11" fillId="0" borderId="23" xfId="21" applyNumberFormat="1" applyFont="1" applyFill="1" applyBorder="1" applyAlignment="1"/>
    <xf numFmtId="172" fontId="11" fillId="0" borderId="25" xfId="21" quotePrefix="1" applyNumberFormat="1" applyFont="1" applyFill="1" applyBorder="1" applyAlignment="1"/>
    <xf numFmtId="172" fontId="11" fillId="0" borderId="38" xfId="21" applyNumberFormat="1" applyFont="1" applyBorder="1" applyAlignment="1"/>
    <xf numFmtId="172" fontId="11" fillId="0" borderId="23" xfId="21" applyNumberFormat="1" applyFont="1" applyFill="1" applyBorder="1" applyAlignment="1"/>
    <xf numFmtId="172" fontId="11" fillId="0" borderId="25" xfId="21" applyNumberFormat="1" applyFont="1" applyFill="1" applyBorder="1" applyAlignment="1"/>
    <xf numFmtId="0" fontId="11" fillId="0" borderId="23" xfId="21" applyNumberFormat="1" applyFont="1" applyFill="1" applyBorder="1" applyAlignment="1">
      <alignment horizontal="left"/>
    </xf>
    <xf numFmtId="0" fontId="11" fillId="0" borderId="4" xfId="21" applyNumberFormat="1" applyFont="1" applyFill="1" applyBorder="1" applyAlignment="1">
      <alignment horizontal="left"/>
    </xf>
    <xf numFmtId="0" fontId="11" fillId="0" borderId="33" xfId="21" applyNumberFormat="1" applyFont="1" applyFill="1" applyBorder="1" applyAlignment="1">
      <alignment horizontal="left"/>
    </xf>
    <xf numFmtId="0" fontId="11" fillId="0" borderId="4" xfId="19" applyFont="1" applyBorder="1" applyAlignment="1">
      <alignment horizontal="left"/>
    </xf>
    <xf numFmtId="172" fontId="11" fillId="0" borderId="5" xfId="19" quotePrefix="1" applyNumberFormat="1" applyFont="1" applyFill="1" applyBorder="1"/>
    <xf numFmtId="0" fontId="11" fillId="0" borderId="10" xfId="19" applyFont="1" applyBorder="1" applyAlignment="1">
      <alignment horizontal="left"/>
    </xf>
    <xf numFmtId="172" fontId="11" fillId="0" borderId="12" xfId="19" quotePrefix="1" applyNumberFormat="1" applyFont="1" applyFill="1" applyBorder="1"/>
    <xf numFmtId="172" fontId="11" fillId="0" borderId="35" xfId="11" applyNumberFormat="1" applyFont="1" applyBorder="1" applyAlignment="1"/>
    <xf numFmtId="172" fontId="11" fillId="0" borderId="37" xfId="11" applyNumberFormat="1" applyFont="1" applyBorder="1" applyAlignment="1"/>
    <xf numFmtId="172" fontId="11" fillId="0" borderId="4" xfId="11" applyNumberFormat="1" applyFont="1" applyBorder="1"/>
    <xf numFmtId="172" fontId="11" fillId="0" borderId="5" xfId="11" applyNumberFormat="1" applyFont="1" applyFill="1" applyBorder="1" applyAlignment="1"/>
    <xf numFmtId="0" fontId="17" fillId="5" borderId="23" xfId="14" applyFont="1" applyFill="1" applyBorder="1" applyAlignment="1"/>
    <xf numFmtId="0" fontId="11" fillId="5" borderId="27" xfId="14" applyNumberFormat="1" applyFont="1" applyFill="1" applyBorder="1" applyAlignment="1"/>
    <xf numFmtId="0" fontId="11" fillId="5" borderId="25" xfId="14" applyNumberFormat="1" applyFont="1" applyFill="1" applyBorder="1" applyAlignment="1"/>
    <xf numFmtId="0" fontId="17" fillId="5" borderId="4" xfId="14" applyFont="1" applyFill="1" applyBorder="1" applyAlignment="1"/>
    <xf numFmtId="0" fontId="11" fillId="5" borderId="5" xfId="14" applyNumberFormat="1" applyFont="1" applyFill="1" applyBorder="1" applyAlignment="1"/>
    <xf numFmtId="0" fontId="11" fillId="5" borderId="30" xfId="14" applyNumberFormat="1" applyFont="1" applyFill="1" applyBorder="1" applyAlignment="1"/>
    <xf numFmtId="0" fontId="17" fillId="5" borderId="10" xfId="14" applyFont="1" applyFill="1" applyBorder="1" applyAlignment="1"/>
    <xf numFmtId="0" fontId="11" fillId="5" borderId="32" xfId="14" applyNumberFormat="1" applyFont="1" applyFill="1" applyBorder="1" applyAlignment="1"/>
    <xf numFmtId="0" fontId="17" fillId="5" borderId="43" xfId="14" applyFont="1" applyFill="1" applyBorder="1" applyAlignment="1"/>
    <xf numFmtId="0" fontId="11" fillId="5" borderId="35" xfId="14" applyFont="1" applyFill="1" applyBorder="1" applyAlignment="1">
      <alignment horizontal="center"/>
    </xf>
    <xf numFmtId="0" fontId="11" fillId="5" borderId="37" xfId="14" applyFont="1" applyFill="1" applyBorder="1" applyAlignment="1">
      <alignment horizontal="center"/>
    </xf>
    <xf numFmtId="0" fontId="17" fillId="5" borderId="45" xfId="14" applyFont="1" applyFill="1" applyBorder="1" applyAlignment="1"/>
    <xf numFmtId="0" fontId="17" fillId="5" borderId="39" xfId="14" applyFont="1" applyFill="1" applyBorder="1" applyAlignment="1"/>
    <xf numFmtId="0" fontId="11" fillId="5" borderId="12" xfId="14" applyNumberFormat="1" applyFont="1" applyFill="1" applyBorder="1" applyAlignment="1"/>
    <xf numFmtId="0" fontId="12" fillId="0" borderId="35" xfId="14" applyFont="1" applyBorder="1"/>
    <xf numFmtId="0" fontId="12" fillId="5" borderId="35" xfId="14" applyFont="1" applyFill="1" applyBorder="1" applyAlignment="1">
      <alignment horizontal="center"/>
    </xf>
    <xf numFmtId="0" fontId="12" fillId="5" borderId="37" xfId="14" applyFont="1" applyFill="1" applyBorder="1" applyAlignment="1">
      <alignment horizontal="center"/>
    </xf>
    <xf numFmtId="0" fontId="12" fillId="5" borderId="35" xfId="14" applyFont="1" applyFill="1" applyBorder="1"/>
    <xf numFmtId="0" fontId="5" fillId="5" borderId="35" xfId="14" applyFont="1" applyFill="1" applyBorder="1"/>
    <xf numFmtId="0" fontId="12" fillId="5" borderId="36" xfId="14" applyFont="1" applyFill="1" applyBorder="1" applyAlignment="1">
      <alignment horizontal="center"/>
    </xf>
    <xf numFmtId="0" fontId="11" fillId="0" borderId="10" xfId="21" applyNumberFormat="1" applyFont="1" applyFill="1" applyBorder="1" applyAlignment="1">
      <alignment horizontal="left"/>
    </xf>
    <xf numFmtId="172" fontId="11" fillId="0" borderId="10" xfId="11" applyNumberFormat="1" applyFont="1" applyBorder="1"/>
    <xf numFmtId="172" fontId="11" fillId="0" borderId="12" xfId="11" applyNumberFormat="1" applyFont="1" applyFill="1" applyBorder="1" applyAlignment="1"/>
    <xf numFmtId="0" fontId="11" fillId="0" borderId="35" xfId="20" applyFont="1" applyFill="1" applyBorder="1" applyAlignment="1">
      <alignment horizontal="center"/>
    </xf>
    <xf numFmtId="0" fontId="11" fillId="5" borderId="5" xfId="18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6" fillId="5" borderId="0" xfId="15" quotePrefix="1" applyFont="1" applyFill="1" applyBorder="1" applyAlignment="1">
      <alignment horizontal="center" vertical="center"/>
    </xf>
    <xf numFmtId="169" fontId="12" fillId="5" borderId="0" xfId="17" applyNumberFormat="1" applyFont="1" applyFill="1" applyBorder="1" applyAlignment="1">
      <alignment horizontal="center" vertical="center"/>
    </xf>
    <xf numFmtId="0" fontId="13" fillId="4" borderId="1" xfId="16" applyFont="1" applyFill="1" applyBorder="1" applyAlignment="1">
      <alignment horizontal="centerContinuous" vertical="center"/>
    </xf>
    <xf numFmtId="0" fontId="13" fillId="4" borderId="46" xfId="16" applyFont="1" applyFill="1" applyBorder="1" applyAlignment="1">
      <alignment horizontal="centerContinuous" vertical="center"/>
    </xf>
    <xf numFmtId="171" fontId="11" fillId="5" borderId="6" xfId="15" applyNumberFormat="1" applyFont="1" applyFill="1" applyBorder="1" applyAlignment="1">
      <alignment horizontal="center"/>
    </xf>
    <xf numFmtId="1" fontId="11" fillId="5" borderId="6" xfId="17" applyNumberFormat="1" applyFont="1" applyFill="1" applyBorder="1" applyAlignment="1">
      <alignment horizontal="center"/>
    </xf>
    <xf numFmtId="1" fontId="11" fillId="5" borderId="7" xfId="17" applyNumberFormat="1" applyFont="1" applyFill="1" applyBorder="1" applyAlignment="1">
      <alignment horizontal="center"/>
    </xf>
    <xf numFmtId="0" fontId="11" fillId="5" borderId="11" xfId="15" applyFont="1" applyFill="1" applyBorder="1" applyAlignment="1">
      <alignment horizontal="center"/>
    </xf>
    <xf numFmtId="0" fontId="15" fillId="5" borderId="11" xfId="15" applyFont="1" applyFill="1" applyBorder="1" applyAlignment="1">
      <alignment horizontal="right" vertical="center"/>
    </xf>
    <xf numFmtId="177" fontId="11" fillId="0" borderId="0" xfId="8" applyNumberFormat="1" applyFont="1"/>
    <xf numFmtId="171" fontId="11" fillId="0" borderId="0" xfId="0" applyNumberFormat="1" applyFont="1"/>
    <xf numFmtId="0" fontId="11" fillId="8" borderId="0" xfId="0" applyFont="1" applyFill="1"/>
    <xf numFmtId="172" fontId="11" fillId="8" borderId="0" xfId="0" applyNumberFormat="1" applyFont="1" applyFill="1"/>
    <xf numFmtId="0" fontId="11" fillId="8" borderId="39" xfId="0" applyFont="1" applyFill="1" applyBorder="1" applyAlignment="1"/>
    <xf numFmtId="171" fontId="11" fillId="8" borderId="8" xfId="0" applyNumberFormat="1" applyFont="1" applyFill="1" applyBorder="1" applyAlignment="1"/>
    <xf numFmtId="172" fontId="11" fillId="8" borderId="8" xfId="0" applyNumberFormat="1" applyFont="1" applyFill="1" applyBorder="1" applyAlignment="1"/>
    <xf numFmtId="172" fontId="11" fillId="8" borderId="30" xfId="0" applyNumberFormat="1" applyFont="1" applyFill="1" applyBorder="1"/>
    <xf numFmtId="0" fontId="11" fillId="8" borderId="43" xfId="0" applyFont="1" applyFill="1" applyBorder="1" applyAlignment="1"/>
    <xf numFmtId="171" fontId="11" fillId="8" borderId="31" xfId="0" applyNumberFormat="1" applyFont="1" applyFill="1" applyBorder="1" applyAlignment="1"/>
    <xf numFmtId="172" fontId="11" fillId="8" borderId="32" xfId="0" applyNumberFormat="1" applyFont="1" applyFill="1" applyBorder="1"/>
    <xf numFmtId="0" fontId="21" fillId="11" borderId="51" xfId="0" applyFont="1" applyFill="1" applyBorder="1" applyAlignment="1">
      <alignment horizontal="center" vertical="center" wrapText="1"/>
    </xf>
    <xf numFmtId="0" fontId="21" fillId="11" borderId="52" xfId="0" applyFont="1" applyFill="1" applyBorder="1" applyAlignment="1">
      <alignment horizontal="center" vertical="center" wrapText="1"/>
    </xf>
    <xf numFmtId="0" fontId="21" fillId="11" borderId="53" xfId="0" applyFont="1" applyFill="1" applyBorder="1" applyAlignment="1">
      <alignment horizontal="center" vertical="center" wrapText="1"/>
    </xf>
    <xf numFmtId="2" fontId="11" fillId="8" borderId="0" xfId="0" applyNumberFormat="1" applyFont="1" applyFill="1" applyBorder="1"/>
    <xf numFmtId="0" fontId="11" fillId="8" borderId="0" xfId="0" applyFont="1" applyFill="1" applyBorder="1" applyAlignment="1">
      <alignment horizontal="center"/>
    </xf>
    <xf numFmtId="172" fontId="11" fillId="8" borderId="0" xfId="0" applyNumberFormat="1" applyFont="1" applyFill="1" applyBorder="1"/>
    <xf numFmtId="0" fontId="11" fillId="8" borderId="0" xfId="0" applyFont="1" applyFill="1" applyBorder="1"/>
    <xf numFmtId="2" fontId="11" fillId="8" borderId="13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9" xfId="0" applyNumberFormat="1" applyFont="1" applyFill="1" applyBorder="1" applyAlignment="1">
      <alignment horizontal="center" vertical="center"/>
    </xf>
    <xf numFmtId="2" fontId="11" fillId="8" borderId="8" xfId="0" applyNumberFormat="1" applyFont="1" applyFill="1" applyBorder="1" applyAlignment="1">
      <alignment horizontal="center" vertical="center"/>
    </xf>
    <xf numFmtId="172" fontId="11" fillId="8" borderId="8" xfId="0" applyNumberFormat="1" applyFont="1" applyFill="1" applyBorder="1" applyAlignment="1">
      <alignment vertical="center"/>
    </xf>
    <xf numFmtId="2" fontId="11" fillId="8" borderId="0" xfId="0" applyNumberFormat="1" applyFont="1" applyFill="1" applyBorder="1" applyAlignment="1"/>
    <xf numFmtId="0" fontId="11" fillId="8" borderId="0" xfId="0" applyFont="1" applyFill="1" applyAlignment="1">
      <alignment vertical="center"/>
    </xf>
    <xf numFmtId="0" fontId="11" fillId="8" borderId="0" xfId="0" applyFont="1" applyFill="1" applyAlignment="1"/>
    <xf numFmtId="0" fontId="21" fillId="11" borderId="42" xfId="0" applyFont="1" applyFill="1" applyBorder="1" applyAlignment="1">
      <alignment horizontal="center" vertical="center" wrapText="1"/>
    </xf>
    <xf numFmtId="172" fontId="11" fillId="8" borderId="13" xfId="17" applyNumberFormat="1" applyFont="1" applyFill="1" applyBorder="1"/>
    <xf numFmtId="172" fontId="11" fillId="8" borderId="54" xfId="17" applyNumberFormat="1" applyFont="1" applyFill="1" applyBorder="1"/>
    <xf numFmtId="0" fontId="21" fillId="11" borderId="55" xfId="0" applyFont="1" applyFill="1" applyBorder="1" applyAlignment="1">
      <alignment horizontal="center" vertical="center" wrapText="1"/>
    </xf>
    <xf numFmtId="0" fontId="21" fillId="11" borderId="57" xfId="0" applyFont="1" applyFill="1" applyBorder="1" applyAlignment="1">
      <alignment horizontal="center" vertical="center" wrapText="1"/>
    </xf>
    <xf numFmtId="171" fontId="11" fillId="8" borderId="59" xfId="0" applyNumberFormat="1" applyFont="1" applyFill="1" applyBorder="1"/>
    <xf numFmtId="172" fontId="11" fillId="8" borderId="16" xfId="0" applyNumberFormat="1" applyFont="1" applyFill="1" applyBorder="1"/>
    <xf numFmtId="172" fontId="11" fillId="8" borderId="60" xfId="0" applyNumberFormat="1" applyFont="1" applyFill="1" applyBorder="1"/>
    <xf numFmtId="171" fontId="11" fillId="8" borderId="39" xfId="0" applyNumberFormat="1" applyFont="1" applyFill="1" applyBorder="1"/>
    <xf numFmtId="172" fontId="11" fillId="8" borderId="8" xfId="0" applyNumberFormat="1" applyFont="1" applyFill="1" applyBorder="1"/>
    <xf numFmtId="171" fontId="11" fillId="8" borderId="43" xfId="0" applyNumberFormat="1" applyFont="1" applyFill="1" applyBorder="1"/>
    <xf numFmtId="172" fontId="11" fillId="8" borderId="31" xfId="0" applyNumberFormat="1" applyFont="1" applyFill="1" applyBorder="1"/>
    <xf numFmtId="172" fontId="11" fillId="8" borderId="30" xfId="17" applyNumberFormat="1" applyFont="1" applyFill="1" applyBorder="1"/>
    <xf numFmtId="172" fontId="11" fillId="8" borderId="32" xfId="17" applyNumberFormat="1" applyFont="1" applyFill="1" applyBorder="1"/>
    <xf numFmtId="171" fontId="11" fillId="8" borderId="16" xfId="0" applyNumberFormat="1" applyFont="1" applyFill="1" applyBorder="1" applyAlignment="1"/>
    <xf numFmtId="171" fontId="11" fillId="8" borderId="16" xfId="0" applyNumberFormat="1" applyFont="1" applyFill="1" applyBorder="1"/>
    <xf numFmtId="171" fontId="11" fillId="8" borderId="8" xfId="0" applyNumberFormat="1" applyFont="1" applyFill="1" applyBorder="1"/>
    <xf numFmtId="171" fontId="11" fillId="8" borderId="31" xfId="0" applyNumberFormat="1" applyFont="1" applyFill="1" applyBorder="1"/>
    <xf numFmtId="0" fontId="11" fillId="8" borderId="39" xfId="0" applyFont="1" applyFill="1" applyBorder="1" applyAlignment="1">
      <alignment horizontal="center" vertical="center"/>
    </xf>
    <xf numFmtId="0" fontId="11" fillId="8" borderId="43" xfId="0" applyFont="1" applyFill="1" applyBorder="1" applyAlignment="1">
      <alignment horizontal="center" vertical="center"/>
    </xf>
    <xf numFmtId="0" fontId="11" fillId="8" borderId="59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171" fontId="11" fillId="8" borderId="53" xfId="0" applyNumberFormat="1" applyFont="1" applyFill="1" applyBorder="1" applyAlignment="1">
      <alignment horizontal="center" vertical="center"/>
    </xf>
    <xf numFmtId="171" fontId="11" fillId="8" borderId="56" xfId="0" applyNumberFormat="1" applyFont="1" applyFill="1" applyBorder="1" applyAlignment="1">
      <alignment horizontal="center" vertical="center"/>
    </xf>
    <xf numFmtId="0" fontId="11" fillId="8" borderId="5" xfId="0" applyFont="1" applyFill="1" applyBorder="1" applyAlignment="1"/>
    <xf numFmtId="0" fontId="23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20" fillId="8" borderId="0" xfId="0" applyFont="1" applyFill="1" applyAlignment="1">
      <alignment horizontal="center" vertical="center"/>
    </xf>
    <xf numFmtId="2" fontId="11" fillId="8" borderId="0" xfId="0" applyNumberFormat="1" applyFont="1" applyFill="1"/>
    <xf numFmtId="173" fontId="11" fillId="8" borderId="8" xfId="0" applyNumberFormat="1" applyFont="1" applyFill="1" applyBorder="1"/>
    <xf numFmtId="173" fontId="11" fillId="8" borderId="31" xfId="0" applyNumberFormat="1" applyFont="1" applyFill="1" applyBorder="1"/>
    <xf numFmtId="0" fontId="21" fillId="11" borderId="29" xfId="0" applyFont="1" applyFill="1" applyBorder="1" applyAlignment="1">
      <alignment horizontal="center" vertical="center" wrapText="1"/>
    </xf>
    <xf numFmtId="0" fontId="21" fillId="11" borderId="48" xfId="0" applyFont="1" applyFill="1" applyBorder="1" applyAlignment="1">
      <alignment horizontal="center" vertical="center" wrapText="1"/>
    </xf>
    <xf numFmtId="178" fontId="11" fillId="8" borderId="0" xfId="0" applyNumberFormat="1" applyFont="1" applyFill="1"/>
    <xf numFmtId="172" fontId="11" fillId="8" borderId="6" xfId="0" applyNumberFormat="1" applyFont="1" applyFill="1" applyBorder="1" applyAlignment="1">
      <alignment horizontal="center" vertical="center"/>
    </xf>
    <xf numFmtId="172" fontId="11" fillId="8" borderId="18" xfId="0" applyNumberFormat="1" applyFont="1" applyFill="1" applyBorder="1"/>
    <xf numFmtId="0" fontId="21" fillId="11" borderId="45" xfId="0" applyFont="1" applyFill="1" applyBorder="1" applyAlignment="1">
      <alignment horizontal="center" vertical="center" wrapText="1"/>
    </xf>
    <xf numFmtId="0" fontId="21" fillId="11" borderId="27" xfId="0" applyFont="1" applyFill="1" applyBorder="1" applyAlignment="1">
      <alignment horizontal="center" vertical="center" wrapText="1"/>
    </xf>
    <xf numFmtId="0" fontId="21" fillId="11" borderId="47" xfId="0" applyFont="1" applyFill="1" applyBorder="1" applyAlignment="1">
      <alignment horizontal="center" vertical="center" wrapText="1"/>
    </xf>
    <xf numFmtId="0" fontId="11" fillId="0" borderId="39" xfId="0" applyFont="1" applyBorder="1"/>
    <xf numFmtId="171" fontId="11" fillId="0" borderId="8" xfId="0" applyNumberFormat="1" applyFont="1" applyBorder="1"/>
    <xf numFmtId="0" fontId="11" fillId="0" borderId="43" xfId="0" applyFont="1" applyBorder="1"/>
    <xf numFmtId="171" fontId="11" fillId="0" borderId="31" xfId="0" applyNumberFormat="1" applyFont="1" applyBorder="1"/>
    <xf numFmtId="172" fontId="11" fillId="0" borderId="31" xfId="0" applyNumberFormat="1" applyFont="1" applyBorder="1"/>
    <xf numFmtId="0" fontId="11" fillId="0" borderId="24" xfId="0" applyFont="1" applyBorder="1"/>
    <xf numFmtId="0" fontId="11" fillId="8" borderId="4" xfId="14" applyFont="1" applyFill="1" applyBorder="1"/>
    <xf numFmtId="0" fontId="24" fillId="11" borderId="6" xfId="14" applyFont="1" applyFill="1" applyBorder="1" applyAlignment="1">
      <alignment horizontal="center" vertical="center" wrapText="1"/>
    </xf>
    <xf numFmtId="0" fontId="24" fillId="11" borderId="6" xfId="32" applyFont="1" applyFill="1" applyBorder="1" applyAlignment="1">
      <alignment horizontal="center" vertical="center" wrapText="1"/>
    </xf>
    <xf numFmtId="0" fontId="21" fillId="11" borderId="6" xfId="14" applyFont="1" applyFill="1" applyBorder="1" applyAlignment="1">
      <alignment horizontal="center" vertical="center"/>
    </xf>
    <xf numFmtId="0" fontId="11" fillId="8" borderId="0" xfId="14" applyFont="1" applyFill="1" applyBorder="1" applyAlignment="1">
      <alignment horizontal="center" vertical="center"/>
    </xf>
    <xf numFmtId="0" fontId="21" fillId="11" borderId="6" xfId="14" applyFont="1" applyFill="1" applyBorder="1" applyAlignment="1">
      <alignment horizontal="center" vertical="center" wrapText="1"/>
    </xf>
    <xf numFmtId="0" fontId="11" fillId="8" borderId="4" xfId="14" applyFont="1" applyFill="1" applyBorder="1" applyAlignment="1">
      <alignment horizontal="center"/>
    </xf>
    <xf numFmtId="0" fontId="11" fillId="8" borderId="8" xfId="14" applyNumberFormat="1" applyFont="1" applyFill="1" applyBorder="1" applyAlignment="1">
      <alignment horizontal="center"/>
    </xf>
    <xf numFmtId="0" fontId="11" fillId="8" borderId="8" xfId="35" applyNumberFormat="1" applyFont="1" applyFill="1" applyBorder="1" applyAlignment="1">
      <alignment horizontal="center"/>
    </xf>
    <xf numFmtId="0" fontId="11" fillId="8" borderId="8" xfId="32" applyNumberFormat="1" applyFont="1" applyFill="1" applyBorder="1" applyAlignment="1">
      <alignment horizontal="center"/>
    </xf>
    <xf numFmtId="0" fontId="11" fillId="8" borderId="8" xfId="14" applyFont="1" applyFill="1" applyBorder="1" applyAlignment="1">
      <alignment horizontal="center"/>
    </xf>
    <xf numFmtId="172" fontId="11" fillId="8" borderId="8" xfId="14" applyNumberFormat="1" applyFont="1" applyFill="1" applyBorder="1" applyAlignment="1">
      <alignment horizontal="left"/>
    </xf>
    <xf numFmtId="0" fontId="11" fillId="8" borderId="8" xfId="14" applyNumberFormat="1" applyFont="1" applyFill="1" applyBorder="1" applyAlignment="1">
      <alignment horizontal="left"/>
    </xf>
    <xf numFmtId="0" fontId="11" fillId="8" borderId="8" xfId="14" applyNumberFormat="1" applyFont="1" applyFill="1" applyBorder="1" applyAlignment="1"/>
    <xf numFmtId="0" fontId="11" fillId="8" borderId="8" xfId="14" applyFont="1" applyFill="1" applyBorder="1"/>
    <xf numFmtId="0" fontId="11" fillId="8" borderId="0" xfId="14" applyFont="1" applyFill="1" applyBorder="1"/>
    <xf numFmtId="172" fontId="11" fillId="8" borderId="8" xfId="14" applyNumberFormat="1" applyFont="1" applyFill="1" applyBorder="1"/>
    <xf numFmtId="171" fontId="11" fillId="8" borderId="8" xfId="14" applyNumberFormat="1" applyFont="1" applyFill="1" applyBorder="1"/>
    <xf numFmtId="0" fontId="11" fillId="8" borderId="18" xfId="14" applyNumberFormat="1" applyFont="1" applyFill="1" applyBorder="1" applyAlignment="1">
      <alignment horizontal="center"/>
    </xf>
    <xf numFmtId="0" fontId="11" fillId="8" borderId="18" xfId="35" applyNumberFormat="1" applyFont="1" applyFill="1" applyBorder="1" applyAlignment="1">
      <alignment horizontal="center"/>
    </xf>
    <xf numFmtId="0" fontId="11" fillId="8" borderId="18" xfId="32" applyNumberFormat="1" applyFont="1" applyFill="1" applyBorder="1" applyAlignment="1">
      <alignment horizontal="center"/>
    </xf>
    <xf numFmtId="0" fontId="11" fillId="8" borderId="18" xfId="14" applyFont="1" applyFill="1" applyBorder="1" applyAlignment="1">
      <alignment horizontal="center"/>
    </xf>
    <xf numFmtId="172" fontId="11" fillId="8" borderId="18" xfId="14" applyNumberFormat="1" applyFont="1" applyFill="1" applyBorder="1" applyAlignment="1">
      <alignment horizontal="left"/>
    </xf>
    <xf numFmtId="0" fontId="11" fillId="8" borderId="18" xfId="14" applyFont="1" applyFill="1" applyBorder="1"/>
    <xf numFmtId="172" fontId="11" fillId="8" borderId="18" xfId="14" applyNumberFormat="1" applyFont="1" applyFill="1" applyBorder="1"/>
    <xf numFmtId="171" fontId="11" fillId="8" borderId="18" xfId="14" applyNumberFormat="1" applyFont="1" applyFill="1" applyBorder="1"/>
    <xf numFmtId="0" fontId="21" fillId="11" borderId="19" xfId="14" applyFont="1" applyFill="1" applyBorder="1" applyAlignment="1">
      <alignment horizontal="centerContinuous" vertical="center"/>
    </xf>
    <xf numFmtId="0" fontId="21" fillId="11" borderId="20" xfId="14" applyFont="1" applyFill="1" applyBorder="1" applyAlignment="1">
      <alignment horizontal="centerContinuous" vertical="center"/>
    </xf>
    <xf numFmtId="0" fontId="21" fillId="11" borderId="7" xfId="14" applyFont="1" applyFill="1" applyBorder="1" applyAlignment="1">
      <alignment horizontal="centerContinuous" vertical="center"/>
    </xf>
    <xf numFmtId="0" fontId="11" fillId="0" borderId="0" xfId="32" applyFont="1"/>
    <xf numFmtId="172" fontId="11" fillId="0" borderId="0" xfId="42" applyNumberFormat="1" applyFont="1"/>
    <xf numFmtId="0" fontId="11" fillId="0" borderId="0" xfId="14" applyFont="1" applyAlignment="1">
      <alignment horizontal="left"/>
    </xf>
    <xf numFmtId="175" fontId="11" fillId="8" borderId="16" xfId="14" applyNumberFormat="1" applyFont="1" applyFill="1" applyBorder="1"/>
    <xf numFmtId="175" fontId="11" fillId="8" borderId="8" xfId="14" applyNumberFormat="1" applyFont="1" applyFill="1" applyBorder="1"/>
    <xf numFmtId="175" fontId="11" fillId="8" borderId="18" xfId="14" applyNumberFormat="1" applyFont="1" applyFill="1" applyBorder="1"/>
    <xf numFmtId="0" fontId="11" fillId="8" borderId="13" xfId="14" applyFont="1" applyFill="1" applyBorder="1"/>
    <xf numFmtId="0" fontId="11" fillId="8" borderId="14" xfId="14" applyFont="1" applyFill="1" applyBorder="1"/>
    <xf numFmtId="0" fontId="11" fillId="0" borderId="16" xfId="14" applyFont="1" applyBorder="1"/>
    <xf numFmtId="0" fontId="11" fillId="0" borderId="8" xfId="14" applyFont="1" applyBorder="1"/>
    <xf numFmtId="0" fontId="11" fillId="0" borderId="18" xfId="14" applyFont="1" applyBorder="1"/>
    <xf numFmtId="0" fontId="21" fillId="11" borderId="1" xfId="14" applyFont="1" applyFill="1" applyBorder="1" applyAlignment="1">
      <alignment horizontal="centerContinuous" vertical="center"/>
    </xf>
    <xf numFmtId="0" fontId="21" fillId="11" borderId="2" xfId="14" applyFont="1" applyFill="1" applyBorder="1" applyAlignment="1">
      <alignment horizontal="centerContinuous" vertical="center"/>
    </xf>
    <xf numFmtId="0" fontId="21" fillId="11" borderId="3" xfId="14" applyFont="1" applyFill="1" applyBorder="1" applyAlignment="1">
      <alignment horizontal="centerContinuous" vertical="center"/>
    </xf>
    <xf numFmtId="171" fontId="25" fillId="8" borderId="27" xfId="43" applyNumberFormat="1" applyFont="1" applyFill="1" applyBorder="1"/>
    <xf numFmtId="171" fontId="25" fillId="8" borderId="8" xfId="43" applyNumberFormat="1" applyFont="1" applyFill="1" applyBorder="1"/>
    <xf numFmtId="171" fontId="25" fillId="8" borderId="31" xfId="43" applyNumberFormat="1" applyFont="1" applyFill="1" applyBorder="1"/>
    <xf numFmtId="0" fontId="11" fillId="9" borderId="6" xfId="11" applyNumberFormat="1" applyFont="1" applyFill="1" applyBorder="1" applyAlignment="1">
      <alignment horizontal="center"/>
    </xf>
    <xf numFmtId="0" fontId="11" fillId="8" borderId="18" xfId="14" applyNumberFormat="1" applyFont="1" applyFill="1" applyBorder="1" applyAlignment="1">
      <alignment horizontal="left"/>
    </xf>
    <xf numFmtId="0" fontId="11" fillId="8" borderId="18" xfId="14" applyNumberFormat="1" applyFont="1" applyFill="1" applyBorder="1" applyAlignment="1"/>
    <xf numFmtId="0" fontId="11" fillId="0" borderId="22" xfId="14" applyFont="1" applyBorder="1"/>
    <xf numFmtId="0" fontId="11" fillId="0" borderId="16" xfId="14" applyFont="1" applyBorder="1" applyAlignment="1">
      <alignment horizontal="left"/>
    </xf>
    <xf numFmtId="0" fontId="11" fillId="0" borderId="21" xfId="14" applyFont="1" applyBorder="1"/>
    <xf numFmtId="0" fontId="11" fillId="0" borderId="22" xfId="32" applyFont="1" applyBorder="1"/>
    <xf numFmtId="0" fontId="11" fillId="0" borderId="17" xfId="14" applyFont="1" applyBorder="1"/>
    <xf numFmtId="0" fontId="11" fillId="8" borderId="16" xfId="14" applyNumberFormat="1" applyFont="1" applyFill="1" applyBorder="1" applyAlignment="1">
      <alignment horizontal="center"/>
    </xf>
    <xf numFmtId="0" fontId="11" fillId="8" borderId="16" xfId="35" applyNumberFormat="1" applyFont="1" applyFill="1" applyBorder="1" applyAlignment="1">
      <alignment horizontal="center"/>
    </xf>
    <xf numFmtId="0" fontId="11" fillId="8" borderId="16" xfId="32" applyNumberFormat="1" applyFont="1" applyFill="1" applyBorder="1" applyAlignment="1">
      <alignment horizontal="center"/>
    </xf>
    <xf numFmtId="0" fontId="11" fillId="8" borderId="16" xfId="14" applyFont="1" applyFill="1" applyBorder="1" applyAlignment="1">
      <alignment horizontal="center"/>
    </xf>
    <xf numFmtId="172" fontId="11" fillId="8" borderId="16" xfId="14" applyNumberFormat="1" applyFont="1" applyFill="1" applyBorder="1" applyAlignment="1">
      <alignment horizontal="left"/>
    </xf>
    <xf numFmtId="0" fontId="11" fillId="8" borderId="16" xfId="14" applyNumberFormat="1" applyFont="1" applyFill="1" applyBorder="1" applyAlignment="1">
      <alignment horizontal="left"/>
    </xf>
    <xf numFmtId="0" fontId="11" fillId="8" borderId="16" xfId="14" applyNumberFormat="1" applyFont="1" applyFill="1" applyBorder="1" applyAlignment="1"/>
    <xf numFmtId="0" fontId="11" fillId="8" borderId="16" xfId="14" applyFont="1" applyFill="1" applyBorder="1"/>
    <xf numFmtId="175" fontId="11" fillId="5" borderId="16" xfId="0" applyNumberFormat="1" applyFont="1" applyFill="1" applyBorder="1" applyAlignment="1">
      <alignment horizontal="center"/>
    </xf>
    <xf numFmtId="175" fontId="11" fillId="5" borderId="18" xfId="0" applyNumberFormat="1" applyFont="1" applyFill="1" applyBorder="1" applyAlignment="1">
      <alignment horizontal="center"/>
    </xf>
    <xf numFmtId="0" fontId="11" fillId="8" borderId="6" xfId="14" applyNumberFormat="1" applyFont="1" applyFill="1" applyBorder="1" applyAlignment="1">
      <alignment horizontal="center"/>
    </xf>
    <xf numFmtId="0" fontId="11" fillId="0" borderId="22" xfId="32" applyFont="1" applyBorder="1" applyAlignment="1">
      <alignment horizontal="center" vertical="center"/>
    </xf>
    <xf numFmtId="0" fontId="11" fillId="0" borderId="21" xfId="14" applyFont="1" applyBorder="1" applyAlignment="1">
      <alignment horizontal="center" vertical="center"/>
    </xf>
    <xf numFmtId="172" fontId="11" fillId="8" borderId="8" xfId="14" applyNumberFormat="1" applyFont="1" applyFill="1" applyBorder="1" applyAlignment="1">
      <alignment horizontal="center" vertical="center"/>
    </xf>
    <xf numFmtId="172" fontId="11" fillId="8" borderId="18" xfId="14" applyNumberFormat="1" applyFont="1" applyFill="1" applyBorder="1" applyAlignment="1">
      <alignment horizontal="center" vertical="center"/>
    </xf>
    <xf numFmtId="0" fontId="21" fillId="11" borderId="16" xfId="14" applyFont="1" applyFill="1" applyBorder="1" applyAlignment="1">
      <alignment horizontal="center" vertical="center" wrapText="1"/>
    </xf>
    <xf numFmtId="172" fontId="11" fillId="8" borderId="16" xfId="14" applyNumberFormat="1" applyFont="1" applyFill="1" applyBorder="1"/>
    <xf numFmtId="172" fontId="11" fillId="8" borderId="16" xfId="14" applyNumberFormat="1" applyFont="1" applyFill="1" applyBorder="1" applyAlignment="1">
      <alignment horizontal="center" vertical="center"/>
    </xf>
    <xf numFmtId="171" fontId="11" fillId="8" borderId="16" xfId="14" applyNumberFormat="1" applyFont="1" applyFill="1" applyBorder="1"/>
    <xf numFmtId="171" fontId="11" fillId="0" borderId="0" xfId="8" applyNumberFormat="1" applyFont="1" applyBorder="1"/>
    <xf numFmtId="172" fontId="11" fillId="0" borderId="0" xfId="11" applyNumberFormat="1" applyFont="1" applyBorder="1"/>
    <xf numFmtId="0" fontId="11" fillId="0" borderId="0" xfId="8" applyFont="1" applyBorder="1"/>
    <xf numFmtId="172" fontId="11" fillId="0" borderId="0" xfId="8" applyNumberFormat="1" applyFont="1" applyBorder="1"/>
    <xf numFmtId="0" fontId="11" fillId="0" borderId="16" xfId="8" applyFont="1" applyBorder="1"/>
    <xf numFmtId="171" fontId="11" fillId="0" borderId="16" xfId="8" applyNumberFormat="1" applyFont="1" applyBorder="1"/>
    <xf numFmtId="0" fontId="11" fillId="0" borderId="8" xfId="8" applyFont="1" applyBorder="1"/>
    <xf numFmtId="171" fontId="11" fillId="0" borderId="8" xfId="8" applyNumberFormat="1" applyFont="1" applyBorder="1"/>
    <xf numFmtId="0" fontId="11" fillId="0" borderId="18" xfId="8" applyFont="1" applyBorder="1"/>
    <xf numFmtId="171" fontId="11" fillId="0" borderId="18" xfId="8" applyNumberFormat="1" applyFont="1" applyBorder="1"/>
    <xf numFmtId="0" fontId="11" fillId="0" borderId="0" xfId="14" applyFont="1" applyBorder="1"/>
    <xf numFmtId="0" fontId="21" fillId="11" borderId="6" xfId="8" applyFont="1" applyFill="1" applyBorder="1" applyAlignment="1">
      <alignment horizontal="center" vertical="center" wrapText="1"/>
    </xf>
    <xf numFmtId="0" fontId="21" fillId="11" borderId="41" xfId="14" applyFont="1" applyFill="1" applyBorder="1"/>
    <xf numFmtId="0" fontId="21" fillId="11" borderId="40" xfId="14" applyFont="1" applyFill="1" applyBorder="1"/>
    <xf numFmtId="0" fontId="26" fillId="11" borderId="27" xfId="14" applyFont="1" applyFill="1" applyBorder="1" applyAlignment="1">
      <alignment horizontal="left"/>
    </xf>
    <xf numFmtId="0" fontId="21" fillId="11" borderId="26" xfId="14" applyFont="1" applyFill="1" applyBorder="1" applyAlignment="1">
      <alignment horizontal="left"/>
    </xf>
    <xf numFmtId="0" fontId="21" fillId="11" borderId="44" xfId="14" applyFont="1" applyFill="1" applyBorder="1" applyAlignment="1">
      <alignment horizontal="left"/>
    </xf>
    <xf numFmtId="0" fontId="27" fillId="11" borderId="35" xfId="14" applyFont="1" applyFill="1" applyBorder="1" applyAlignment="1">
      <alignment horizontal="center"/>
    </xf>
    <xf numFmtId="0" fontId="27" fillId="11" borderId="37" xfId="14" applyFont="1" applyFill="1" applyBorder="1" applyAlignment="1">
      <alignment horizontal="center"/>
    </xf>
    <xf numFmtId="0" fontId="26" fillId="11" borderId="27" xfId="14" applyFont="1" applyFill="1" applyBorder="1" applyAlignment="1">
      <alignment horizontal="center" vertical="center"/>
    </xf>
    <xf numFmtId="0" fontId="11" fillId="5" borderId="38" xfId="14" applyNumberFormat="1" applyFont="1" applyFill="1" applyBorder="1" applyAlignment="1"/>
    <xf numFmtId="0" fontId="11" fillId="5" borderId="35" xfId="14" applyNumberFormat="1" applyFont="1" applyFill="1" applyBorder="1" applyAlignment="1"/>
    <xf numFmtId="0" fontId="11" fillId="5" borderId="37" xfId="14" applyNumberFormat="1" applyFont="1" applyFill="1" applyBorder="1" applyAlignment="1"/>
    <xf numFmtId="172" fontId="24" fillId="11" borderId="28" xfId="21" applyNumberFormat="1" applyFont="1" applyFill="1" applyBorder="1" applyAlignment="1">
      <alignment horizontal="center" vertical="center" wrapText="1"/>
    </xf>
    <xf numFmtId="173" fontId="24" fillId="11" borderId="29" xfId="21" applyNumberFormat="1" applyFont="1" applyFill="1" applyBorder="1" applyAlignment="1">
      <alignment horizontal="center" vertical="center" wrapText="1"/>
    </xf>
    <xf numFmtId="172" fontId="24" fillId="11" borderId="26" xfId="21" applyNumberFormat="1" applyFont="1" applyFill="1" applyBorder="1" applyAlignment="1">
      <alignment horizontal="center" vertical="center" wrapText="1"/>
    </xf>
    <xf numFmtId="172" fontId="24" fillId="11" borderId="29" xfId="21" applyNumberFormat="1" applyFont="1" applyFill="1" applyBorder="1" applyAlignment="1">
      <alignment horizontal="center" vertical="center" wrapText="1"/>
    </xf>
    <xf numFmtId="172" fontId="11" fillId="8" borderId="8" xfId="14" applyNumberFormat="1" applyFont="1" applyFill="1" applyBorder="1" applyAlignment="1">
      <alignment horizontal="center"/>
    </xf>
    <xf numFmtId="172" fontId="11" fillId="8" borderId="18" xfId="14" applyNumberFormat="1" applyFont="1" applyFill="1" applyBorder="1" applyAlignment="1">
      <alignment horizontal="center"/>
    </xf>
    <xf numFmtId="171" fontId="11" fillId="8" borderId="56" xfId="0" applyNumberFormat="1" applyFont="1" applyFill="1" applyBorder="1" applyAlignment="1">
      <alignment vertical="center"/>
    </xf>
    <xf numFmtId="0" fontId="11" fillId="8" borderId="55" xfId="0" applyFont="1" applyFill="1" applyBorder="1" applyAlignment="1"/>
    <xf numFmtId="171" fontId="11" fillId="8" borderId="6" xfId="0" applyNumberFormat="1" applyFont="1" applyFill="1" applyBorder="1" applyAlignment="1"/>
    <xf numFmtId="172" fontId="11" fillId="8" borderId="56" xfId="17" applyNumberFormat="1" applyFont="1" applyFill="1" applyBorder="1"/>
    <xf numFmtId="0" fontId="11" fillId="10" borderId="8" xfId="0" applyFont="1" applyFill="1" applyBorder="1" applyAlignment="1">
      <alignment horizontal="center"/>
    </xf>
    <xf numFmtId="0" fontId="11" fillId="10" borderId="31" xfId="0" applyFont="1" applyFill="1" applyBorder="1" applyAlignment="1">
      <alignment horizontal="center"/>
    </xf>
    <xf numFmtId="0" fontId="11" fillId="0" borderId="51" xfId="0" applyFont="1" applyBorder="1"/>
    <xf numFmtId="171" fontId="11" fillId="0" borderId="52" xfId="0" applyNumberFormat="1" applyFont="1" applyBorder="1"/>
    <xf numFmtId="172" fontId="11" fillId="0" borderId="52" xfId="0" applyNumberFormat="1" applyFont="1" applyBorder="1"/>
    <xf numFmtId="0" fontId="11" fillId="10" borderId="52" xfId="0" applyFont="1" applyFill="1" applyBorder="1" applyAlignment="1">
      <alignment horizontal="center"/>
    </xf>
    <xf numFmtId="0" fontId="21" fillId="11" borderId="49" xfId="0" applyFont="1" applyFill="1" applyBorder="1" applyAlignment="1">
      <alignment horizontal="center" vertical="center" wrapText="1"/>
    </xf>
    <xf numFmtId="0" fontId="21" fillId="11" borderId="50" xfId="0" applyFont="1" applyFill="1" applyBorder="1" applyAlignment="1">
      <alignment horizontal="center" vertical="center" wrapText="1"/>
    </xf>
    <xf numFmtId="172" fontId="22" fillId="0" borderId="52" xfId="0" applyNumberFormat="1" applyFont="1" applyBorder="1"/>
    <xf numFmtId="173" fontId="11" fillId="0" borderId="52" xfId="0" applyNumberFormat="1" applyFont="1" applyBorder="1"/>
    <xf numFmtId="173" fontId="11" fillId="0" borderId="8" xfId="0" applyNumberFormat="1" applyFont="1" applyBorder="1"/>
    <xf numFmtId="173" fontId="11" fillId="0" borderId="31" xfId="0" applyNumberFormat="1" applyFont="1" applyBorder="1"/>
    <xf numFmtId="175" fontId="11" fillId="0" borderId="52" xfId="0" applyNumberFormat="1" applyFont="1" applyBorder="1"/>
    <xf numFmtId="175" fontId="11" fillId="0" borderId="8" xfId="0" applyNumberFormat="1" applyFont="1" applyBorder="1"/>
    <xf numFmtId="175" fontId="11" fillId="0" borderId="31" xfId="0" applyNumberFormat="1" applyFont="1" applyBorder="1"/>
    <xf numFmtId="175" fontId="11" fillId="8" borderId="21" xfId="0" applyNumberFormat="1" applyFont="1" applyFill="1" applyBorder="1"/>
    <xf numFmtId="175" fontId="11" fillId="8" borderId="13" xfId="0" applyNumberFormat="1" applyFont="1" applyFill="1" applyBorder="1"/>
    <xf numFmtId="175" fontId="11" fillId="8" borderId="54" xfId="0" applyNumberFormat="1" applyFont="1" applyFill="1" applyBorder="1"/>
    <xf numFmtId="173" fontId="11" fillId="8" borderId="6" xfId="0" applyNumberFormat="1" applyFont="1" applyFill="1" applyBorder="1"/>
    <xf numFmtId="0" fontId="11" fillId="8" borderId="0" xfId="15" applyFont="1" applyFill="1"/>
    <xf numFmtId="175" fontId="11" fillId="8" borderId="8" xfId="17" applyNumberFormat="1" applyFont="1" applyFill="1" applyBorder="1"/>
    <xf numFmtId="175" fontId="11" fillId="8" borderId="31" xfId="17" applyNumberFormat="1" applyFont="1" applyFill="1" applyBorder="1"/>
    <xf numFmtId="173" fontId="11" fillId="8" borderId="16" xfId="0" applyNumberFormat="1" applyFont="1" applyFill="1" applyBorder="1"/>
    <xf numFmtId="0" fontId="11" fillId="8" borderId="0" xfId="0" applyFont="1" applyFill="1" applyAlignment="1">
      <alignment horizontal="center" vertical="center"/>
    </xf>
    <xf numFmtId="172" fontId="11" fillId="8" borderId="21" xfId="17" applyNumberFormat="1" applyFont="1" applyFill="1" applyBorder="1"/>
    <xf numFmtId="172" fontId="11" fillId="8" borderId="38" xfId="0" applyNumberFormat="1" applyFont="1" applyFill="1" applyBorder="1"/>
    <xf numFmtId="172" fontId="11" fillId="8" borderId="35" xfId="0" applyNumberFormat="1" applyFont="1" applyFill="1" applyBorder="1"/>
    <xf numFmtId="171" fontId="11" fillId="8" borderId="58" xfId="0" applyNumberFormat="1" applyFont="1" applyFill="1" applyBorder="1" applyAlignment="1">
      <alignment horizontal="center" vertical="center"/>
    </xf>
    <xf numFmtId="0" fontId="17" fillId="10" borderId="50" xfId="0" applyFont="1" applyFill="1" applyBorder="1" applyAlignment="1">
      <alignment horizontal="center" vertical="center" wrapText="1"/>
    </xf>
    <xf numFmtId="172" fontId="11" fillId="8" borderId="13" xfId="0" applyNumberFormat="1" applyFont="1" applyFill="1" applyBorder="1"/>
    <xf numFmtId="172" fontId="11" fillId="8" borderId="54" xfId="0" applyNumberFormat="1" applyFont="1" applyFill="1" applyBorder="1"/>
    <xf numFmtId="0" fontId="17" fillId="10" borderId="48" xfId="0" applyFont="1" applyFill="1" applyBorder="1" applyAlignment="1">
      <alignment horizontal="centerContinuous" vertical="center" wrapText="1"/>
    </xf>
    <xf numFmtId="0" fontId="17" fillId="10" borderId="49" xfId="0" applyFont="1" applyFill="1" applyBorder="1" applyAlignment="1">
      <alignment horizontal="centerContinuous" vertical="center" wrapText="1"/>
    </xf>
    <xf numFmtId="0" fontId="17" fillId="10" borderId="50" xfId="0" applyFont="1" applyFill="1" applyBorder="1" applyAlignment="1">
      <alignment horizontal="centerContinuous" vertical="center" wrapText="1"/>
    </xf>
    <xf numFmtId="0" fontId="17" fillId="10" borderId="1" xfId="0" applyFont="1" applyFill="1" applyBorder="1" applyAlignment="1">
      <alignment horizontal="centerContinuous" vertical="center" wrapText="1"/>
    </xf>
    <xf numFmtId="0" fontId="17" fillId="10" borderId="2" xfId="0" applyFont="1" applyFill="1" applyBorder="1" applyAlignment="1">
      <alignment horizontal="centerContinuous" vertical="center" wrapText="1"/>
    </xf>
    <xf numFmtId="0" fontId="17" fillId="10" borderId="3" xfId="0" applyFont="1" applyFill="1" applyBorder="1" applyAlignment="1">
      <alignment horizontal="centerContinuous" vertical="center" wrapText="1"/>
    </xf>
    <xf numFmtId="0" fontId="17" fillId="10" borderId="46" xfId="0" applyFont="1" applyFill="1" applyBorder="1" applyAlignment="1">
      <alignment horizontal="center" vertical="center" wrapText="1"/>
    </xf>
    <xf numFmtId="172" fontId="11" fillId="8" borderId="37" xfId="0" applyNumberFormat="1" applyFont="1" applyFill="1" applyBorder="1"/>
    <xf numFmtId="0" fontId="25" fillId="8" borderId="45" xfId="43" applyFont="1" applyFill="1" applyBorder="1"/>
    <xf numFmtId="173" fontId="11" fillId="0" borderId="27" xfId="0" applyNumberFormat="1" applyFont="1" applyBorder="1"/>
    <xf numFmtId="172" fontId="11" fillId="0" borderId="27" xfId="0" applyNumberFormat="1" applyFont="1" applyBorder="1"/>
    <xf numFmtId="175" fontId="11" fillId="0" borderId="27" xfId="0" applyNumberFormat="1" applyFont="1" applyBorder="1"/>
    <xf numFmtId="0" fontId="25" fillId="8" borderId="39" xfId="43" applyFont="1" applyFill="1" applyBorder="1"/>
    <xf numFmtId="0" fontId="25" fillId="8" borderId="43" xfId="43" applyFont="1" applyFill="1" applyBorder="1"/>
    <xf numFmtId="173" fontId="11" fillId="0" borderId="8" xfId="14" applyNumberFormat="1" applyFont="1" applyBorder="1"/>
    <xf numFmtId="172" fontId="11" fillId="0" borderId="8" xfId="14" applyNumberFormat="1" applyFont="1" applyBorder="1"/>
    <xf numFmtId="173" fontId="11" fillId="0" borderId="16" xfId="0" applyNumberFormat="1" applyFont="1" applyBorder="1"/>
    <xf numFmtId="172" fontId="11" fillId="0" borderId="16" xfId="0" applyNumberFormat="1" applyFont="1" applyBorder="1"/>
    <xf numFmtId="175" fontId="11" fillId="0" borderId="16" xfId="0" applyNumberFormat="1" applyFont="1" applyBorder="1"/>
    <xf numFmtId="173" fontId="11" fillId="0" borderId="18" xfId="14" applyNumberFormat="1" applyFont="1" applyBorder="1"/>
    <xf numFmtId="172" fontId="11" fillId="0" borderId="18" xfId="14" applyNumberFormat="1" applyFont="1" applyBorder="1"/>
    <xf numFmtId="172" fontId="11" fillId="0" borderId="18" xfId="0" applyNumberFormat="1" applyFont="1" applyBorder="1"/>
    <xf numFmtId="175" fontId="11" fillId="0" borderId="18" xfId="0" applyNumberFormat="1" applyFont="1" applyBorder="1"/>
    <xf numFmtId="0" fontId="11" fillId="5" borderId="22" xfId="0" quotePrefix="1" applyFont="1" applyFill="1" applyBorder="1" applyAlignment="1">
      <alignment horizontal="center"/>
    </xf>
    <xf numFmtId="0" fontId="11" fillId="5" borderId="22" xfId="0" applyFont="1" applyFill="1" applyBorder="1" applyAlignment="1">
      <alignment horizontal="center"/>
    </xf>
    <xf numFmtId="0" fontId="11" fillId="0" borderId="62" xfId="21" applyNumberFormat="1" applyFont="1" applyFill="1" applyBorder="1" applyAlignment="1"/>
    <xf numFmtId="172" fontId="11" fillId="0" borderId="63" xfId="21" quotePrefix="1" applyNumberFormat="1" applyFont="1" applyFill="1" applyBorder="1" applyAlignment="1"/>
    <xf numFmtId="172" fontId="11" fillId="0" borderId="61" xfId="21" applyNumberFormat="1" applyFont="1" applyBorder="1" applyAlignment="1"/>
    <xf numFmtId="172" fontId="11" fillId="0" borderId="62" xfId="21" applyNumberFormat="1" applyFont="1" applyFill="1" applyBorder="1" applyAlignment="1"/>
    <xf numFmtId="172" fontId="11" fillId="0" borderId="63" xfId="21" applyNumberFormat="1" applyFont="1" applyFill="1" applyBorder="1" applyAlignment="1"/>
    <xf numFmtId="172" fontId="11" fillId="0" borderId="64" xfId="21" quotePrefix="1" applyNumberFormat="1" applyFont="1" applyFill="1" applyBorder="1" applyAlignment="1"/>
    <xf numFmtId="0" fontId="16" fillId="5" borderId="5" xfId="15" applyFont="1" applyFill="1" applyBorder="1" applyAlignment="1">
      <alignment horizontal="right"/>
    </xf>
    <xf numFmtId="0" fontId="11" fillId="8" borderId="0" xfId="15" applyFont="1" applyFill="1" applyBorder="1" applyAlignment="1">
      <alignment horizontal="right" vertical="center"/>
    </xf>
    <xf numFmtId="169" fontId="11" fillId="8" borderId="0" xfId="17" applyNumberFormat="1" applyFont="1" applyFill="1" applyBorder="1" applyAlignment="1">
      <alignment horizontal="center"/>
    </xf>
    <xf numFmtId="0" fontId="21" fillId="11" borderId="48" xfId="0" applyFont="1" applyFill="1" applyBorder="1"/>
    <xf numFmtId="0" fontId="11" fillId="0" borderId="50" xfId="0" applyFont="1" applyBorder="1" applyAlignment="1">
      <alignment horizontal="center"/>
    </xf>
    <xf numFmtId="0" fontId="11" fillId="0" borderId="0" xfId="0" applyFont="1" applyAlignment="1">
      <alignment horizontal="right"/>
    </xf>
    <xf numFmtId="0" fontId="11" fillId="8" borderId="0" xfId="0" applyFont="1" applyFill="1" applyBorder="1" applyAlignment="1"/>
    <xf numFmtId="171" fontId="11" fillId="8" borderId="0" xfId="0" applyNumberFormat="1" applyFont="1" applyFill="1" applyBorder="1" applyAlignment="1"/>
    <xf numFmtId="172" fontId="11" fillId="8" borderId="0" xfId="0" applyNumberFormat="1" applyFont="1" applyFill="1" applyBorder="1" applyAlignment="1"/>
    <xf numFmtId="173" fontId="11" fillId="8" borderId="0" xfId="0" applyNumberFormat="1" applyFont="1" applyFill="1" applyBorder="1"/>
    <xf numFmtId="172" fontId="11" fillId="8" borderId="0" xfId="17" applyNumberFormat="1" applyFont="1" applyFill="1" applyBorder="1"/>
    <xf numFmtId="0" fontId="11" fillId="8" borderId="0" xfId="0" applyNumberFormat="1" applyFont="1" applyFill="1"/>
    <xf numFmtId="0" fontId="11" fillId="8" borderId="5" xfId="0" applyNumberFormat="1" applyFont="1" applyFill="1" applyBorder="1" applyAlignment="1"/>
    <xf numFmtId="0" fontId="11" fillId="8" borderId="16" xfId="8" applyFont="1" applyFill="1" applyBorder="1"/>
    <xf numFmtId="171" fontId="11" fillId="8" borderId="16" xfId="8" applyNumberFormat="1" applyFont="1" applyFill="1" applyBorder="1"/>
    <xf numFmtId="172" fontId="11" fillId="8" borderId="16" xfId="11" applyNumberFormat="1" applyFont="1" applyFill="1" applyBorder="1"/>
    <xf numFmtId="172" fontId="11" fillId="8" borderId="16" xfId="8" applyNumberFormat="1" applyFont="1" applyFill="1" applyBorder="1"/>
    <xf numFmtId="0" fontId="11" fillId="8" borderId="8" xfId="8" applyFont="1" applyFill="1" applyBorder="1"/>
    <xf numFmtId="171" fontId="11" fillId="8" borderId="8" xfId="8" applyNumberFormat="1" applyFont="1" applyFill="1" applyBorder="1"/>
    <xf numFmtId="172" fontId="11" fillId="8" borderId="8" xfId="11" applyNumberFormat="1" applyFont="1" applyFill="1" applyBorder="1"/>
    <xf numFmtId="172" fontId="11" fillId="8" borderId="8" xfId="8" applyNumberFormat="1" applyFont="1" applyFill="1" applyBorder="1"/>
    <xf numFmtId="0" fontId="11" fillId="8" borderId="18" xfId="8" applyFont="1" applyFill="1" applyBorder="1"/>
    <xf numFmtId="171" fontId="11" fillId="8" borderId="18" xfId="8" applyNumberFormat="1" applyFont="1" applyFill="1" applyBorder="1"/>
    <xf numFmtId="172" fontId="11" fillId="8" borderId="18" xfId="11" applyNumberFormat="1" applyFont="1" applyFill="1" applyBorder="1"/>
    <xf numFmtId="172" fontId="11" fillId="8" borderId="18" xfId="8" applyNumberFormat="1" applyFont="1" applyFill="1" applyBorder="1"/>
    <xf numFmtId="175" fontId="11" fillId="8" borderId="16" xfId="0" applyNumberFormat="1" applyFont="1" applyFill="1" applyBorder="1"/>
    <xf numFmtId="175" fontId="11" fillId="8" borderId="8" xfId="0" applyNumberFormat="1" applyFont="1" applyFill="1" applyBorder="1"/>
    <xf numFmtId="175" fontId="11" fillId="8" borderId="31" xfId="0" applyNumberFormat="1" applyFont="1" applyFill="1" applyBorder="1"/>
    <xf numFmtId="171" fontId="11" fillId="0" borderId="39" xfId="0" applyNumberFormat="1" applyFont="1" applyBorder="1"/>
    <xf numFmtId="0" fontId="11" fillId="0" borderId="8" xfId="0" applyNumberFormat="1" applyFont="1" applyBorder="1"/>
    <xf numFmtId="180" fontId="22" fillId="8" borderId="6" xfId="0" applyNumberFormat="1" applyFont="1" applyFill="1" applyBorder="1" applyAlignment="1"/>
    <xf numFmtId="180" fontId="11" fillId="8" borderId="8" xfId="0" applyNumberFormat="1" applyFont="1" applyFill="1" applyBorder="1" applyAlignment="1"/>
    <xf numFmtId="180" fontId="11" fillId="8" borderId="31" xfId="0" applyNumberFormat="1" applyFont="1" applyFill="1" applyBorder="1" applyAlignment="1"/>
    <xf numFmtId="180" fontId="11" fillId="0" borderId="47" xfId="0" applyNumberFormat="1" applyFont="1" applyBorder="1"/>
    <xf numFmtId="180" fontId="11" fillId="0" borderId="30" xfId="0" applyNumberFormat="1" applyFont="1" applyBorder="1"/>
    <xf numFmtId="180" fontId="11" fillId="0" borderId="32" xfId="0" applyNumberFormat="1" applyFont="1" applyBorder="1"/>
    <xf numFmtId="180" fontId="11" fillId="0" borderId="16" xfId="0" applyNumberFormat="1" applyFont="1" applyBorder="1"/>
    <xf numFmtId="180" fontId="11" fillId="0" borderId="8" xfId="0" applyNumberFormat="1" applyFont="1" applyBorder="1"/>
    <xf numFmtId="180" fontId="11" fillId="0" borderId="18" xfId="0" applyNumberFormat="1" applyFont="1" applyBorder="1"/>
    <xf numFmtId="0" fontId="11" fillId="8" borderId="49" xfId="0" applyFont="1" applyFill="1" applyBorder="1" applyAlignment="1"/>
    <xf numFmtId="0" fontId="11" fillId="0" borderId="65" xfId="0" applyFont="1" applyBorder="1"/>
    <xf numFmtId="171" fontId="11" fillId="0" borderId="18" xfId="0" applyNumberFormat="1" applyFont="1" applyBorder="1"/>
    <xf numFmtId="173" fontId="11" fillId="0" borderId="18" xfId="0" applyNumberFormat="1" applyFont="1" applyBorder="1"/>
    <xf numFmtId="0" fontId="11" fillId="10" borderId="18" xfId="0" applyFont="1" applyFill="1" applyBorder="1" applyAlignment="1">
      <alignment horizontal="center"/>
    </xf>
    <xf numFmtId="171" fontId="11" fillId="0" borderId="24" xfId="0" applyNumberFormat="1" applyFont="1" applyBorder="1"/>
    <xf numFmtId="179" fontId="11" fillId="0" borderId="24" xfId="0" applyNumberFormat="1" applyFont="1" applyBorder="1"/>
    <xf numFmtId="172" fontId="11" fillId="0" borderId="24" xfId="0" applyNumberFormat="1" applyFont="1" applyBorder="1"/>
    <xf numFmtId="171" fontId="11" fillId="0" borderId="0" xfId="0" applyNumberFormat="1" applyFont="1" applyBorder="1"/>
    <xf numFmtId="179" fontId="11" fillId="0" borderId="0" xfId="0" applyNumberFormat="1" applyFont="1" applyBorder="1"/>
    <xf numFmtId="172" fontId="11" fillId="0" borderId="0" xfId="0" applyNumberFormat="1" applyFont="1" applyBorder="1"/>
    <xf numFmtId="0" fontId="11" fillId="0" borderId="24" xfId="0" applyNumberFormat="1" applyFont="1" applyBorder="1"/>
    <xf numFmtId="0" fontId="11" fillId="0" borderId="0" xfId="0" applyNumberFormat="1" applyFont="1" applyBorder="1"/>
    <xf numFmtId="2" fontId="11" fillId="0" borderId="8" xfId="0" applyNumberFormat="1" applyFont="1" applyBorder="1"/>
    <xf numFmtId="0" fontId="21" fillId="11" borderId="67" xfId="0" applyFont="1" applyFill="1" applyBorder="1" applyAlignment="1">
      <alignment horizontal="center" vertical="center" wrapText="1"/>
    </xf>
    <xf numFmtId="171" fontId="11" fillId="0" borderId="9" xfId="0" applyNumberFormat="1" applyFont="1" applyBorder="1"/>
    <xf numFmtId="173" fontId="11" fillId="0" borderId="9" xfId="0" applyNumberFormat="1" applyFont="1" applyBorder="1"/>
    <xf numFmtId="0" fontId="11" fillId="0" borderId="47" xfId="0" applyNumberFormat="1" applyFont="1" applyBorder="1"/>
    <xf numFmtId="0" fontId="11" fillId="0" borderId="30" xfId="0" applyNumberFormat="1" applyFont="1" applyBorder="1"/>
    <xf numFmtId="0" fontId="11" fillId="0" borderId="32" xfId="0" applyNumberFormat="1" applyFont="1" applyBorder="1"/>
    <xf numFmtId="179" fontId="22" fillId="0" borderId="53" xfId="0" applyNumberFormat="1" applyFont="1" applyBorder="1"/>
    <xf numFmtId="179" fontId="11" fillId="0" borderId="30" xfId="0" applyNumberFormat="1" applyFont="1" applyBorder="1"/>
    <xf numFmtId="179" fontId="11" fillId="0" borderId="32" xfId="0" applyNumberFormat="1" applyFont="1" applyBorder="1"/>
    <xf numFmtId="2" fontId="22" fillId="0" borderId="52" xfId="0" applyNumberFormat="1" applyFont="1" applyBorder="1"/>
    <xf numFmtId="175" fontId="11" fillId="8" borderId="6" xfId="0" applyNumberFormat="1" applyFont="1" applyFill="1" applyBorder="1" applyAlignment="1"/>
    <xf numFmtId="175" fontId="11" fillId="8" borderId="8" xfId="0" applyNumberFormat="1" applyFont="1" applyFill="1" applyBorder="1" applyAlignment="1"/>
    <xf numFmtId="175" fontId="11" fillId="8" borderId="31" xfId="0" applyNumberFormat="1" applyFont="1" applyFill="1" applyBorder="1" applyAlignment="1"/>
    <xf numFmtId="173" fontId="11" fillId="8" borderId="6" xfId="0" applyNumberFormat="1" applyFont="1" applyFill="1" applyBorder="1" applyAlignment="1"/>
    <xf numFmtId="173" fontId="11" fillId="8" borderId="8" xfId="0" applyNumberFormat="1" applyFont="1" applyFill="1" applyBorder="1" applyAlignment="1"/>
    <xf numFmtId="173" fontId="11" fillId="8" borderId="31" xfId="0" applyNumberFormat="1" applyFont="1" applyFill="1" applyBorder="1" applyAlignment="1"/>
    <xf numFmtId="172" fontId="11" fillId="8" borderId="6" xfId="0" applyNumberFormat="1" applyFont="1" applyFill="1" applyBorder="1" applyAlignment="1"/>
    <xf numFmtId="172" fontId="11" fillId="8" borderId="31" xfId="0" applyNumberFormat="1" applyFont="1" applyFill="1" applyBorder="1" applyAlignment="1"/>
    <xf numFmtId="179" fontId="11" fillId="8" borderId="8" xfId="0" applyNumberFormat="1" applyFont="1" applyFill="1" applyBorder="1" applyAlignment="1"/>
    <xf numFmtId="2" fontId="11" fillId="0" borderId="18" xfId="0" applyNumberFormat="1" applyFont="1" applyBorder="1"/>
    <xf numFmtId="2" fontId="11" fillId="0" borderId="31" xfId="0" applyNumberFormat="1" applyFont="1" applyBorder="1"/>
    <xf numFmtId="0" fontId="11" fillId="0" borderId="66" xfId="0" applyNumberFormat="1" applyFont="1" applyBorder="1"/>
    <xf numFmtId="0" fontId="22" fillId="0" borderId="53" xfId="0" applyNumberFormat="1" applyFont="1" applyBorder="1"/>
    <xf numFmtId="171" fontId="11" fillId="0" borderId="45" xfId="0" applyNumberFormat="1" applyFont="1" applyBorder="1"/>
    <xf numFmtId="171" fontId="11" fillId="0" borderId="27" xfId="0" applyNumberFormat="1" applyFont="1" applyBorder="1"/>
    <xf numFmtId="171" fontId="11" fillId="0" borderId="43" xfId="0" applyNumberFormat="1" applyFont="1" applyBorder="1"/>
    <xf numFmtId="181" fontId="11" fillId="0" borderId="0" xfId="0" applyNumberFormat="1" applyFont="1"/>
    <xf numFmtId="0" fontId="5" fillId="5" borderId="23" xfId="14" applyFont="1" applyFill="1" applyBorder="1" applyAlignment="1">
      <alignment horizontal="left"/>
    </xf>
    <xf numFmtId="0" fontId="5" fillId="5" borderId="24" xfId="14" applyFont="1" applyFill="1" applyBorder="1"/>
    <xf numFmtId="0" fontId="5" fillId="0" borderId="24" xfId="14" applyFont="1" applyBorder="1"/>
    <xf numFmtId="0" fontId="5" fillId="5" borderId="25" xfId="14" applyFont="1" applyFill="1" applyBorder="1"/>
    <xf numFmtId="0" fontId="5" fillId="0" borderId="0" xfId="14" applyFont="1"/>
    <xf numFmtId="0" fontId="5" fillId="5" borderId="4" xfId="14" applyFont="1" applyFill="1" applyBorder="1" applyAlignment="1">
      <alignment horizontal="center"/>
    </xf>
    <xf numFmtId="0" fontId="28" fillId="11" borderId="6" xfId="14" applyFont="1" applyFill="1" applyBorder="1" applyAlignment="1">
      <alignment horizontal="center" vertical="center" wrapText="1"/>
    </xf>
    <xf numFmtId="0" fontId="29" fillId="11" borderId="16" xfId="14" applyFont="1" applyFill="1" applyBorder="1" applyAlignment="1">
      <alignment vertical="center"/>
    </xf>
    <xf numFmtId="0" fontId="29" fillId="11" borderId="16" xfId="14" applyFont="1" applyFill="1" applyBorder="1" applyAlignment="1">
      <alignment horizontal="center" vertical="center"/>
    </xf>
    <xf numFmtId="0" fontId="5" fillId="5" borderId="5" xfId="14" applyFont="1" applyFill="1" applyBorder="1"/>
    <xf numFmtId="49" fontId="5" fillId="0" borderId="6" xfId="35" applyNumberFormat="1" applyFont="1" applyFill="1" applyBorder="1" applyAlignment="1">
      <alignment horizontal="center"/>
    </xf>
    <xf numFmtId="0" fontId="5" fillId="5" borderId="6" xfId="14" applyNumberFormat="1" applyFont="1" applyFill="1" applyBorder="1" applyAlignment="1">
      <alignment horizontal="center"/>
    </xf>
    <xf numFmtId="172" fontId="5" fillId="5" borderId="6" xfId="35" applyNumberFormat="1" applyFont="1" applyFill="1" applyBorder="1" applyAlignment="1">
      <alignment horizontal="left"/>
    </xf>
    <xf numFmtId="0" fontId="30" fillId="5" borderId="6" xfId="14" applyNumberFormat="1" applyFont="1" applyFill="1" applyBorder="1" applyAlignment="1"/>
    <xf numFmtId="0" fontId="5" fillId="5" borderId="6" xfId="14" applyNumberFormat="1" applyFont="1" applyFill="1" applyBorder="1" applyAlignment="1">
      <alignment horizontal="left"/>
    </xf>
    <xf numFmtId="0" fontId="5" fillId="5" borderId="6" xfId="14" applyNumberFormat="1" applyFont="1" applyFill="1" applyBorder="1" applyAlignment="1"/>
    <xf numFmtId="0" fontId="5" fillId="5" borderId="10" xfId="14" applyFont="1" applyFill="1" applyBorder="1"/>
    <xf numFmtId="0" fontId="5" fillId="5" borderId="11" xfId="14" applyFont="1" applyFill="1" applyBorder="1"/>
    <xf numFmtId="0" fontId="5" fillId="5" borderId="11" xfId="14" applyFont="1" applyFill="1" applyBorder="1" applyAlignment="1">
      <alignment horizontal="left"/>
    </xf>
    <xf numFmtId="0" fontId="5" fillId="5" borderId="12" xfId="14" applyFont="1" applyFill="1" applyBorder="1"/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1" fillId="0" borderId="55" xfId="0" applyFont="1" applyBorder="1"/>
    <xf numFmtId="171" fontId="11" fillId="0" borderId="6" xfId="0" applyNumberFormat="1" applyFont="1" applyBorder="1"/>
    <xf numFmtId="173" fontId="11" fillId="0" borderId="6" xfId="0" applyNumberFormat="1" applyFont="1" applyBorder="1"/>
    <xf numFmtId="172" fontId="11" fillId="0" borderId="6" xfId="0" applyNumberFormat="1" applyFont="1" applyBorder="1"/>
    <xf numFmtId="175" fontId="11" fillId="0" borderId="6" xfId="0" applyNumberFormat="1" applyFont="1" applyBorder="1"/>
    <xf numFmtId="0" fontId="11" fillId="10" borderId="6" xfId="0" applyFont="1" applyFill="1" applyBorder="1" applyAlignment="1">
      <alignment horizontal="center"/>
    </xf>
    <xf numFmtId="172" fontId="22" fillId="0" borderId="6" xfId="0" applyNumberFormat="1" applyFont="1" applyBorder="1"/>
    <xf numFmtId="2" fontId="22" fillId="0" borderId="6" xfId="0" applyNumberFormat="1" applyFont="1" applyBorder="1"/>
    <xf numFmtId="0" fontId="22" fillId="0" borderId="56" xfId="0" applyNumberFormat="1" applyFont="1" applyBorder="1"/>
    <xf numFmtId="179" fontId="22" fillId="0" borderId="56" xfId="0" applyNumberFormat="1" applyFont="1" applyBorder="1"/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42124</c:v>
                </c:pt>
                <c:pt idx="1">
                  <c:v>42125</c:v>
                </c:pt>
                <c:pt idx="2">
                  <c:v>42129</c:v>
                </c:pt>
                <c:pt idx="3">
                  <c:v>42130</c:v>
                </c:pt>
                <c:pt idx="4">
                  <c:v>42131</c:v>
                </c:pt>
                <c:pt idx="5">
                  <c:v>42132</c:v>
                </c:pt>
                <c:pt idx="6">
                  <c:v>42135</c:v>
                </c:pt>
                <c:pt idx="7">
                  <c:v>42136</c:v>
                </c:pt>
                <c:pt idx="8">
                  <c:v>42137</c:v>
                </c:pt>
                <c:pt idx="9">
                  <c:v>42138</c:v>
                </c:pt>
                <c:pt idx="10">
                  <c:v>42139</c:v>
                </c:pt>
                <c:pt idx="11">
                  <c:v>42142</c:v>
                </c:pt>
                <c:pt idx="12">
                  <c:v>42143</c:v>
                </c:pt>
                <c:pt idx="13">
                  <c:v>42144</c:v>
                </c:pt>
                <c:pt idx="14">
                  <c:v>42145</c:v>
                </c:pt>
                <c:pt idx="15">
                  <c:v>42146</c:v>
                </c:pt>
                <c:pt idx="16">
                  <c:v>42150</c:v>
                </c:pt>
                <c:pt idx="17">
                  <c:v>42151</c:v>
                </c:pt>
                <c:pt idx="18">
                  <c:v>42152</c:v>
                </c:pt>
                <c:pt idx="19">
                  <c:v>42153</c:v>
                </c:pt>
                <c:pt idx="20">
                  <c:v>42156</c:v>
                </c:pt>
                <c:pt idx="21">
                  <c:v>42157</c:v>
                </c:pt>
                <c:pt idx="22">
                  <c:v>42158</c:v>
                </c:pt>
                <c:pt idx="23">
                  <c:v>42159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5.1290361777910141E-4</c:v>
                </c:pt>
                <c:pt idx="1">
                  <c:v>5.1290361777910141E-4</c:v>
                </c:pt>
                <c:pt idx="2">
                  <c:v>5.1290361777910141E-4</c:v>
                </c:pt>
                <c:pt idx="3">
                  <c:v>5.1290361777910141E-4</c:v>
                </c:pt>
                <c:pt idx="4">
                  <c:v>5.1290361777910141E-4</c:v>
                </c:pt>
                <c:pt idx="5">
                  <c:v>5.1290361777910141E-4</c:v>
                </c:pt>
                <c:pt idx="6">
                  <c:v>5.1290361777910141E-4</c:v>
                </c:pt>
                <c:pt idx="7">
                  <c:v>5.1290361777910141E-4</c:v>
                </c:pt>
                <c:pt idx="8">
                  <c:v>5.1290361777910141E-4</c:v>
                </c:pt>
                <c:pt idx="9">
                  <c:v>5.1290361777910141E-4</c:v>
                </c:pt>
                <c:pt idx="10">
                  <c:v>5.1290361777910141E-4</c:v>
                </c:pt>
                <c:pt idx="11">
                  <c:v>5.1290361777910141E-4</c:v>
                </c:pt>
                <c:pt idx="12">
                  <c:v>5.1290361777910141E-4</c:v>
                </c:pt>
                <c:pt idx="13">
                  <c:v>5.1290361777910141E-4</c:v>
                </c:pt>
                <c:pt idx="14">
                  <c:v>5.1290361777910141E-4</c:v>
                </c:pt>
                <c:pt idx="15">
                  <c:v>5.1290361777910141E-4</c:v>
                </c:pt>
                <c:pt idx="16">
                  <c:v>5.1290361777910141E-4</c:v>
                </c:pt>
                <c:pt idx="17">
                  <c:v>5.1290361777910141E-4</c:v>
                </c:pt>
                <c:pt idx="18">
                  <c:v>5.1290361777910141E-4</c:v>
                </c:pt>
                <c:pt idx="19">
                  <c:v>5.1290361777910141E-4</c:v>
                </c:pt>
                <c:pt idx="20">
                  <c:v>5.1290361777910141E-4</c:v>
                </c:pt>
                <c:pt idx="21">
                  <c:v>5.1290361777910141E-4</c:v>
                </c:pt>
                <c:pt idx="22">
                  <c:v>5.1290361777910141E-4</c:v>
                </c:pt>
                <c:pt idx="23">
                  <c:v>5.1290361777910141E-4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42124</c:v>
                </c:pt>
                <c:pt idx="1">
                  <c:v>42125</c:v>
                </c:pt>
                <c:pt idx="2">
                  <c:v>42129</c:v>
                </c:pt>
                <c:pt idx="3">
                  <c:v>42130</c:v>
                </c:pt>
                <c:pt idx="4">
                  <c:v>42131</c:v>
                </c:pt>
                <c:pt idx="5">
                  <c:v>42132</c:v>
                </c:pt>
                <c:pt idx="6">
                  <c:v>42135</c:v>
                </c:pt>
                <c:pt idx="7">
                  <c:v>42136</c:v>
                </c:pt>
                <c:pt idx="8">
                  <c:v>42137</c:v>
                </c:pt>
                <c:pt idx="9">
                  <c:v>42138</c:v>
                </c:pt>
                <c:pt idx="10">
                  <c:v>42139</c:v>
                </c:pt>
                <c:pt idx="11">
                  <c:v>42142</c:v>
                </c:pt>
                <c:pt idx="12">
                  <c:v>42143</c:v>
                </c:pt>
                <c:pt idx="13">
                  <c:v>42144</c:v>
                </c:pt>
                <c:pt idx="14">
                  <c:v>42145</c:v>
                </c:pt>
                <c:pt idx="15">
                  <c:v>42146</c:v>
                </c:pt>
                <c:pt idx="16">
                  <c:v>42150</c:v>
                </c:pt>
                <c:pt idx="17">
                  <c:v>42151</c:v>
                </c:pt>
                <c:pt idx="18">
                  <c:v>42152</c:v>
                </c:pt>
                <c:pt idx="19">
                  <c:v>42153</c:v>
                </c:pt>
                <c:pt idx="20">
                  <c:v>42156</c:v>
                </c:pt>
                <c:pt idx="21">
                  <c:v>42157</c:v>
                </c:pt>
                <c:pt idx="22">
                  <c:v>42158</c:v>
                </c:pt>
                <c:pt idx="23">
                  <c:v>42159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4.8695348375330574E-4</c:v>
                </c:pt>
                <c:pt idx="1">
                  <c:v>4.8874314816887781E-4</c:v>
                </c:pt>
                <c:pt idx="2">
                  <c:v>4.9590180583116632E-4</c:v>
                </c:pt>
                <c:pt idx="3">
                  <c:v>4.9769147024673844E-4</c:v>
                </c:pt>
                <c:pt idx="4">
                  <c:v>4.9948113466231057E-4</c:v>
                </c:pt>
                <c:pt idx="5">
                  <c:v>5.012707990778827E-4</c:v>
                </c:pt>
                <c:pt idx="6">
                  <c:v>5.0663979232459897E-4</c:v>
                </c:pt>
                <c:pt idx="7">
                  <c:v>5.084294567401711E-4</c:v>
                </c:pt>
                <c:pt idx="8">
                  <c:v>5.1021912115574322E-4</c:v>
                </c:pt>
                <c:pt idx="9">
                  <c:v>5.1200878557131535E-4</c:v>
                </c:pt>
                <c:pt idx="10">
                  <c:v>5.1379844998688748E-4</c:v>
                </c:pt>
                <c:pt idx="11">
                  <c:v>5.1916744323360386E-4</c:v>
                </c:pt>
                <c:pt idx="12">
                  <c:v>5.2095710764917588E-4</c:v>
                </c:pt>
                <c:pt idx="13">
                  <c:v>5.22746772064748E-4</c:v>
                </c:pt>
                <c:pt idx="14">
                  <c:v>5.2453643648032013E-4</c:v>
                </c:pt>
                <c:pt idx="15">
                  <c:v>5.2632610089589226E-4</c:v>
                </c:pt>
                <c:pt idx="16">
                  <c:v>5.3348475855818076E-4</c:v>
                </c:pt>
                <c:pt idx="17">
                  <c:v>5.3527442297375289E-4</c:v>
                </c:pt>
                <c:pt idx="18">
                  <c:v>5.3706408738932502E-4</c:v>
                </c:pt>
                <c:pt idx="19">
                  <c:v>5.3885375180489714E-4</c:v>
                </c:pt>
                <c:pt idx="20">
                  <c:v>5.4422274505161342E-4</c:v>
                </c:pt>
                <c:pt idx="21">
                  <c:v>5.4601240946718554E-4</c:v>
                </c:pt>
                <c:pt idx="22">
                  <c:v>5.4780207388275767E-4</c:v>
                </c:pt>
                <c:pt idx="23">
                  <c:v>5.495917382983298E-4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42124</c:v>
                </c:pt>
                <c:pt idx="1">
                  <c:v>42125</c:v>
                </c:pt>
                <c:pt idx="2">
                  <c:v>42129</c:v>
                </c:pt>
                <c:pt idx="3">
                  <c:v>42130</c:v>
                </c:pt>
                <c:pt idx="4">
                  <c:v>42131</c:v>
                </c:pt>
                <c:pt idx="5">
                  <c:v>42132</c:v>
                </c:pt>
                <c:pt idx="6">
                  <c:v>42135</c:v>
                </c:pt>
                <c:pt idx="7">
                  <c:v>42136</c:v>
                </c:pt>
                <c:pt idx="8">
                  <c:v>42137</c:v>
                </c:pt>
                <c:pt idx="9">
                  <c:v>42138</c:v>
                </c:pt>
                <c:pt idx="10">
                  <c:v>42139</c:v>
                </c:pt>
                <c:pt idx="11">
                  <c:v>42142</c:v>
                </c:pt>
                <c:pt idx="12">
                  <c:v>42143</c:v>
                </c:pt>
                <c:pt idx="13">
                  <c:v>42144</c:v>
                </c:pt>
                <c:pt idx="14">
                  <c:v>42145</c:v>
                </c:pt>
                <c:pt idx="15">
                  <c:v>42146</c:v>
                </c:pt>
                <c:pt idx="16">
                  <c:v>42150</c:v>
                </c:pt>
                <c:pt idx="17">
                  <c:v>42151</c:v>
                </c:pt>
                <c:pt idx="18">
                  <c:v>42152</c:v>
                </c:pt>
                <c:pt idx="19">
                  <c:v>42153</c:v>
                </c:pt>
                <c:pt idx="20">
                  <c:v>42156</c:v>
                </c:pt>
                <c:pt idx="21">
                  <c:v>42157</c:v>
                </c:pt>
                <c:pt idx="22">
                  <c:v>42158</c:v>
                </c:pt>
                <c:pt idx="23">
                  <c:v>42159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4.8013562841677616E-4</c:v>
                </c:pt>
                <c:pt idx="1">
                  <c:v>4.825991923682195E-4</c:v>
                </c:pt>
                <c:pt idx="2">
                  <c:v>4.9223122713823583E-4</c:v>
                </c:pt>
                <c:pt idx="3">
                  <c:v>4.9458368057180067E-4</c:v>
                </c:pt>
                <c:pt idx="4">
                  <c:v>4.9691391190178984E-4</c:v>
                </c:pt>
                <c:pt idx="5">
                  <c:v>4.9922192112820322E-4</c:v>
                </c:pt>
                <c:pt idx="6">
                  <c:v>5.0601261618598941E-4</c:v>
                </c:pt>
                <c:pt idx="7">
                  <c:v>5.0823173699809997E-4</c:v>
                </c:pt>
                <c:pt idx="8">
                  <c:v>5.1042863570663496E-4</c:v>
                </c:pt>
                <c:pt idx="9">
                  <c:v>5.1260331231159427E-4</c:v>
                </c:pt>
                <c:pt idx="10">
                  <c:v>5.1475576681297779E-4</c:v>
                </c:pt>
                <c:pt idx="11">
                  <c:v>5.2107979769567441E-4</c:v>
                </c:pt>
                <c:pt idx="12">
                  <c:v>5.2314336378275522E-4</c:v>
                </c:pt>
                <c:pt idx="13">
                  <c:v>5.2518470776626025E-4</c:v>
                </c:pt>
                <c:pt idx="14">
                  <c:v>5.2720382964618971E-4</c:v>
                </c:pt>
                <c:pt idx="15">
                  <c:v>5.2920072942254327E-4</c:v>
                </c:pt>
                <c:pt idx="16">
                  <c:v>5.3696610749220106E-4</c:v>
                </c:pt>
                <c:pt idx="17">
                  <c:v>5.3885189675067634E-4</c:v>
                </c:pt>
                <c:pt idx="18">
                  <c:v>5.4071546390557584E-4</c:v>
                </c:pt>
                <c:pt idx="19">
                  <c:v>5.4255680895689965E-4</c:v>
                </c:pt>
                <c:pt idx="20">
                  <c:v>5.4794751148941692E-4</c:v>
                </c:pt>
                <c:pt idx="21">
                  <c:v>5.4969996812643791E-4</c:v>
                </c:pt>
                <c:pt idx="22">
                  <c:v>5.5143020265988323E-4</c:v>
                </c:pt>
                <c:pt idx="23">
                  <c:v>5.5313821508975287E-4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6915072"/>
        <c:axId val="636916864"/>
      </c:lineChart>
      <c:dateAx>
        <c:axId val="63691507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36916864"/>
        <c:crosses val="autoZero"/>
        <c:auto val="1"/>
        <c:lblOffset val="100"/>
        <c:baseTimeUnit val="days"/>
      </c:dateAx>
      <c:valAx>
        <c:axId val="63691686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369150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42124</c:v>
                </c:pt>
                <c:pt idx="1">
                  <c:v>42125</c:v>
                </c:pt>
                <c:pt idx="2">
                  <c:v>42129</c:v>
                </c:pt>
                <c:pt idx="3">
                  <c:v>42130</c:v>
                </c:pt>
                <c:pt idx="4">
                  <c:v>42131</c:v>
                </c:pt>
                <c:pt idx="5">
                  <c:v>42132</c:v>
                </c:pt>
                <c:pt idx="6">
                  <c:v>42135</c:v>
                </c:pt>
                <c:pt idx="7">
                  <c:v>42136</c:v>
                </c:pt>
                <c:pt idx="8">
                  <c:v>42137</c:v>
                </c:pt>
                <c:pt idx="9">
                  <c:v>42138</c:v>
                </c:pt>
                <c:pt idx="10">
                  <c:v>42139</c:v>
                </c:pt>
                <c:pt idx="11">
                  <c:v>42142</c:v>
                </c:pt>
                <c:pt idx="12">
                  <c:v>42143</c:v>
                </c:pt>
                <c:pt idx="13">
                  <c:v>42144</c:v>
                </c:pt>
                <c:pt idx="14">
                  <c:v>42145</c:v>
                </c:pt>
                <c:pt idx="15">
                  <c:v>42146</c:v>
                </c:pt>
                <c:pt idx="16">
                  <c:v>42150</c:v>
                </c:pt>
                <c:pt idx="17">
                  <c:v>42151</c:v>
                </c:pt>
                <c:pt idx="18">
                  <c:v>42152</c:v>
                </c:pt>
                <c:pt idx="19">
                  <c:v>42153</c:v>
                </c:pt>
                <c:pt idx="20">
                  <c:v>42156</c:v>
                </c:pt>
                <c:pt idx="21">
                  <c:v>42157</c:v>
                </c:pt>
                <c:pt idx="22">
                  <c:v>42158</c:v>
                </c:pt>
                <c:pt idx="23">
                  <c:v>42159</c:v>
                </c:pt>
                <c:pt idx="24">
                  <c:v>42160</c:v>
                </c:pt>
                <c:pt idx="25">
                  <c:v>42163</c:v>
                </c:pt>
                <c:pt idx="26">
                  <c:v>42164</c:v>
                </c:pt>
                <c:pt idx="27">
                  <c:v>42165</c:v>
                </c:pt>
                <c:pt idx="28">
                  <c:v>42166</c:v>
                </c:pt>
                <c:pt idx="29">
                  <c:v>42167</c:v>
                </c:pt>
                <c:pt idx="30">
                  <c:v>42170</c:v>
                </c:pt>
                <c:pt idx="31">
                  <c:v>42171</c:v>
                </c:pt>
                <c:pt idx="32">
                  <c:v>42172</c:v>
                </c:pt>
                <c:pt idx="33">
                  <c:v>42173</c:v>
                </c:pt>
                <c:pt idx="34">
                  <c:v>42174</c:v>
                </c:pt>
                <c:pt idx="35">
                  <c:v>42177</c:v>
                </c:pt>
                <c:pt idx="36">
                  <c:v>42178</c:v>
                </c:pt>
                <c:pt idx="37">
                  <c:v>42179</c:v>
                </c:pt>
                <c:pt idx="38">
                  <c:v>42180</c:v>
                </c:pt>
                <c:pt idx="39">
                  <c:v>42181</c:v>
                </c:pt>
                <c:pt idx="40">
                  <c:v>42184</c:v>
                </c:pt>
                <c:pt idx="41">
                  <c:v>42185</c:v>
                </c:pt>
                <c:pt idx="42">
                  <c:v>42186</c:v>
                </c:pt>
                <c:pt idx="43">
                  <c:v>42187</c:v>
                </c:pt>
                <c:pt idx="44">
                  <c:v>42188</c:v>
                </c:pt>
                <c:pt idx="45">
                  <c:v>42191</c:v>
                </c:pt>
                <c:pt idx="46">
                  <c:v>42192</c:v>
                </c:pt>
                <c:pt idx="47">
                  <c:v>42193</c:v>
                </c:pt>
                <c:pt idx="48">
                  <c:v>42194</c:v>
                </c:pt>
                <c:pt idx="49">
                  <c:v>42195</c:v>
                </c:pt>
                <c:pt idx="50">
                  <c:v>42198</c:v>
                </c:pt>
                <c:pt idx="51">
                  <c:v>42199</c:v>
                </c:pt>
                <c:pt idx="52">
                  <c:v>42200</c:v>
                </c:pt>
                <c:pt idx="53">
                  <c:v>42201</c:v>
                </c:pt>
                <c:pt idx="54">
                  <c:v>42202</c:v>
                </c:pt>
                <c:pt idx="55">
                  <c:v>42205</c:v>
                </c:pt>
                <c:pt idx="56">
                  <c:v>42206</c:v>
                </c:pt>
                <c:pt idx="57">
                  <c:v>42207</c:v>
                </c:pt>
                <c:pt idx="58">
                  <c:v>42208</c:v>
                </c:pt>
                <c:pt idx="59">
                  <c:v>42209</c:v>
                </c:pt>
                <c:pt idx="60">
                  <c:v>42212</c:v>
                </c:pt>
                <c:pt idx="61">
                  <c:v>42213</c:v>
                </c:pt>
                <c:pt idx="62">
                  <c:v>42214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1.1545982063554403E-3</c:v>
                </c:pt>
                <c:pt idx="1">
                  <c:v>1.1545982063554403E-3</c:v>
                </c:pt>
                <c:pt idx="2">
                  <c:v>1.1545982063554403E-3</c:v>
                </c:pt>
                <c:pt idx="3">
                  <c:v>1.1545982063554403E-3</c:v>
                </c:pt>
                <c:pt idx="4">
                  <c:v>1.1545982063554403E-3</c:v>
                </c:pt>
                <c:pt idx="5">
                  <c:v>1.1545982063554403E-3</c:v>
                </c:pt>
                <c:pt idx="6">
                  <c:v>1.1545982063554403E-3</c:v>
                </c:pt>
                <c:pt idx="7">
                  <c:v>1.1545982063554403E-3</c:v>
                </c:pt>
                <c:pt idx="8">
                  <c:v>1.1545982063554403E-3</c:v>
                </c:pt>
                <c:pt idx="9">
                  <c:v>1.1545982063554403E-3</c:v>
                </c:pt>
                <c:pt idx="10">
                  <c:v>1.1545982063554403E-3</c:v>
                </c:pt>
                <c:pt idx="11">
                  <c:v>1.1545982063554403E-3</c:v>
                </c:pt>
                <c:pt idx="12">
                  <c:v>1.1545982063554403E-3</c:v>
                </c:pt>
                <c:pt idx="13">
                  <c:v>1.1545982063554403E-3</c:v>
                </c:pt>
                <c:pt idx="14">
                  <c:v>1.1545982063554403E-3</c:v>
                </c:pt>
                <c:pt idx="15">
                  <c:v>1.1545982063554403E-3</c:v>
                </c:pt>
                <c:pt idx="16">
                  <c:v>1.1545982063554403E-3</c:v>
                </c:pt>
                <c:pt idx="17">
                  <c:v>1.1545982063554403E-3</c:v>
                </c:pt>
                <c:pt idx="18">
                  <c:v>1.1545982063554403E-3</c:v>
                </c:pt>
                <c:pt idx="19">
                  <c:v>1.1545982063554403E-3</c:v>
                </c:pt>
                <c:pt idx="20">
                  <c:v>1.1545982063554403E-3</c:v>
                </c:pt>
                <c:pt idx="21">
                  <c:v>1.1545982063554403E-3</c:v>
                </c:pt>
                <c:pt idx="22">
                  <c:v>1.1545982063554403E-3</c:v>
                </c:pt>
                <c:pt idx="23">
                  <c:v>1.1545982063554403E-3</c:v>
                </c:pt>
                <c:pt idx="24">
                  <c:v>1.1545982063554403E-3</c:v>
                </c:pt>
                <c:pt idx="25">
                  <c:v>1.1545982063554403E-3</c:v>
                </c:pt>
                <c:pt idx="26">
                  <c:v>1.1545982063554403E-3</c:v>
                </c:pt>
                <c:pt idx="27">
                  <c:v>1.1545982063554403E-3</c:v>
                </c:pt>
                <c:pt idx="28">
                  <c:v>1.1545982063554403E-3</c:v>
                </c:pt>
                <c:pt idx="29">
                  <c:v>1.1545982063554403E-3</c:v>
                </c:pt>
                <c:pt idx="30">
                  <c:v>1.1545982063554403E-3</c:v>
                </c:pt>
                <c:pt idx="31">
                  <c:v>1.1545982063554403E-3</c:v>
                </c:pt>
                <c:pt idx="32">
                  <c:v>1.1545982063554403E-3</c:v>
                </c:pt>
                <c:pt idx="33">
                  <c:v>1.1545982063554403E-3</c:v>
                </c:pt>
                <c:pt idx="34">
                  <c:v>1.1545982063554403E-3</c:v>
                </c:pt>
                <c:pt idx="35">
                  <c:v>1.1545982063554403E-3</c:v>
                </c:pt>
                <c:pt idx="36">
                  <c:v>1.1545982063554403E-3</c:v>
                </c:pt>
                <c:pt idx="37">
                  <c:v>1.1545982063554403E-3</c:v>
                </c:pt>
                <c:pt idx="38">
                  <c:v>1.1545982063554403E-3</c:v>
                </c:pt>
                <c:pt idx="39">
                  <c:v>1.1545982063554403E-3</c:v>
                </c:pt>
                <c:pt idx="40">
                  <c:v>1.1545982063554403E-3</c:v>
                </c:pt>
                <c:pt idx="41">
                  <c:v>1.1545982063554403E-3</c:v>
                </c:pt>
                <c:pt idx="42">
                  <c:v>1.1545982063554403E-3</c:v>
                </c:pt>
                <c:pt idx="43">
                  <c:v>1.1545982063554403E-3</c:v>
                </c:pt>
                <c:pt idx="44">
                  <c:v>1.1545982063554403E-3</c:v>
                </c:pt>
                <c:pt idx="45">
                  <c:v>1.1545982063554403E-3</c:v>
                </c:pt>
                <c:pt idx="46">
                  <c:v>1.1545982063554403E-3</c:v>
                </c:pt>
                <c:pt idx="47">
                  <c:v>1.1545982063554403E-3</c:v>
                </c:pt>
                <c:pt idx="48">
                  <c:v>1.1545982063554403E-3</c:v>
                </c:pt>
                <c:pt idx="49">
                  <c:v>1.1545982063554403E-3</c:v>
                </c:pt>
                <c:pt idx="50">
                  <c:v>1.1545982063554403E-3</c:v>
                </c:pt>
                <c:pt idx="51">
                  <c:v>1.1545982063554403E-3</c:v>
                </c:pt>
                <c:pt idx="52">
                  <c:v>1.1545982063554403E-3</c:v>
                </c:pt>
                <c:pt idx="53">
                  <c:v>1.1545982063554403E-3</c:v>
                </c:pt>
                <c:pt idx="54">
                  <c:v>1.1545982063554403E-3</c:v>
                </c:pt>
                <c:pt idx="55">
                  <c:v>1.1545982063554403E-3</c:v>
                </c:pt>
                <c:pt idx="56">
                  <c:v>1.1545982063554403E-3</c:v>
                </c:pt>
                <c:pt idx="57">
                  <c:v>1.1545982063554403E-3</c:v>
                </c:pt>
                <c:pt idx="58">
                  <c:v>1.1545982063554403E-3</c:v>
                </c:pt>
                <c:pt idx="59">
                  <c:v>1.1545982063554403E-3</c:v>
                </c:pt>
                <c:pt idx="60">
                  <c:v>1.1545982063554403E-3</c:v>
                </c:pt>
                <c:pt idx="61">
                  <c:v>1.1545982063554403E-3</c:v>
                </c:pt>
                <c:pt idx="62">
                  <c:v>1.1545982063554403E-3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42124</c:v>
                </c:pt>
                <c:pt idx="1">
                  <c:v>42125</c:v>
                </c:pt>
                <c:pt idx="2">
                  <c:v>42129</c:v>
                </c:pt>
                <c:pt idx="3">
                  <c:v>42130</c:v>
                </c:pt>
                <c:pt idx="4">
                  <c:v>42131</c:v>
                </c:pt>
                <c:pt idx="5">
                  <c:v>42132</c:v>
                </c:pt>
                <c:pt idx="6">
                  <c:v>42135</c:v>
                </c:pt>
                <c:pt idx="7">
                  <c:v>42136</c:v>
                </c:pt>
                <c:pt idx="8">
                  <c:v>42137</c:v>
                </c:pt>
                <c:pt idx="9">
                  <c:v>42138</c:v>
                </c:pt>
                <c:pt idx="10">
                  <c:v>42139</c:v>
                </c:pt>
                <c:pt idx="11">
                  <c:v>42142</c:v>
                </c:pt>
                <c:pt idx="12">
                  <c:v>42143</c:v>
                </c:pt>
                <c:pt idx="13">
                  <c:v>42144</c:v>
                </c:pt>
                <c:pt idx="14">
                  <c:v>42145</c:v>
                </c:pt>
                <c:pt idx="15">
                  <c:v>42146</c:v>
                </c:pt>
                <c:pt idx="16">
                  <c:v>42150</c:v>
                </c:pt>
                <c:pt idx="17">
                  <c:v>42151</c:v>
                </c:pt>
                <c:pt idx="18">
                  <c:v>42152</c:v>
                </c:pt>
                <c:pt idx="19">
                  <c:v>42153</c:v>
                </c:pt>
                <c:pt idx="20">
                  <c:v>42156</c:v>
                </c:pt>
                <c:pt idx="21">
                  <c:v>42157</c:v>
                </c:pt>
                <c:pt idx="22">
                  <c:v>42158</c:v>
                </c:pt>
                <c:pt idx="23">
                  <c:v>42159</c:v>
                </c:pt>
                <c:pt idx="24">
                  <c:v>42160</c:v>
                </c:pt>
                <c:pt idx="25">
                  <c:v>42163</c:v>
                </c:pt>
                <c:pt idx="26">
                  <c:v>42164</c:v>
                </c:pt>
                <c:pt idx="27">
                  <c:v>42165</c:v>
                </c:pt>
                <c:pt idx="28">
                  <c:v>42166</c:v>
                </c:pt>
                <c:pt idx="29">
                  <c:v>42167</c:v>
                </c:pt>
                <c:pt idx="30">
                  <c:v>42170</c:v>
                </c:pt>
                <c:pt idx="31">
                  <c:v>42171</c:v>
                </c:pt>
                <c:pt idx="32">
                  <c:v>42172</c:v>
                </c:pt>
                <c:pt idx="33">
                  <c:v>42173</c:v>
                </c:pt>
                <c:pt idx="34">
                  <c:v>42174</c:v>
                </c:pt>
                <c:pt idx="35">
                  <c:v>42177</c:v>
                </c:pt>
                <c:pt idx="36">
                  <c:v>42178</c:v>
                </c:pt>
                <c:pt idx="37">
                  <c:v>42179</c:v>
                </c:pt>
                <c:pt idx="38">
                  <c:v>42180</c:v>
                </c:pt>
                <c:pt idx="39">
                  <c:v>42181</c:v>
                </c:pt>
                <c:pt idx="40">
                  <c:v>42184</c:v>
                </c:pt>
                <c:pt idx="41">
                  <c:v>42185</c:v>
                </c:pt>
                <c:pt idx="42">
                  <c:v>42186</c:v>
                </c:pt>
                <c:pt idx="43">
                  <c:v>42187</c:v>
                </c:pt>
                <c:pt idx="44">
                  <c:v>42188</c:v>
                </c:pt>
                <c:pt idx="45">
                  <c:v>42191</c:v>
                </c:pt>
                <c:pt idx="46">
                  <c:v>42192</c:v>
                </c:pt>
                <c:pt idx="47">
                  <c:v>42193</c:v>
                </c:pt>
                <c:pt idx="48">
                  <c:v>42194</c:v>
                </c:pt>
                <c:pt idx="49">
                  <c:v>42195</c:v>
                </c:pt>
                <c:pt idx="50">
                  <c:v>42198</c:v>
                </c:pt>
                <c:pt idx="51">
                  <c:v>42199</c:v>
                </c:pt>
                <c:pt idx="52">
                  <c:v>42200</c:v>
                </c:pt>
                <c:pt idx="53">
                  <c:v>42201</c:v>
                </c:pt>
                <c:pt idx="54">
                  <c:v>42202</c:v>
                </c:pt>
                <c:pt idx="55">
                  <c:v>42205</c:v>
                </c:pt>
                <c:pt idx="56">
                  <c:v>42206</c:v>
                </c:pt>
                <c:pt idx="57">
                  <c:v>42207</c:v>
                </c:pt>
                <c:pt idx="58">
                  <c:v>42208</c:v>
                </c:pt>
                <c:pt idx="59">
                  <c:v>42209</c:v>
                </c:pt>
                <c:pt idx="60">
                  <c:v>42212</c:v>
                </c:pt>
                <c:pt idx="61">
                  <c:v>42213</c:v>
                </c:pt>
                <c:pt idx="62">
                  <c:v>42214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8.6945262684757184E-4</c:v>
                </c:pt>
                <c:pt idx="1">
                  <c:v>8.7565144379339512E-4</c:v>
                </c:pt>
                <c:pt idx="2">
                  <c:v>9.0044671157668793E-4</c:v>
                </c:pt>
                <c:pt idx="3">
                  <c:v>9.0664552852251121E-4</c:v>
                </c:pt>
                <c:pt idx="4">
                  <c:v>9.1284434546833439E-4</c:v>
                </c:pt>
                <c:pt idx="5">
                  <c:v>9.1904316241415767E-4</c:v>
                </c:pt>
                <c:pt idx="6">
                  <c:v>9.3763961325162731E-4</c:v>
                </c:pt>
                <c:pt idx="7">
                  <c:v>9.4383843019745059E-4</c:v>
                </c:pt>
                <c:pt idx="8">
                  <c:v>9.5003724714327377E-4</c:v>
                </c:pt>
                <c:pt idx="9">
                  <c:v>9.5623606408909705E-4</c:v>
                </c:pt>
                <c:pt idx="10">
                  <c:v>9.6243488103492023E-4</c:v>
                </c:pt>
                <c:pt idx="11">
                  <c:v>9.8103133187238986E-4</c:v>
                </c:pt>
                <c:pt idx="12">
                  <c:v>9.8723014881821314E-4</c:v>
                </c:pt>
                <c:pt idx="13">
                  <c:v>9.9342896576403643E-4</c:v>
                </c:pt>
                <c:pt idx="14">
                  <c:v>9.9962778270985971E-4</c:v>
                </c:pt>
                <c:pt idx="15">
                  <c:v>1.0058265996556828E-3</c:v>
                </c:pt>
                <c:pt idx="16">
                  <c:v>1.0306218674389757E-3</c:v>
                </c:pt>
                <c:pt idx="17">
                  <c:v>1.036820684384799E-3</c:v>
                </c:pt>
                <c:pt idx="18">
                  <c:v>1.0430195013306223E-3</c:v>
                </c:pt>
                <c:pt idx="19">
                  <c:v>1.0492183182764455E-3</c:v>
                </c:pt>
                <c:pt idx="20">
                  <c:v>1.0678147691139152E-3</c:v>
                </c:pt>
                <c:pt idx="21">
                  <c:v>1.0740135860597385E-3</c:v>
                </c:pt>
                <c:pt idx="22">
                  <c:v>1.0802124030055617E-3</c:v>
                </c:pt>
                <c:pt idx="23">
                  <c:v>1.0864112199513848E-3</c:v>
                </c:pt>
                <c:pt idx="24">
                  <c:v>1.0926100368972081E-3</c:v>
                </c:pt>
                <c:pt idx="25">
                  <c:v>1.1112064877346777E-3</c:v>
                </c:pt>
                <c:pt idx="26">
                  <c:v>1.117405304680501E-3</c:v>
                </c:pt>
                <c:pt idx="27">
                  <c:v>1.1236041216263243E-3</c:v>
                </c:pt>
                <c:pt idx="28">
                  <c:v>1.1298029385721476E-3</c:v>
                </c:pt>
                <c:pt idx="29">
                  <c:v>1.1360017555179706E-3</c:v>
                </c:pt>
                <c:pt idx="30">
                  <c:v>1.1545982063554403E-3</c:v>
                </c:pt>
                <c:pt idx="31">
                  <c:v>1.1607970233012636E-3</c:v>
                </c:pt>
                <c:pt idx="32">
                  <c:v>1.1669958402470869E-3</c:v>
                </c:pt>
                <c:pt idx="33">
                  <c:v>1.1731946571929101E-3</c:v>
                </c:pt>
                <c:pt idx="34">
                  <c:v>1.1793934741387332E-3</c:v>
                </c:pt>
                <c:pt idx="35">
                  <c:v>1.1979899249762028E-3</c:v>
                </c:pt>
                <c:pt idx="36">
                  <c:v>1.2041887419220261E-3</c:v>
                </c:pt>
                <c:pt idx="37">
                  <c:v>1.2103875588678494E-3</c:v>
                </c:pt>
                <c:pt idx="38">
                  <c:v>1.2165863758136727E-3</c:v>
                </c:pt>
                <c:pt idx="39">
                  <c:v>1.222785192759496E-3</c:v>
                </c:pt>
                <c:pt idx="40">
                  <c:v>1.2413816435969656E-3</c:v>
                </c:pt>
                <c:pt idx="41">
                  <c:v>1.2475804605427889E-3</c:v>
                </c:pt>
                <c:pt idx="42">
                  <c:v>1.253779277488612E-3</c:v>
                </c:pt>
                <c:pt idx="43">
                  <c:v>1.2599780944344352E-3</c:v>
                </c:pt>
                <c:pt idx="44">
                  <c:v>1.2661769113802585E-3</c:v>
                </c:pt>
                <c:pt idx="45">
                  <c:v>1.2847733622177282E-3</c:v>
                </c:pt>
                <c:pt idx="46">
                  <c:v>1.2909721791635514E-3</c:v>
                </c:pt>
                <c:pt idx="47">
                  <c:v>1.2971709961093745E-3</c:v>
                </c:pt>
                <c:pt idx="48">
                  <c:v>1.3033698130551978E-3</c:v>
                </c:pt>
                <c:pt idx="49">
                  <c:v>1.3095686300010211E-3</c:v>
                </c:pt>
                <c:pt idx="50">
                  <c:v>1.3281650808384907E-3</c:v>
                </c:pt>
                <c:pt idx="51">
                  <c:v>1.334363897784314E-3</c:v>
                </c:pt>
                <c:pt idx="52">
                  <c:v>1.3405627147301373E-3</c:v>
                </c:pt>
                <c:pt idx="53">
                  <c:v>1.3467615316759603E-3</c:v>
                </c:pt>
                <c:pt idx="54">
                  <c:v>1.3529603486217836E-3</c:v>
                </c:pt>
                <c:pt idx="55">
                  <c:v>1.3715567994592535E-3</c:v>
                </c:pt>
                <c:pt idx="56">
                  <c:v>1.3777556164050768E-3</c:v>
                </c:pt>
                <c:pt idx="57">
                  <c:v>1.3839544333508998E-3</c:v>
                </c:pt>
                <c:pt idx="58">
                  <c:v>1.3901532502967231E-3</c:v>
                </c:pt>
                <c:pt idx="59">
                  <c:v>1.3963520672425462E-3</c:v>
                </c:pt>
                <c:pt idx="60">
                  <c:v>1.414948518080016E-3</c:v>
                </c:pt>
                <c:pt idx="61">
                  <c:v>1.4211473350258393E-3</c:v>
                </c:pt>
                <c:pt idx="62">
                  <c:v>1.4273461519716624E-3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42124</c:v>
                </c:pt>
                <c:pt idx="1">
                  <c:v>42125</c:v>
                </c:pt>
                <c:pt idx="2">
                  <c:v>42129</c:v>
                </c:pt>
                <c:pt idx="3">
                  <c:v>42130</c:v>
                </c:pt>
                <c:pt idx="4">
                  <c:v>42131</c:v>
                </c:pt>
                <c:pt idx="5">
                  <c:v>42132</c:v>
                </c:pt>
                <c:pt idx="6">
                  <c:v>42135</c:v>
                </c:pt>
                <c:pt idx="7">
                  <c:v>42136</c:v>
                </c:pt>
                <c:pt idx="8">
                  <c:v>42137</c:v>
                </c:pt>
                <c:pt idx="9">
                  <c:v>42138</c:v>
                </c:pt>
                <c:pt idx="10">
                  <c:v>42139</c:v>
                </c:pt>
                <c:pt idx="11">
                  <c:v>42142</c:v>
                </c:pt>
                <c:pt idx="12">
                  <c:v>42143</c:v>
                </c:pt>
                <c:pt idx="13">
                  <c:v>42144</c:v>
                </c:pt>
                <c:pt idx="14">
                  <c:v>42145</c:v>
                </c:pt>
                <c:pt idx="15">
                  <c:v>42146</c:v>
                </c:pt>
                <c:pt idx="16">
                  <c:v>42150</c:v>
                </c:pt>
                <c:pt idx="17">
                  <c:v>42151</c:v>
                </c:pt>
                <c:pt idx="18">
                  <c:v>42152</c:v>
                </c:pt>
                <c:pt idx="19">
                  <c:v>42153</c:v>
                </c:pt>
                <c:pt idx="20">
                  <c:v>42156</c:v>
                </c:pt>
                <c:pt idx="21">
                  <c:v>42157</c:v>
                </c:pt>
                <c:pt idx="22">
                  <c:v>42158</c:v>
                </c:pt>
                <c:pt idx="23">
                  <c:v>42159</c:v>
                </c:pt>
                <c:pt idx="24">
                  <c:v>42160</c:v>
                </c:pt>
                <c:pt idx="25">
                  <c:v>42163</c:v>
                </c:pt>
                <c:pt idx="26">
                  <c:v>42164</c:v>
                </c:pt>
                <c:pt idx="27">
                  <c:v>42165</c:v>
                </c:pt>
                <c:pt idx="28">
                  <c:v>42166</c:v>
                </c:pt>
                <c:pt idx="29">
                  <c:v>42167</c:v>
                </c:pt>
                <c:pt idx="30">
                  <c:v>42170</c:v>
                </c:pt>
                <c:pt idx="31">
                  <c:v>42171</c:v>
                </c:pt>
                <c:pt idx="32">
                  <c:v>42172</c:v>
                </c:pt>
                <c:pt idx="33">
                  <c:v>42173</c:v>
                </c:pt>
                <c:pt idx="34">
                  <c:v>42174</c:v>
                </c:pt>
                <c:pt idx="35">
                  <c:v>42177</c:v>
                </c:pt>
                <c:pt idx="36">
                  <c:v>42178</c:v>
                </c:pt>
                <c:pt idx="37">
                  <c:v>42179</c:v>
                </c:pt>
                <c:pt idx="38">
                  <c:v>42180</c:v>
                </c:pt>
                <c:pt idx="39">
                  <c:v>42181</c:v>
                </c:pt>
                <c:pt idx="40">
                  <c:v>42184</c:v>
                </c:pt>
                <c:pt idx="41">
                  <c:v>42185</c:v>
                </c:pt>
                <c:pt idx="42">
                  <c:v>42186</c:v>
                </c:pt>
                <c:pt idx="43">
                  <c:v>42187</c:v>
                </c:pt>
                <c:pt idx="44">
                  <c:v>42188</c:v>
                </c:pt>
                <c:pt idx="45">
                  <c:v>42191</c:v>
                </c:pt>
                <c:pt idx="46">
                  <c:v>42192</c:v>
                </c:pt>
                <c:pt idx="47">
                  <c:v>42193</c:v>
                </c:pt>
                <c:pt idx="48">
                  <c:v>42194</c:v>
                </c:pt>
                <c:pt idx="49">
                  <c:v>42195</c:v>
                </c:pt>
                <c:pt idx="50">
                  <c:v>42198</c:v>
                </c:pt>
                <c:pt idx="51">
                  <c:v>42199</c:v>
                </c:pt>
                <c:pt idx="52">
                  <c:v>42200</c:v>
                </c:pt>
                <c:pt idx="53">
                  <c:v>42201</c:v>
                </c:pt>
                <c:pt idx="54">
                  <c:v>42202</c:v>
                </c:pt>
                <c:pt idx="55">
                  <c:v>42205</c:v>
                </c:pt>
                <c:pt idx="56">
                  <c:v>42206</c:v>
                </c:pt>
                <c:pt idx="57">
                  <c:v>42207</c:v>
                </c:pt>
                <c:pt idx="58">
                  <c:v>42208</c:v>
                </c:pt>
                <c:pt idx="59">
                  <c:v>42209</c:v>
                </c:pt>
                <c:pt idx="60">
                  <c:v>42212</c:v>
                </c:pt>
                <c:pt idx="61">
                  <c:v>42213</c:v>
                </c:pt>
                <c:pt idx="62">
                  <c:v>42214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7.6584692945070839E-4</c:v>
                </c:pt>
                <c:pt idx="1">
                  <c:v>7.7646647978453379E-4</c:v>
                </c:pt>
                <c:pt idx="2">
                  <c:v>8.1822586268276171E-4</c:v>
                </c:pt>
                <c:pt idx="3">
                  <c:v>8.2848600379805033E-4</c:v>
                </c:pt>
                <c:pt idx="4">
                  <c:v>8.3867426306963148E-4</c:v>
                </c:pt>
                <c:pt idx="5">
                  <c:v>8.4879064049750549E-4</c:v>
                </c:pt>
                <c:pt idx="6">
                  <c:v>8.7870848171888306E-4</c:v>
                </c:pt>
                <c:pt idx="7">
                  <c:v>8.8853733177192743E-4</c:v>
                </c:pt>
                <c:pt idx="8">
                  <c:v>8.9829429998126466E-4</c:v>
                </c:pt>
                <c:pt idx="9">
                  <c:v>9.0797938634689442E-4</c:v>
                </c:pt>
                <c:pt idx="10">
                  <c:v>9.1759259086881683E-4</c:v>
                </c:pt>
                <c:pt idx="11">
                  <c:v>9.4600091337234012E-4</c:v>
                </c:pt>
                <c:pt idx="12">
                  <c:v>9.5532659051943321E-4</c:v>
                </c:pt>
                <c:pt idx="13">
                  <c:v>9.6458038582281872E-4</c:v>
                </c:pt>
                <c:pt idx="14">
                  <c:v>9.7376229928249698E-4</c:v>
                </c:pt>
                <c:pt idx="15">
                  <c:v>9.8287233089846822E-4</c:v>
                </c:pt>
                <c:pt idx="16">
                  <c:v>1.0185936389252785E-3</c:v>
                </c:pt>
                <c:pt idx="17">
                  <c:v>1.0273442613227127E-3</c:v>
                </c:pt>
                <c:pt idx="18">
                  <c:v>1.0360230018764394E-3</c:v>
                </c:pt>
                <c:pt idx="19">
                  <c:v>1.0446298605864591E-3</c:v>
                </c:pt>
                <c:pt idx="20">
                  <c:v>1.0700191456542735E-3</c:v>
                </c:pt>
                <c:pt idx="21">
                  <c:v>1.0783384769894636E-3</c:v>
                </c:pt>
                <c:pt idx="22">
                  <c:v>1.0865859264809464E-3</c:v>
                </c:pt>
                <c:pt idx="23">
                  <c:v>1.0947614941287215E-3</c:v>
                </c:pt>
                <c:pt idx="24">
                  <c:v>1.1028651799327898E-3</c:v>
                </c:pt>
                <c:pt idx="25">
                  <c:v>1.1267449462827499E-3</c:v>
                </c:pt>
                <c:pt idx="26">
                  <c:v>1.1345611047119885E-3</c:v>
                </c:pt>
                <c:pt idx="27">
                  <c:v>1.1423053812975197E-3</c:v>
                </c:pt>
                <c:pt idx="28">
                  <c:v>1.1499777760393438E-3</c:v>
                </c:pt>
                <c:pt idx="29">
                  <c:v>1.1575782889374604E-3</c:v>
                </c:pt>
                <c:pt idx="30">
                  <c:v>1.179948536569566E-3</c:v>
                </c:pt>
                <c:pt idx="31">
                  <c:v>1.1872615220928531E-3</c:v>
                </c:pt>
                <c:pt idx="32">
                  <c:v>1.1945026257724329E-3</c:v>
                </c:pt>
                <c:pt idx="33">
                  <c:v>1.2016718476083055E-3</c:v>
                </c:pt>
                <c:pt idx="34">
                  <c:v>1.2087691876004705E-3</c:v>
                </c:pt>
                <c:pt idx="35">
                  <c:v>1.2296299165147219E-3</c:v>
                </c:pt>
                <c:pt idx="36">
                  <c:v>1.2364397291320574E-3</c:v>
                </c:pt>
                <c:pt idx="37">
                  <c:v>1.2431776599056859E-3</c:v>
                </c:pt>
                <c:pt idx="38">
                  <c:v>1.249843708835607E-3</c:v>
                </c:pt>
                <c:pt idx="39">
                  <c:v>1.2564378759218205E-3</c:v>
                </c:pt>
                <c:pt idx="40">
                  <c:v>1.2757890861182174E-3</c:v>
                </c:pt>
                <c:pt idx="41">
                  <c:v>1.2820957258296017E-3</c:v>
                </c:pt>
                <c:pt idx="42">
                  <c:v>1.2883304836972785E-3</c:v>
                </c:pt>
                <c:pt idx="43">
                  <c:v>1.2944933597212483E-3</c:v>
                </c:pt>
                <c:pt idx="44">
                  <c:v>1.3005843539015106E-3</c:v>
                </c:pt>
                <c:pt idx="45">
                  <c:v>1.3184260453800529E-3</c:v>
                </c:pt>
                <c:pt idx="46">
                  <c:v>1.3242295121854855E-3</c:v>
                </c:pt>
                <c:pt idx="47">
                  <c:v>1.3299610971472112E-3</c:v>
                </c:pt>
                <c:pt idx="48">
                  <c:v>1.3356208002652293E-3</c:v>
                </c:pt>
                <c:pt idx="49">
                  <c:v>1.3412086215395401E-3</c:v>
                </c:pt>
                <c:pt idx="50">
                  <c:v>1.357540794300228E-3</c:v>
                </c:pt>
                <c:pt idx="51">
                  <c:v>1.3628410881997093E-3</c:v>
                </c:pt>
                <c:pt idx="52">
                  <c:v>1.3680695002554835E-3</c:v>
                </c:pt>
                <c:pt idx="53">
                  <c:v>1.3732260304675501E-3</c:v>
                </c:pt>
                <c:pt idx="54">
                  <c:v>1.3783106788359096E-3</c:v>
                </c:pt>
                <c:pt idx="55">
                  <c:v>1.393133332878743E-3</c:v>
                </c:pt>
                <c:pt idx="56">
                  <c:v>1.3979304538722728E-3</c:v>
                </c:pt>
                <c:pt idx="57">
                  <c:v>1.4026556930220955E-3</c:v>
                </c:pt>
                <c:pt idx="58">
                  <c:v>1.4073090503282108E-3</c:v>
                </c:pt>
                <c:pt idx="59">
                  <c:v>1.4118905257906186E-3</c:v>
                </c:pt>
                <c:pt idx="60">
                  <c:v>1.4252036611155977E-3</c:v>
                </c:pt>
                <c:pt idx="61">
                  <c:v>1.4294976092031762E-3</c:v>
                </c:pt>
                <c:pt idx="62">
                  <c:v>1.4337196754470472E-3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4756096"/>
        <c:axId val="634757888"/>
      </c:lineChart>
      <c:dateAx>
        <c:axId val="63475609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34757888"/>
        <c:crosses val="autoZero"/>
        <c:auto val="1"/>
        <c:lblOffset val="100"/>
        <c:baseTimeUnit val="days"/>
      </c:dateAx>
      <c:valAx>
        <c:axId val="63475788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347560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42124</c:v>
                </c:pt>
                <c:pt idx="1">
                  <c:v>42125</c:v>
                </c:pt>
                <c:pt idx="2">
                  <c:v>42129</c:v>
                </c:pt>
                <c:pt idx="3">
                  <c:v>42130</c:v>
                </c:pt>
                <c:pt idx="4">
                  <c:v>42131</c:v>
                </c:pt>
                <c:pt idx="5">
                  <c:v>42132</c:v>
                </c:pt>
                <c:pt idx="6">
                  <c:v>42135</c:v>
                </c:pt>
                <c:pt idx="7">
                  <c:v>42136</c:v>
                </c:pt>
                <c:pt idx="8">
                  <c:v>42137</c:v>
                </c:pt>
                <c:pt idx="9">
                  <c:v>42138</c:v>
                </c:pt>
                <c:pt idx="10">
                  <c:v>42139</c:v>
                </c:pt>
                <c:pt idx="11">
                  <c:v>42142</c:v>
                </c:pt>
                <c:pt idx="12">
                  <c:v>42143</c:v>
                </c:pt>
                <c:pt idx="13">
                  <c:v>42144</c:v>
                </c:pt>
                <c:pt idx="14">
                  <c:v>42145</c:v>
                </c:pt>
                <c:pt idx="15">
                  <c:v>42146</c:v>
                </c:pt>
                <c:pt idx="16">
                  <c:v>42150</c:v>
                </c:pt>
                <c:pt idx="17">
                  <c:v>42151</c:v>
                </c:pt>
                <c:pt idx="18">
                  <c:v>42152</c:v>
                </c:pt>
                <c:pt idx="19">
                  <c:v>42153</c:v>
                </c:pt>
                <c:pt idx="20">
                  <c:v>42156</c:v>
                </c:pt>
                <c:pt idx="21">
                  <c:v>42157</c:v>
                </c:pt>
                <c:pt idx="22">
                  <c:v>42158</c:v>
                </c:pt>
                <c:pt idx="23">
                  <c:v>42159</c:v>
                </c:pt>
                <c:pt idx="24">
                  <c:v>42160</c:v>
                </c:pt>
                <c:pt idx="25">
                  <c:v>42163</c:v>
                </c:pt>
                <c:pt idx="26">
                  <c:v>42164</c:v>
                </c:pt>
                <c:pt idx="27">
                  <c:v>42165</c:v>
                </c:pt>
                <c:pt idx="28">
                  <c:v>42166</c:v>
                </c:pt>
                <c:pt idx="29">
                  <c:v>42167</c:v>
                </c:pt>
                <c:pt idx="30">
                  <c:v>42170</c:v>
                </c:pt>
                <c:pt idx="31">
                  <c:v>42171</c:v>
                </c:pt>
                <c:pt idx="32">
                  <c:v>42172</c:v>
                </c:pt>
                <c:pt idx="33">
                  <c:v>42173</c:v>
                </c:pt>
                <c:pt idx="34">
                  <c:v>42174</c:v>
                </c:pt>
                <c:pt idx="35">
                  <c:v>42177</c:v>
                </c:pt>
                <c:pt idx="36">
                  <c:v>42178</c:v>
                </c:pt>
                <c:pt idx="37">
                  <c:v>42179</c:v>
                </c:pt>
                <c:pt idx="38">
                  <c:v>42180</c:v>
                </c:pt>
                <c:pt idx="39">
                  <c:v>42181</c:v>
                </c:pt>
                <c:pt idx="40">
                  <c:v>42184</c:v>
                </c:pt>
                <c:pt idx="41">
                  <c:v>42185</c:v>
                </c:pt>
                <c:pt idx="42">
                  <c:v>42186</c:v>
                </c:pt>
                <c:pt idx="43">
                  <c:v>42187</c:v>
                </c:pt>
                <c:pt idx="44">
                  <c:v>42188</c:v>
                </c:pt>
                <c:pt idx="45">
                  <c:v>42191</c:v>
                </c:pt>
                <c:pt idx="46">
                  <c:v>42192</c:v>
                </c:pt>
                <c:pt idx="47">
                  <c:v>42193</c:v>
                </c:pt>
                <c:pt idx="48">
                  <c:v>42194</c:v>
                </c:pt>
                <c:pt idx="49">
                  <c:v>42195</c:v>
                </c:pt>
                <c:pt idx="50">
                  <c:v>42198</c:v>
                </c:pt>
                <c:pt idx="51">
                  <c:v>42199</c:v>
                </c:pt>
                <c:pt idx="52">
                  <c:v>42200</c:v>
                </c:pt>
                <c:pt idx="53">
                  <c:v>42201</c:v>
                </c:pt>
                <c:pt idx="54">
                  <c:v>42202</c:v>
                </c:pt>
                <c:pt idx="55">
                  <c:v>42205</c:v>
                </c:pt>
                <c:pt idx="56">
                  <c:v>42206</c:v>
                </c:pt>
                <c:pt idx="57">
                  <c:v>42207</c:v>
                </c:pt>
                <c:pt idx="58">
                  <c:v>42208</c:v>
                </c:pt>
                <c:pt idx="59">
                  <c:v>42209</c:v>
                </c:pt>
                <c:pt idx="60">
                  <c:v>42212</c:v>
                </c:pt>
                <c:pt idx="61">
                  <c:v>42213</c:v>
                </c:pt>
                <c:pt idx="62">
                  <c:v>42214</c:v>
                </c:pt>
                <c:pt idx="63">
                  <c:v>42215</c:v>
                </c:pt>
                <c:pt idx="64">
                  <c:v>42216</c:v>
                </c:pt>
                <c:pt idx="65">
                  <c:v>42219</c:v>
                </c:pt>
                <c:pt idx="66">
                  <c:v>42220</c:v>
                </c:pt>
                <c:pt idx="67">
                  <c:v>42221</c:v>
                </c:pt>
                <c:pt idx="68">
                  <c:v>42222</c:v>
                </c:pt>
                <c:pt idx="69">
                  <c:v>42223</c:v>
                </c:pt>
                <c:pt idx="70">
                  <c:v>42226</c:v>
                </c:pt>
                <c:pt idx="71">
                  <c:v>42227</c:v>
                </c:pt>
                <c:pt idx="72">
                  <c:v>42228</c:v>
                </c:pt>
                <c:pt idx="73">
                  <c:v>42229</c:v>
                </c:pt>
                <c:pt idx="74">
                  <c:v>42230</c:v>
                </c:pt>
                <c:pt idx="75">
                  <c:v>42233</c:v>
                </c:pt>
                <c:pt idx="76">
                  <c:v>42234</c:v>
                </c:pt>
                <c:pt idx="77">
                  <c:v>42235</c:v>
                </c:pt>
                <c:pt idx="78">
                  <c:v>42236</c:v>
                </c:pt>
                <c:pt idx="79">
                  <c:v>42237</c:v>
                </c:pt>
                <c:pt idx="80">
                  <c:v>42240</c:v>
                </c:pt>
                <c:pt idx="81">
                  <c:v>42241</c:v>
                </c:pt>
                <c:pt idx="82">
                  <c:v>42242</c:v>
                </c:pt>
                <c:pt idx="83">
                  <c:v>42243</c:v>
                </c:pt>
                <c:pt idx="84">
                  <c:v>42244</c:v>
                </c:pt>
                <c:pt idx="85">
                  <c:v>42248</c:v>
                </c:pt>
                <c:pt idx="86">
                  <c:v>42249</c:v>
                </c:pt>
                <c:pt idx="87">
                  <c:v>42250</c:v>
                </c:pt>
                <c:pt idx="88">
                  <c:v>42251</c:v>
                </c:pt>
                <c:pt idx="89">
                  <c:v>42254</c:v>
                </c:pt>
                <c:pt idx="90">
                  <c:v>42255</c:v>
                </c:pt>
                <c:pt idx="91">
                  <c:v>42256</c:v>
                </c:pt>
                <c:pt idx="92">
                  <c:v>42257</c:v>
                </c:pt>
                <c:pt idx="93">
                  <c:v>42258</c:v>
                </c:pt>
                <c:pt idx="94">
                  <c:v>42261</c:v>
                </c:pt>
                <c:pt idx="95">
                  <c:v>42262</c:v>
                </c:pt>
                <c:pt idx="96">
                  <c:v>42263</c:v>
                </c:pt>
                <c:pt idx="97">
                  <c:v>42264</c:v>
                </c:pt>
                <c:pt idx="98">
                  <c:v>42265</c:v>
                </c:pt>
                <c:pt idx="99">
                  <c:v>42268</c:v>
                </c:pt>
                <c:pt idx="100">
                  <c:v>42269</c:v>
                </c:pt>
                <c:pt idx="101">
                  <c:v>42270</c:v>
                </c:pt>
                <c:pt idx="102">
                  <c:v>42271</c:v>
                </c:pt>
                <c:pt idx="103">
                  <c:v>42272</c:v>
                </c:pt>
                <c:pt idx="104">
                  <c:v>42275</c:v>
                </c:pt>
                <c:pt idx="105">
                  <c:v>42276</c:v>
                </c:pt>
                <c:pt idx="106">
                  <c:v>42277</c:v>
                </c:pt>
                <c:pt idx="107">
                  <c:v>42278</c:v>
                </c:pt>
                <c:pt idx="108">
                  <c:v>42279</c:v>
                </c:pt>
                <c:pt idx="109">
                  <c:v>42282</c:v>
                </c:pt>
                <c:pt idx="110">
                  <c:v>42283</c:v>
                </c:pt>
                <c:pt idx="111">
                  <c:v>42284</c:v>
                </c:pt>
                <c:pt idx="112">
                  <c:v>42285</c:v>
                </c:pt>
                <c:pt idx="113">
                  <c:v>42286</c:v>
                </c:pt>
                <c:pt idx="114">
                  <c:v>42289</c:v>
                </c:pt>
                <c:pt idx="115">
                  <c:v>42290</c:v>
                </c:pt>
                <c:pt idx="116">
                  <c:v>42291</c:v>
                </c:pt>
                <c:pt idx="117">
                  <c:v>42292</c:v>
                </c:pt>
                <c:pt idx="118">
                  <c:v>42293</c:v>
                </c:pt>
                <c:pt idx="119">
                  <c:v>42296</c:v>
                </c:pt>
                <c:pt idx="120">
                  <c:v>42297</c:v>
                </c:pt>
                <c:pt idx="121">
                  <c:v>42298</c:v>
                </c:pt>
                <c:pt idx="122">
                  <c:v>42299</c:v>
                </c:pt>
                <c:pt idx="123">
                  <c:v>42300</c:v>
                </c:pt>
                <c:pt idx="124">
                  <c:v>42303</c:v>
                </c:pt>
                <c:pt idx="125">
                  <c:v>42304</c:v>
                </c:pt>
                <c:pt idx="126">
                  <c:v>42305</c:v>
                </c:pt>
                <c:pt idx="127">
                  <c:v>42306</c:v>
                </c:pt>
                <c:pt idx="128">
                  <c:v>42307</c:v>
                </c:pt>
                <c:pt idx="129">
                  <c:v>42310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2.4242771918876489E-3</c:v>
                </c:pt>
                <c:pt idx="1">
                  <c:v>2.4242771918876489E-3</c:v>
                </c:pt>
                <c:pt idx="2">
                  <c:v>2.4242771918876489E-3</c:v>
                </c:pt>
                <c:pt idx="3">
                  <c:v>2.4242771918876489E-3</c:v>
                </c:pt>
                <c:pt idx="4">
                  <c:v>2.4242771918876489E-3</c:v>
                </c:pt>
                <c:pt idx="5">
                  <c:v>2.4242771918876489E-3</c:v>
                </c:pt>
                <c:pt idx="6">
                  <c:v>2.4242771918876489E-3</c:v>
                </c:pt>
                <c:pt idx="7">
                  <c:v>2.4242771918876489E-3</c:v>
                </c:pt>
                <c:pt idx="8">
                  <c:v>2.4242771918876489E-3</c:v>
                </c:pt>
                <c:pt idx="9">
                  <c:v>2.4242771918876489E-3</c:v>
                </c:pt>
                <c:pt idx="10">
                  <c:v>2.4242771918876489E-3</c:v>
                </c:pt>
                <c:pt idx="11">
                  <c:v>2.4242771918876489E-3</c:v>
                </c:pt>
                <c:pt idx="12">
                  <c:v>2.4242771918876489E-3</c:v>
                </c:pt>
                <c:pt idx="13">
                  <c:v>2.4242771918876489E-3</c:v>
                </c:pt>
                <c:pt idx="14">
                  <c:v>2.4242771918876489E-3</c:v>
                </c:pt>
                <c:pt idx="15">
                  <c:v>2.4242771918876489E-3</c:v>
                </c:pt>
                <c:pt idx="16">
                  <c:v>2.4242771918876489E-3</c:v>
                </c:pt>
                <c:pt idx="17">
                  <c:v>2.4242771918876489E-3</c:v>
                </c:pt>
                <c:pt idx="18">
                  <c:v>2.4242771918876489E-3</c:v>
                </c:pt>
                <c:pt idx="19">
                  <c:v>2.4242771918876489E-3</c:v>
                </c:pt>
                <c:pt idx="20">
                  <c:v>2.4242771918876489E-3</c:v>
                </c:pt>
                <c:pt idx="21">
                  <c:v>2.4242771918876489E-3</c:v>
                </c:pt>
                <c:pt idx="22">
                  <c:v>2.4242771918876489E-3</c:v>
                </c:pt>
                <c:pt idx="23">
                  <c:v>2.4242771918876489E-3</c:v>
                </c:pt>
                <c:pt idx="24">
                  <c:v>2.4242771918876489E-3</c:v>
                </c:pt>
                <c:pt idx="25">
                  <c:v>2.4242771918876489E-3</c:v>
                </c:pt>
                <c:pt idx="26">
                  <c:v>2.4242771918876489E-3</c:v>
                </c:pt>
                <c:pt idx="27">
                  <c:v>2.4242771918876489E-3</c:v>
                </c:pt>
                <c:pt idx="28">
                  <c:v>2.4242771918876489E-3</c:v>
                </c:pt>
                <c:pt idx="29">
                  <c:v>2.4242771918876489E-3</c:v>
                </c:pt>
                <c:pt idx="30">
                  <c:v>2.4242771918876489E-3</c:v>
                </c:pt>
                <c:pt idx="31">
                  <c:v>2.4242771918876489E-3</c:v>
                </c:pt>
                <c:pt idx="32">
                  <c:v>2.4242771918876489E-3</c:v>
                </c:pt>
                <c:pt idx="33">
                  <c:v>2.4242771918876489E-3</c:v>
                </c:pt>
                <c:pt idx="34">
                  <c:v>2.4242771918876489E-3</c:v>
                </c:pt>
                <c:pt idx="35">
                  <c:v>2.4242771918876489E-3</c:v>
                </c:pt>
                <c:pt idx="36">
                  <c:v>2.4242771918876489E-3</c:v>
                </c:pt>
                <c:pt idx="37">
                  <c:v>2.4242771918876489E-3</c:v>
                </c:pt>
                <c:pt idx="38">
                  <c:v>2.4242771918876489E-3</c:v>
                </c:pt>
                <c:pt idx="39">
                  <c:v>2.4242771918876489E-3</c:v>
                </c:pt>
                <c:pt idx="40">
                  <c:v>2.4242771918876489E-3</c:v>
                </c:pt>
                <c:pt idx="41">
                  <c:v>2.4242771918876489E-3</c:v>
                </c:pt>
                <c:pt idx="42">
                  <c:v>2.4242771918876489E-3</c:v>
                </c:pt>
                <c:pt idx="43">
                  <c:v>2.4242771918876489E-3</c:v>
                </c:pt>
                <c:pt idx="44">
                  <c:v>2.4242771918876489E-3</c:v>
                </c:pt>
                <c:pt idx="45">
                  <c:v>2.4242771918876489E-3</c:v>
                </c:pt>
                <c:pt idx="46">
                  <c:v>2.4242771918876489E-3</c:v>
                </c:pt>
                <c:pt idx="47">
                  <c:v>2.4242771918876489E-3</c:v>
                </c:pt>
                <c:pt idx="48">
                  <c:v>2.4242771918876489E-3</c:v>
                </c:pt>
                <c:pt idx="49">
                  <c:v>2.4242771918876489E-3</c:v>
                </c:pt>
                <c:pt idx="50">
                  <c:v>2.4242771918876489E-3</c:v>
                </c:pt>
                <c:pt idx="51">
                  <c:v>2.4242771918876489E-3</c:v>
                </c:pt>
                <c:pt idx="52">
                  <c:v>2.4242771918876489E-3</c:v>
                </c:pt>
                <c:pt idx="53">
                  <c:v>2.4242771918876489E-3</c:v>
                </c:pt>
                <c:pt idx="54">
                  <c:v>2.4242771918876489E-3</c:v>
                </c:pt>
                <c:pt idx="55">
                  <c:v>2.4242771918876489E-3</c:v>
                </c:pt>
                <c:pt idx="56">
                  <c:v>2.4242771918876489E-3</c:v>
                </c:pt>
                <c:pt idx="57">
                  <c:v>2.4242771918876489E-3</c:v>
                </c:pt>
                <c:pt idx="58">
                  <c:v>2.4242771918876489E-3</c:v>
                </c:pt>
                <c:pt idx="59">
                  <c:v>2.4242771918876489E-3</c:v>
                </c:pt>
                <c:pt idx="60">
                  <c:v>2.4242771918876489E-3</c:v>
                </c:pt>
                <c:pt idx="61">
                  <c:v>2.4242771918876489E-3</c:v>
                </c:pt>
                <c:pt idx="62">
                  <c:v>2.4242771918876489E-3</c:v>
                </c:pt>
                <c:pt idx="63">
                  <c:v>2.4242771918876489E-3</c:v>
                </c:pt>
                <c:pt idx="64">
                  <c:v>2.4242771918876489E-3</c:v>
                </c:pt>
                <c:pt idx="65">
                  <c:v>2.4242771918876489E-3</c:v>
                </c:pt>
                <c:pt idx="66">
                  <c:v>2.4242771918876489E-3</c:v>
                </c:pt>
                <c:pt idx="67">
                  <c:v>2.4242771918876489E-3</c:v>
                </c:pt>
                <c:pt idx="68">
                  <c:v>2.4242771918876489E-3</c:v>
                </c:pt>
                <c:pt idx="69">
                  <c:v>2.4242771918876489E-3</c:v>
                </c:pt>
                <c:pt idx="70">
                  <c:v>2.4242771918876489E-3</c:v>
                </c:pt>
                <c:pt idx="71">
                  <c:v>2.4242771918876489E-3</c:v>
                </c:pt>
                <c:pt idx="72">
                  <c:v>2.4242771918876489E-3</c:v>
                </c:pt>
                <c:pt idx="73">
                  <c:v>2.4242771918876489E-3</c:v>
                </c:pt>
                <c:pt idx="74">
                  <c:v>2.4242771918876489E-3</c:v>
                </c:pt>
                <c:pt idx="75">
                  <c:v>2.4242771918876489E-3</c:v>
                </c:pt>
                <c:pt idx="76">
                  <c:v>2.4242771918876489E-3</c:v>
                </c:pt>
                <c:pt idx="77">
                  <c:v>2.4242771918876489E-3</c:v>
                </c:pt>
                <c:pt idx="78">
                  <c:v>2.4242771918876489E-3</c:v>
                </c:pt>
                <c:pt idx="79">
                  <c:v>2.4242771918876489E-3</c:v>
                </c:pt>
                <c:pt idx="80">
                  <c:v>2.4242771918876489E-3</c:v>
                </c:pt>
                <c:pt idx="81">
                  <c:v>2.4242771918876489E-3</c:v>
                </c:pt>
                <c:pt idx="82">
                  <c:v>2.4242771918876489E-3</c:v>
                </c:pt>
                <c:pt idx="83">
                  <c:v>2.4242771918876489E-3</c:v>
                </c:pt>
                <c:pt idx="84">
                  <c:v>2.4242771918876489E-3</c:v>
                </c:pt>
                <c:pt idx="85">
                  <c:v>2.4242771918876489E-3</c:v>
                </c:pt>
                <c:pt idx="86">
                  <c:v>2.4242771918876489E-3</c:v>
                </c:pt>
                <c:pt idx="87">
                  <c:v>2.4242771918876489E-3</c:v>
                </c:pt>
                <c:pt idx="88">
                  <c:v>2.4242771918876489E-3</c:v>
                </c:pt>
                <c:pt idx="89">
                  <c:v>2.4242771918876489E-3</c:v>
                </c:pt>
                <c:pt idx="90">
                  <c:v>2.4242771918876489E-3</c:v>
                </c:pt>
                <c:pt idx="91">
                  <c:v>2.4242771918876489E-3</c:v>
                </c:pt>
                <c:pt idx="92">
                  <c:v>2.4242771918876489E-3</c:v>
                </c:pt>
                <c:pt idx="93">
                  <c:v>2.4242771918876489E-3</c:v>
                </c:pt>
                <c:pt idx="94">
                  <c:v>2.4242771918876489E-3</c:v>
                </c:pt>
                <c:pt idx="95">
                  <c:v>2.4242771918876489E-3</c:v>
                </c:pt>
                <c:pt idx="96">
                  <c:v>2.4242771918876489E-3</c:v>
                </c:pt>
                <c:pt idx="97">
                  <c:v>2.4242771918876489E-3</c:v>
                </c:pt>
                <c:pt idx="98">
                  <c:v>2.4242771918876489E-3</c:v>
                </c:pt>
                <c:pt idx="99">
                  <c:v>2.4242771918876489E-3</c:v>
                </c:pt>
                <c:pt idx="100">
                  <c:v>2.4242771918876489E-3</c:v>
                </c:pt>
                <c:pt idx="101">
                  <c:v>2.4242771918876489E-3</c:v>
                </c:pt>
                <c:pt idx="102">
                  <c:v>2.4242771918876489E-3</c:v>
                </c:pt>
                <c:pt idx="103">
                  <c:v>2.4242771918876489E-3</c:v>
                </c:pt>
                <c:pt idx="104">
                  <c:v>2.4242771918876489E-3</c:v>
                </c:pt>
                <c:pt idx="105">
                  <c:v>2.4242771918876489E-3</c:v>
                </c:pt>
                <c:pt idx="106">
                  <c:v>2.4242771918876489E-3</c:v>
                </c:pt>
                <c:pt idx="107">
                  <c:v>2.4242771918876489E-3</c:v>
                </c:pt>
                <c:pt idx="108">
                  <c:v>2.4242771918876489E-3</c:v>
                </c:pt>
                <c:pt idx="109">
                  <c:v>2.4242771918876489E-3</c:v>
                </c:pt>
                <c:pt idx="110">
                  <c:v>2.4242771918876489E-3</c:v>
                </c:pt>
                <c:pt idx="111">
                  <c:v>2.4242771918876489E-3</c:v>
                </c:pt>
                <c:pt idx="112">
                  <c:v>2.4242771918876489E-3</c:v>
                </c:pt>
                <c:pt idx="113">
                  <c:v>2.4242771918876489E-3</c:v>
                </c:pt>
                <c:pt idx="114">
                  <c:v>2.4242771918876489E-3</c:v>
                </c:pt>
                <c:pt idx="115">
                  <c:v>2.4242771918876489E-3</c:v>
                </c:pt>
                <c:pt idx="116">
                  <c:v>2.4242771918876489E-3</c:v>
                </c:pt>
                <c:pt idx="117">
                  <c:v>2.4242771918876489E-3</c:v>
                </c:pt>
                <c:pt idx="118">
                  <c:v>2.4242771918876489E-3</c:v>
                </c:pt>
                <c:pt idx="119">
                  <c:v>2.4242771918876489E-3</c:v>
                </c:pt>
                <c:pt idx="120">
                  <c:v>2.4242771918876489E-3</c:v>
                </c:pt>
                <c:pt idx="121">
                  <c:v>2.4242771918876489E-3</c:v>
                </c:pt>
                <c:pt idx="122">
                  <c:v>2.4242771918876489E-3</c:v>
                </c:pt>
                <c:pt idx="123">
                  <c:v>2.4242771918876489E-3</c:v>
                </c:pt>
                <c:pt idx="124">
                  <c:v>2.4242771918876489E-3</c:v>
                </c:pt>
                <c:pt idx="125">
                  <c:v>2.4242771918876489E-3</c:v>
                </c:pt>
                <c:pt idx="126">
                  <c:v>2.4242771918876489E-3</c:v>
                </c:pt>
                <c:pt idx="127">
                  <c:v>2.4242771918876489E-3</c:v>
                </c:pt>
                <c:pt idx="128">
                  <c:v>2.4242771918876489E-3</c:v>
                </c:pt>
                <c:pt idx="129">
                  <c:v>2.4242771918876489E-3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42124</c:v>
                </c:pt>
                <c:pt idx="1">
                  <c:v>42125</c:v>
                </c:pt>
                <c:pt idx="2">
                  <c:v>42129</c:v>
                </c:pt>
                <c:pt idx="3">
                  <c:v>42130</c:v>
                </c:pt>
                <c:pt idx="4">
                  <c:v>42131</c:v>
                </c:pt>
                <c:pt idx="5">
                  <c:v>42132</c:v>
                </c:pt>
                <c:pt idx="6">
                  <c:v>42135</c:v>
                </c:pt>
                <c:pt idx="7">
                  <c:v>42136</c:v>
                </c:pt>
                <c:pt idx="8">
                  <c:v>42137</c:v>
                </c:pt>
                <c:pt idx="9">
                  <c:v>42138</c:v>
                </c:pt>
                <c:pt idx="10">
                  <c:v>42139</c:v>
                </c:pt>
                <c:pt idx="11">
                  <c:v>42142</c:v>
                </c:pt>
                <c:pt idx="12">
                  <c:v>42143</c:v>
                </c:pt>
                <c:pt idx="13">
                  <c:v>42144</c:v>
                </c:pt>
                <c:pt idx="14">
                  <c:v>42145</c:v>
                </c:pt>
                <c:pt idx="15">
                  <c:v>42146</c:v>
                </c:pt>
                <c:pt idx="16">
                  <c:v>42150</c:v>
                </c:pt>
                <c:pt idx="17">
                  <c:v>42151</c:v>
                </c:pt>
                <c:pt idx="18">
                  <c:v>42152</c:v>
                </c:pt>
                <c:pt idx="19">
                  <c:v>42153</c:v>
                </c:pt>
                <c:pt idx="20">
                  <c:v>42156</c:v>
                </c:pt>
                <c:pt idx="21">
                  <c:v>42157</c:v>
                </c:pt>
                <c:pt idx="22">
                  <c:v>42158</c:v>
                </c:pt>
                <c:pt idx="23">
                  <c:v>42159</c:v>
                </c:pt>
                <c:pt idx="24">
                  <c:v>42160</c:v>
                </c:pt>
                <c:pt idx="25">
                  <c:v>42163</c:v>
                </c:pt>
                <c:pt idx="26">
                  <c:v>42164</c:v>
                </c:pt>
                <c:pt idx="27">
                  <c:v>42165</c:v>
                </c:pt>
                <c:pt idx="28">
                  <c:v>42166</c:v>
                </c:pt>
                <c:pt idx="29">
                  <c:v>42167</c:v>
                </c:pt>
                <c:pt idx="30">
                  <c:v>42170</c:v>
                </c:pt>
                <c:pt idx="31">
                  <c:v>42171</c:v>
                </c:pt>
                <c:pt idx="32">
                  <c:v>42172</c:v>
                </c:pt>
                <c:pt idx="33">
                  <c:v>42173</c:v>
                </c:pt>
                <c:pt idx="34">
                  <c:v>42174</c:v>
                </c:pt>
                <c:pt idx="35">
                  <c:v>42177</c:v>
                </c:pt>
                <c:pt idx="36">
                  <c:v>42178</c:v>
                </c:pt>
                <c:pt idx="37">
                  <c:v>42179</c:v>
                </c:pt>
                <c:pt idx="38">
                  <c:v>42180</c:v>
                </c:pt>
                <c:pt idx="39">
                  <c:v>42181</c:v>
                </c:pt>
                <c:pt idx="40">
                  <c:v>42184</c:v>
                </c:pt>
                <c:pt idx="41">
                  <c:v>42185</c:v>
                </c:pt>
                <c:pt idx="42">
                  <c:v>42186</c:v>
                </c:pt>
                <c:pt idx="43">
                  <c:v>42187</c:v>
                </c:pt>
                <c:pt idx="44">
                  <c:v>42188</c:v>
                </c:pt>
                <c:pt idx="45">
                  <c:v>42191</c:v>
                </c:pt>
                <c:pt idx="46">
                  <c:v>42192</c:v>
                </c:pt>
                <c:pt idx="47">
                  <c:v>42193</c:v>
                </c:pt>
                <c:pt idx="48">
                  <c:v>42194</c:v>
                </c:pt>
                <c:pt idx="49">
                  <c:v>42195</c:v>
                </c:pt>
                <c:pt idx="50">
                  <c:v>42198</c:v>
                </c:pt>
                <c:pt idx="51">
                  <c:v>42199</c:v>
                </c:pt>
                <c:pt idx="52">
                  <c:v>42200</c:v>
                </c:pt>
                <c:pt idx="53">
                  <c:v>42201</c:v>
                </c:pt>
                <c:pt idx="54">
                  <c:v>42202</c:v>
                </c:pt>
                <c:pt idx="55">
                  <c:v>42205</c:v>
                </c:pt>
                <c:pt idx="56">
                  <c:v>42206</c:v>
                </c:pt>
                <c:pt idx="57">
                  <c:v>42207</c:v>
                </c:pt>
                <c:pt idx="58">
                  <c:v>42208</c:v>
                </c:pt>
                <c:pt idx="59">
                  <c:v>42209</c:v>
                </c:pt>
                <c:pt idx="60">
                  <c:v>42212</c:v>
                </c:pt>
                <c:pt idx="61">
                  <c:v>42213</c:v>
                </c:pt>
                <c:pt idx="62">
                  <c:v>42214</c:v>
                </c:pt>
                <c:pt idx="63">
                  <c:v>42215</c:v>
                </c:pt>
                <c:pt idx="64">
                  <c:v>42216</c:v>
                </c:pt>
                <c:pt idx="65">
                  <c:v>42219</c:v>
                </c:pt>
                <c:pt idx="66">
                  <c:v>42220</c:v>
                </c:pt>
                <c:pt idx="67">
                  <c:v>42221</c:v>
                </c:pt>
                <c:pt idx="68">
                  <c:v>42222</c:v>
                </c:pt>
                <c:pt idx="69">
                  <c:v>42223</c:v>
                </c:pt>
                <c:pt idx="70">
                  <c:v>42226</c:v>
                </c:pt>
                <c:pt idx="71">
                  <c:v>42227</c:v>
                </c:pt>
                <c:pt idx="72">
                  <c:v>42228</c:v>
                </c:pt>
                <c:pt idx="73">
                  <c:v>42229</c:v>
                </c:pt>
                <c:pt idx="74">
                  <c:v>42230</c:v>
                </c:pt>
                <c:pt idx="75">
                  <c:v>42233</c:v>
                </c:pt>
                <c:pt idx="76">
                  <c:v>42234</c:v>
                </c:pt>
                <c:pt idx="77">
                  <c:v>42235</c:v>
                </c:pt>
                <c:pt idx="78">
                  <c:v>42236</c:v>
                </c:pt>
                <c:pt idx="79">
                  <c:v>42237</c:v>
                </c:pt>
                <c:pt idx="80">
                  <c:v>42240</c:v>
                </c:pt>
                <c:pt idx="81">
                  <c:v>42241</c:v>
                </c:pt>
                <c:pt idx="82">
                  <c:v>42242</c:v>
                </c:pt>
                <c:pt idx="83">
                  <c:v>42243</c:v>
                </c:pt>
                <c:pt idx="84">
                  <c:v>42244</c:v>
                </c:pt>
                <c:pt idx="85">
                  <c:v>42248</c:v>
                </c:pt>
                <c:pt idx="86">
                  <c:v>42249</c:v>
                </c:pt>
                <c:pt idx="87">
                  <c:v>42250</c:v>
                </c:pt>
                <c:pt idx="88">
                  <c:v>42251</c:v>
                </c:pt>
                <c:pt idx="89">
                  <c:v>42254</c:v>
                </c:pt>
                <c:pt idx="90">
                  <c:v>42255</c:v>
                </c:pt>
                <c:pt idx="91">
                  <c:v>42256</c:v>
                </c:pt>
                <c:pt idx="92">
                  <c:v>42257</c:v>
                </c:pt>
                <c:pt idx="93">
                  <c:v>42258</c:v>
                </c:pt>
                <c:pt idx="94">
                  <c:v>42261</c:v>
                </c:pt>
                <c:pt idx="95">
                  <c:v>42262</c:v>
                </c:pt>
                <c:pt idx="96">
                  <c:v>42263</c:v>
                </c:pt>
                <c:pt idx="97">
                  <c:v>42264</c:v>
                </c:pt>
                <c:pt idx="98">
                  <c:v>42265</c:v>
                </c:pt>
                <c:pt idx="99">
                  <c:v>42268</c:v>
                </c:pt>
                <c:pt idx="100">
                  <c:v>42269</c:v>
                </c:pt>
                <c:pt idx="101">
                  <c:v>42270</c:v>
                </c:pt>
                <c:pt idx="102">
                  <c:v>42271</c:v>
                </c:pt>
                <c:pt idx="103">
                  <c:v>42272</c:v>
                </c:pt>
                <c:pt idx="104">
                  <c:v>42275</c:v>
                </c:pt>
                <c:pt idx="105">
                  <c:v>42276</c:v>
                </c:pt>
                <c:pt idx="106">
                  <c:v>42277</c:v>
                </c:pt>
                <c:pt idx="107">
                  <c:v>42278</c:v>
                </c:pt>
                <c:pt idx="108">
                  <c:v>42279</c:v>
                </c:pt>
                <c:pt idx="109">
                  <c:v>42282</c:v>
                </c:pt>
                <c:pt idx="110">
                  <c:v>42283</c:v>
                </c:pt>
                <c:pt idx="111">
                  <c:v>42284</c:v>
                </c:pt>
                <c:pt idx="112">
                  <c:v>42285</c:v>
                </c:pt>
                <c:pt idx="113">
                  <c:v>42286</c:v>
                </c:pt>
                <c:pt idx="114">
                  <c:v>42289</c:v>
                </c:pt>
                <c:pt idx="115">
                  <c:v>42290</c:v>
                </c:pt>
                <c:pt idx="116">
                  <c:v>42291</c:v>
                </c:pt>
                <c:pt idx="117">
                  <c:v>42292</c:v>
                </c:pt>
                <c:pt idx="118">
                  <c:v>42293</c:v>
                </c:pt>
                <c:pt idx="119">
                  <c:v>42296</c:v>
                </c:pt>
                <c:pt idx="120">
                  <c:v>42297</c:v>
                </c:pt>
                <c:pt idx="121">
                  <c:v>42298</c:v>
                </c:pt>
                <c:pt idx="122">
                  <c:v>42299</c:v>
                </c:pt>
                <c:pt idx="123">
                  <c:v>42300</c:v>
                </c:pt>
                <c:pt idx="124">
                  <c:v>42303</c:v>
                </c:pt>
                <c:pt idx="125">
                  <c:v>42304</c:v>
                </c:pt>
                <c:pt idx="126">
                  <c:v>42305</c:v>
                </c:pt>
                <c:pt idx="127">
                  <c:v>42306</c:v>
                </c:pt>
                <c:pt idx="128">
                  <c:v>42307</c:v>
                </c:pt>
                <c:pt idx="129">
                  <c:v>42310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2.056720138447236E-3</c:v>
                </c:pt>
                <c:pt idx="1">
                  <c:v>2.0607371554247269E-3</c:v>
                </c:pt>
                <c:pt idx="2">
                  <c:v>2.0768052233346903E-3</c:v>
                </c:pt>
                <c:pt idx="3">
                  <c:v>2.0808222403121811E-3</c:v>
                </c:pt>
                <c:pt idx="4">
                  <c:v>2.084839257289672E-3</c:v>
                </c:pt>
                <c:pt idx="5">
                  <c:v>2.0888562742671628E-3</c:v>
                </c:pt>
                <c:pt idx="6">
                  <c:v>2.1009073251996354E-3</c:v>
                </c:pt>
                <c:pt idx="7">
                  <c:v>2.1049243421771262E-3</c:v>
                </c:pt>
                <c:pt idx="8">
                  <c:v>2.1089413591546171E-3</c:v>
                </c:pt>
                <c:pt idx="9">
                  <c:v>2.1129583761321079E-3</c:v>
                </c:pt>
                <c:pt idx="10">
                  <c:v>2.1169753931095988E-3</c:v>
                </c:pt>
                <c:pt idx="11">
                  <c:v>2.1290264440420714E-3</c:v>
                </c:pt>
                <c:pt idx="12">
                  <c:v>2.1330434610195622E-3</c:v>
                </c:pt>
                <c:pt idx="13">
                  <c:v>2.1370604779970531E-3</c:v>
                </c:pt>
                <c:pt idx="14">
                  <c:v>2.1410774949745439E-3</c:v>
                </c:pt>
                <c:pt idx="15">
                  <c:v>2.1450945119520348E-3</c:v>
                </c:pt>
                <c:pt idx="16">
                  <c:v>2.1611625798619977E-3</c:v>
                </c:pt>
                <c:pt idx="17">
                  <c:v>2.1651795968394886E-3</c:v>
                </c:pt>
                <c:pt idx="18">
                  <c:v>2.1691966138169794E-3</c:v>
                </c:pt>
                <c:pt idx="19">
                  <c:v>2.1732136307944703E-3</c:v>
                </c:pt>
                <c:pt idx="20">
                  <c:v>2.1852646817269428E-3</c:v>
                </c:pt>
                <c:pt idx="21">
                  <c:v>2.1892816987044337E-3</c:v>
                </c:pt>
                <c:pt idx="22">
                  <c:v>2.1932987156819245E-3</c:v>
                </c:pt>
                <c:pt idx="23">
                  <c:v>2.1973157326594154E-3</c:v>
                </c:pt>
                <c:pt idx="24">
                  <c:v>2.2013327496369062E-3</c:v>
                </c:pt>
                <c:pt idx="25">
                  <c:v>2.2133838005693788E-3</c:v>
                </c:pt>
                <c:pt idx="26">
                  <c:v>2.2174008175468696E-3</c:v>
                </c:pt>
                <c:pt idx="27">
                  <c:v>2.2214178345243605E-3</c:v>
                </c:pt>
                <c:pt idx="28">
                  <c:v>2.2254348515018513E-3</c:v>
                </c:pt>
                <c:pt idx="29">
                  <c:v>2.2294518684793422E-3</c:v>
                </c:pt>
                <c:pt idx="30">
                  <c:v>2.2415029194118147E-3</c:v>
                </c:pt>
                <c:pt idx="31">
                  <c:v>2.2455199363893056E-3</c:v>
                </c:pt>
                <c:pt idx="32">
                  <c:v>2.2495369533667964E-3</c:v>
                </c:pt>
                <c:pt idx="33">
                  <c:v>2.2535539703442873E-3</c:v>
                </c:pt>
                <c:pt idx="34">
                  <c:v>2.2575709873217781E-3</c:v>
                </c:pt>
                <c:pt idx="35">
                  <c:v>2.2696220382542507E-3</c:v>
                </c:pt>
                <c:pt idx="36">
                  <c:v>2.2736390552317415E-3</c:v>
                </c:pt>
                <c:pt idx="37">
                  <c:v>2.2776560722092324E-3</c:v>
                </c:pt>
                <c:pt idx="38">
                  <c:v>2.2816730891867232E-3</c:v>
                </c:pt>
                <c:pt idx="39">
                  <c:v>2.2856901061642141E-3</c:v>
                </c:pt>
                <c:pt idx="40">
                  <c:v>2.2977411570966866E-3</c:v>
                </c:pt>
                <c:pt idx="41">
                  <c:v>2.3017581740741775E-3</c:v>
                </c:pt>
                <c:pt idx="42">
                  <c:v>2.3057751910516683E-3</c:v>
                </c:pt>
                <c:pt idx="43">
                  <c:v>2.3097922080291592E-3</c:v>
                </c:pt>
                <c:pt idx="44">
                  <c:v>2.31380922500665E-3</c:v>
                </c:pt>
                <c:pt idx="45">
                  <c:v>2.3258602759391222E-3</c:v>
                </c:pt>
                <c:pt idx="46">
                  <c:v>2.329877292916613E-3</c:v>
                </c:pt>
                <c:pt idx="47">
                  <c:v>2.3338943098941039E-3</c:v>
                </c:pt>
                <c:pt idx="48">
                  <c:v>2.3379113268715947E-3</c:v>
                </c:pt>
                <c:pt idx="49">
                  <c:v>2.3419283438490856E-3</c:v>
                </c:pt>
                <c:pt idx="50">
                  <c:v>2.3539793947815581E-3</c:v>
                </c:pt>
                <c:pt idx="51">
                  <c:v>2.357996411759049E-3</c:v>
                </c:pt>
                <c:pt idx="52">
                  <c:v>2.3620134287365398E-3</c:v>
                </c:pt>
                <c:pt idx="53">
                  <c:v>2.3660304457140307E-3</c:v>
                </c:pt>
                <c:pt idx="54">
                  <c:v>2.3700474626915215E-3</c:v>
                </c:pt>
                <c:pt idx="55">
                  <c:v>2.3820985136239941E-3</c:v>
                </c:pt>
                <c:pt idx="56">
                  <c:v>2.3861155306014849E-3</c:v>
                </c:pt>
                <c:pt idx="57">
                  <c:v>2.3901325475789758E-3</c:v>
                </c:pt>
                <c:pt idx="58">
                  <c:v>2.3941495645564666E-3</c:v>
                </c:pt>
                <c:pt idx="59">
                  <c:v>2.3981665815339575E-3</c:v>
                </c:pt>
                <c:pt idx="60">
                  <c:v>2.41021763246643E-3</c:v>
                </c:pt>
                <c:pt idx="61">
                  <c:v>2.4142346494439209E-3</c:v>
                </c:pt>
                <c:pt idx="62">
                  <c:v>2.4182516664214117E-3</c:v>
                </c:pt>
                <c:pt idx="63">
                  <c:v>2.4222686833989026E-3</c:v>
                </c:pt>
                <c:pt idx="64">
                  <c:v>2.4262857003763934E-3</c:v>
                </c:pt>
                <c:pt idx="65">
                  <c:v>2.438336751308866E-3</c:v>
                </c:pt>
                <c:pt idx="66">
                  <c:v>2.4423537682863568E-3</c:v>
                </c:pt>
                <c:pt idx="67">
                  <c:v>2.4463707852638477E-3</c:v>
                </c:pt>
                <c:pt idx="68">
                  <c:v>2.4503878022413385E-3</c:v>
                </c:pt>
                <c:pt idx="69">
                  <c:v>2.4544048192188294E-3</c:v>
                </c:pt>
                <c:pt idx="70">
                  <c:v>2.4664558701513019E-3</c:v>
                </c:pt>
                <c:pt idx="71">
                  <c:v>2.4704728871287928E-3</c:v>
                </c:pt>
                <c:pt idx="72">
                  <c:v>2.4744899041062836E-3</c:v>
                </c:pt>
                <c:pt idx="73">
                  <c:v>2.4785069210837745E-3</c:v>
                </c:pt>
                <c:pt idx="74">
                  <c:v>2.4825239380612653E-3</c:v>
                </c:pt>
                <c:pt idx="75">
                  <c:v>2.4945749889937379E-3</c:v>
                </c:pt>
                <c:pt idx="76">
                  <c:v>2.4985920059712287E-3</c:v>
                </c:pt>
                <c:pt idx="77">
                  <c:v>2.5026090229487196E-3</c:v>
                </c:pt>
                <c:pt idx="78">
                  <c:v>2.5066260399262104E-3</c:v>
                </c:pt>
                <c:pt idx="79">
                  <c:v>2.5106430569037013E-3</c:v>
                </c:pt>
                <c:pt idx="80">
                  <c:v>2.5226941078361738E-3</c:v>
                </c:pt>
                <c:pt idx="81">
                  <c:v>2.5267111248136647E-3</c:v>
                </c:pt>
                <c:pt idx="82">
                  <c:v>2.5307281417911551E-3</c:v>
                </c:pt>
                <c:pt idx="83">
                  <c:v>2.5347451587686459E-3</c:v>
                </c:pt>
                <c:pt idx="84">
                  <c:v>2.5387621757461368E-3</c:v>
                </c:pt>
                <c:pt idx="85">
                  <c:v>2.5548302436561002E-3</c:v>
                </c:pt>
                <c:pt idx="86">
                  <c:v>2.558847260633591E-3</c:v>
                </c:pt>
                <c:pt idx="87">
                  <c:v>2.5628642776110819E-3</c:v>
                </c:pt>
                <c:pt idx="88">
                  <c:v>2.5668812945885727E-3</c:v>
                </c:pt>
                <c:pt idx="89">
                  <c:v>2.5789323455210453E-3</c:v>
                </c:pt>
                <c:pt idx="90">
                  <c:v>2.5829493624985361E-3</c:v>
                </c:pt>
                <c:pt idx="91">
                  <c:v>2.586966379476027E-3</c:v>
                </c:pt>
                <c:pt idx="92">
                  <c:v>2.5909833964535178E-3</c:v>
                </c:pt>
                <c:pt idx="93">
                  <c:v>2.5950004134310087E-3</c:v>
                </c:pt>
                <c:pt idx="94">
                  <c:v>2.6070514643634812E-3</c:v>
                </c:pt>
                <c:pt idx="95">
                  <c:v>2.6110684813409721E-3</c:v>
                </c:pt>
                <c:pt idx="96">
                  <c:v>2.6150854983184629E-3</c:v>
                </c:pt>
                <c:pt idx="97">
                  <c:v>2.6191025152959538E-3</c:v>
                </c:pt>
                <c:pt idx="98">
                  <c:v>2.6231195322734446E-3</c:v>
                </c:pt>
                <c:pt idx="99">
                  <c:v>2.6351705832059172E-3</c:v>
                </c:pt>
                <c:pt idx="100">
                  <c:v>2.6391876001834081E-3</c:v>
                </c:pt>
                <c:pt idx="101">
                  <c:v>2.6432046171608989E-3</c:v>
                </c:pt>
                <c:pt idx="102">
                  <c:v>2.6472216341383898E-3</c:v>
                </c:pt>
                <c:pt idx="103">
                  <c:v>2.6512386511158806E-3</c:v>
                </c:pt>
                <c:pt idx="104">
                  <c:v>2.6632897020483532E-3</c:v>
                </c:pt>
                <c:pt idx="105">
                  <c:v>2.667306719025844E-3</c:v>
                </c:pt>
                <c:pt idx="106">
                  <c:v>2.6713237360033349E-3</c:v>
                </c:pt>
                <c:pt idx="107">
                  <c:v>2.6753407529808253E-3</c:v>
                </c:pt>
                <c:pt idx="108">
                  <c:v>2.6793577699583161E-3</c:v>
                </c:pt>
                <c:pt idx="109">
                  <c:v>2.6914088208907887E-3</c:v>
                </c:pt>
                <c:pt idx="110">
                  <c:v>2.6954258378682795E-3</c:v>
                </c:pt>
                <c:pt idx="111">
                  <c:v>2.6994428548457704E-3</c:v>
                </c:pt>
                <c:pt idx="112">
                  <c:v>2.7034598718232612E-3</c:v>
                </c:pt>
                <c:pt idx="113">
                  <c:v>2.7074768888007521E-3</c:v>
                </c:pt>
                <c:pt idx="114">
                  <c:v>2.7195279397332246E-3</c:v>
                </c:pt>
                <c:pt idx="115">
                  <c:v>2.7235449567107155E-3</c:v>
                </c:pt>
                <c:pt idx="116">
                  <c:v>2.7275619736882063E-3</c:v>
                </c:pt>
                <c:pt idx="117">
                  <c:v>2.7315789906656972E-3</c:v>
                </c:pt>
                <c:pt idx="118">
                  <c:v>2.735596007643188E-3</c:v>
                </c:pt>
                <c:pt idx="119">
                  <c:v>2.7476470585756606E-3</c:v>
                </c:pt>
                <c:pt idx="120">
                  <c:v>2.7516640755531514E-3</c:v>
                </c:pt>
                <c:pt idx="121">
                  <c:v>2.7556810925306423E-3</c:v>
                </c:pt>
                <c:pt idx="122">
                  <c:v>2.7596981095081331E-3</c:v>
                </c:pt>
                <c:pt idx="123">
                  <c:v>2.763715126485624E-3</c:v>
                </c:pt>
                <c:pt idx="124">
                  <c:v>2.7757661774180965E-3</c:v>
                </c:pt>
                <c:pt idx="125">
                  <c:v>2.7797831943955874E-3</c:v>
                </c:pt>
                <c:pt idx="126">
                  <c:v>2.7838002113730782E-3</c:v>
                </c:pt>
                <c:pt idx="127">
                  <c:v>2.7878172283505691E-3</c:v>
                </c:pt>
                <c:pt idx="128">
                  <c:v>2.7918342453280599E-3</c:v>
                </c:pt>
                <c:pt idx="129">
                  <c:v>2.8038852962605325E-3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42124</c:v>
                </c:pt>
                <c:pt idx="1">
                  <c:v>42125</c:v>
                </c:pt>
                <c:pt idx="2">
                  <c:v>42129</c:v>
                </c:pt>
                <c:pt idx="3">
                  <c:v>42130</c:v>
                </c:pt>
                <c:pt idx="4">
                  <c:v>42131</c:v>
                </c:pt>
                <c:pt idx="5">
                  <c:v>42132</c:v>
                </c:pt>
                <c:pt idx="6">
                  <c:v>42135</c:v>
                </c:pt>
                <c:pt idx="7">
                  <c:v>42136</c:v>
                </c:pt>
                <c:pt idx="8">
                  <c:v>42137</c:v>
                </c:pt>
                <c:pt idx="9">
                  <c:v>42138</c:v>
                </c:pt>
                <c:pt idx="10">
                  <c:v>42139</c:v>
                </c:pt>
                <c:pt idx="11">
                  <c:v>42142</c:v>
                </c:pt>
                <c:pt idx="12">
                  <c:v>42143</c:v>
                </c:pt>
                <c:pt idx="13">
                  <c:v>42144</c:v>
                </c:pt>
                <c:pt idx="14">
                  <c:v>42145</c:v>
                </c:pt>
                <c:pt idx="15">
                  <c:v>42146</c:v>
                </c:pt>
                <c:pt idx="16">
                  <c:v>42150</c:v>
                </c:pt>
                <c:pt idx="17">
                  <c:v>42151</c:v>
                </c:pt>
                <c:pt idx="18">
                  <c:v>42152</c:v>
                </c:pt>
                <c:pt idx="19">
                  <c:v>42153</c:v>
                </c:pt>
                <c:pt idx="20">
                  <c:v>42156</c:v>
                </c:pt>
                <c:pt idx="21">
                  <c:v>42157</c:v>
                </c:pt>
                <c:pt idx="22">
                  <c:v>42158</c:v>
                </c:pt>
                <c:pt idx="23">
                  <c:v>42159</c:v>
                </c:pt>
                <c:pt idx="24">
                  <c:v>42160</c:v>
                </c:pt>
                <c:pt idx="25">
                  <c:v>42163</c:v>
                </c:pt>
                <c:pt idx="26">
                  <c:v>42164</c:v>
                </c:pt>
                <c:pt idx="27">
                  <c:v>42165</c:v>
                </c:pt>
                <c:pt idx="28">
                  <c:v>42166</c:v>
                </c:pt>
                <c:pt idx="29">
                  <c:v>42167</c:v>
                </c:pt>
                <c:pt idx="30">
                  <c:v>42170</c:v>
                </c:pt>
                <c:pt idx="31">
                  <c:v>42171</c:v>
                </c:pt>
                <c:pt idx="32">
                  <c:v>42172</c:v>
                </c:pt>
                <c:pt idx="33">
                  <c:v>42173</c:v>
                </c:pt>
                <c:pt idx="34">
                  <c:v>42174</c:v>
                </c:pt>
                <c:pt idx="35">
                  <c:v>42177</c:v>
                </c:pt>
                <c:pt idx="36">
                  <c:v>42178</c:v>
                </c:pt>
                <c:pt idx="37">
                  <c:v>42179</c:v>
                </c:pt>
                <c:pt idx="38">
                  <c:v>42180</c:v>
                </c:pt>
                <c:pt idx="39">
                  <c:v>42181</c:v>
                </c:pt>
                <c:pt idx="40">
                  <c:v>42184</c:v>
                </c:pt>
                <c:pt idx="41">
                  <c:v>42185</c:v>
                </c:pt>
                <c:pt idx="42">
                  <c:v>42186</c:v>
                </c:pt>
                <c:pt idx="43">
                  <c:v>42187</c:v>
                </c:pt>
                <c:pt idx="44">
                  <c:v>42188</c:v>
                </c:pt>
                <c:pt idx="45">
                  <c:v>42191</c:v>
                </c:pt>
                <c:pt idx="46">
                  <c:v>42192</c:v>
                </c:pt>
                <c:pt idx="47">
                  <c:v>42193</c:v>
                </c:pt>
                <c:pt idx="48">
                  <c:v>42194</c:v>
                </c:pt>
                <c:pt idx="49">
                  <c:v>42195</c:v>
                </c:pt>
                <c:pt idx="50">
                  <c:v>42198</c:v>
                </c:pt>
                <c:pt idx="51">
                  <c:v>42199</c:v>
                </c:pt>
                <c:pt idx="52">
                  <c:v>42200</c:v>
                </c:pt>
                <c:pt idx="53">
                  <c:v>42201</c:v>
                </c:pt>
                <c:pt idx="54">
                  <c:v>42202</c:v>
                </c:pt>
                <c:pt idx="55">
                  <c:v>42205</c:v>
                </c:pt>
                <c:pt idx="56">
                  <c:v>42206</c:v>
                </c:pt>
                <c:pt idx="57">
                  <c:v>42207</c:v>
                </c:pt>
                <c:pt idx="58">
                  <c:v>42208</c:v>
                </c:pt>
                <c:pt idx="59">
                  <c:v>42209</c:v>
                </c:pt>
                <c:pt idx="60">
                  <c:v>42212</c:v>
                </c:pt>
                <c:pt idx="61">
                  <c:v>42213</c:v>
                </c:pt>
                <c:pt idx="62">
                  <c:v>42214</c:v>
                </c:pt>
                <c:pt idx="63">
                  <c:v>42215</c:v>
                </c:pt>
                <c:pt idx="64">
                  <c:v>42216</c:v>
                </c:pt>
                <c:pt idx="65">
                  <c:v>42219</c:v>
                </c:pt>
                <c:pt idx="66">
                  <c:v>42220</c:v>
                </c:pt>
                <c:pt idx="67">
                  <c:v>42221</c:v>
                </c:pt>
                <c:pt idx="68">
                  <c:v>42222</c:v>
                </c:pt>
                <c:pt idx="69">
                  <c:v>42223</c:v>
                </c:pt>
                <c:pt idx="70">
                  <c:v>42226</c:v>
                </c:pt>
                <c:pt idx="71">
                  <c:v>42227</c:v>
                </c:pt>
                <c:pt idx="72">
                  <c:v>42228</c:v>
                </c:pt>
                <c:pt idx="73">
                  <c:v>42229</c:v>
                </c:pt>
                <c:pt idx="74">
                  <c:v>42230</c:v>
                </c:pt>
                <c:pt idx="75">
                  <c:v>42233</c:v>
                </c:pt>
                <c:pt idx="76">
                  <c:v>42234</c:v>
                </c:pt>
                <c:pt idx="77">
                  <c:v>42235</c:v>
                </c:pt>
                <c:pt idx="78">
                  <c:v>42236</c:v>
                </c:pt>
                <c:pt idx="79">
                  <c:v>42237</c:v>
                </c:pt>
                <c:pt idx="80">
                  <c:v>42240</c:v>
                </c:pt>
                <c:pt idx="81">
                  <c:v>42241</c:v>
                </c:pt>
                <c:pt idx="82">
                  <c:v>42242</c:v>
                </c:pt>
                <c:pt idx="83">
                  <c:v>42243</c:v>
                </c:pt>
                <c:pt idx="84">
                  <c:v>42244</c:v>
                </c:pt>
                <c:pt idx="85">
                  <c:v>42248</c:v>
                </c:pt>
                <c:pt idx="86">
                  <c:v>42249</c:v>
                </c:pt>
                <c:pt idx="87">
                  <c:v>42250</c:v>
                </c:pt>
                <c:pt idx="88">
                  <c:v>42251</c:v>
                </c:pt>
                <c:pt idx="89">
                  <c:v>42254</c:v>
                </c:pt>
                <c:pt idx="90">
                  <c:v>42255</c:v>
                </c:pt>
                <c:pt idx="91">
                  <c:v>42256</c:v>
                </c:pt>
                <c:pt idx="92">
                  <c:v>42257</c:v>
                </c:pt>
                <c:pt idx="93">
                  <c:v>42258</c:v>
                </c:pt>
                <c:pt idx="94">
                  <c:v>42261</c:v>
                </c:pt>
                <c:pt idx="95">
                  <c:v>42262</c:v>
                </c:pt>
                <c:pt idx="96">
                  <c:v>42263</c:v>
                </c:pt>
                <c:pt idx="97">
                  <c:v>42264</c:v>
                </c:pt>
                <c:pt idx="98">
                  <c:v>42265</c:v>
                </c:pt>
                <c:pt idx="99">
                  <c:v>42268</c:v>
                </c:pt>
                <c:pt idx="100">
                  <c:v>42269</c:v>
                </c:pt>
                <c:pt idx="101">
                  <c:v>42270</c:v>
                </c:pt>
                <c:pt idx="102">
                  <c:v>42271</c:v>
                </c:pt>
                <c:pt idx="103">
                  <c:v>42272</c:v>
                </c:pt>
                <c:pt idx="104">
                  <c:v>42275</c:v>
                </c:pt>
                <c:pt idx="105">
                  <c:v>42276</c:v>
                </c:pt>
                <c:pt idx="106">
                  <c:v>42277</c:v>
                </c:pt>
                <c:pt idx="107">
                  <c:v>42278</c:v>
                </c:pt>
                <c:pt idx="108">
                  <c:v>42279</c:v>
                </c:pt>
                <c:pt idx="109">
                  <c:v>42282</c:v>
                </c:pt>
                <c:pt idx="110">
                  <c:v>42283</c:v>
                </c:pt>
                <c:pt idx="111">
                  <c:v>42284</c:v>
                </c:pt>
                <c:pt idx="112">
                  <c:v>42285</c:v>
                </c:pt>
                <c:pt idx="113">
                  <c:v>42286</c:v>
                </c:pt>
                <c:pt idx="114">
                  <c:v>42289</c:v>
                </c:pt>
                <c:pt idx="115">
                  <c:v>42290</c:v>
                </c:pt>
                <c:pt idx="116">
                  <c:v>42291</c:v>
                </c:pt>
                <c:pt idx="117">
                  <c:v>42292</c:v>
                </c:pt>
                <c:pt idx="118">
                  <c:v>42293</c:v>
                </c:pt>
                <c:pt idx="119">
                  <c:v>42296</c:v>
                </c:pt>
                <c:pt idx="120">
                  <c:v>42297</c:v>
                </c:pt>
                <c:pt idx="121">
                  <c:v>42298</c:v>
                </c:pt>
                <c:pt idx="122">
                  <c:v>42299</c:v>
                </c:pt>
                <c:pt idx="123">
                  <c:v>42300</c:v>
                </c:pt>
                <c:pt idx="124">
                  <c:v>42303</c:v>
                </c:pt>
                <c:pt idx="125">
                  <c:v>42304</c:v>
                </c:pt>
                <c:pt idx="126">
                  <c:v>42305</c:v>
                </c:pt>
                <c:pt idx="127">
                  <c:v>42306</c:v>
                </c:pt>
                <c:pt idx="128">
                  <c:v>42307</c:v>
                </c:pt>
                <c:pt idx="129">
                  <c:v>42310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1.3948993555982642E-3</c:v>
                </c:pt>
                <c:pt idx="1">
                  <c:v>1.415555587059308E-3</c:v>
                </c:pt>
                <c:pt idx="2">
                  <c:v>1.4966257690252453E-3</c:v>
                </c:pt>
                <c:pt idx="3">
                  <c:v>1.5165046285471699E-3</c:v>
                </c:pt>
                <c:pt idx="4">
                  <c:v>1.5362280136812705E-3</c:v>
                </c:pt>
                <c:pt idx="5">
                  <c:v>1.5557959244275471E-3</c:v>
                </c:pt>
                <c:pt idx="6">
                  <c:v>1.6135668103394341E-3</c:v>
                </c:pt>
                <c:pt idx="7">
                  <c:v>1.6325128235344152E-3</c:v>
                </c:pt>
                <c:pt idx="8">
                  <c:v>1.6513033623415723E-3</c:v>
                </c:pt>
                <c:pt idx="9">
                  <c:v>1.6699384267609056E-3</c:v>
                </c:pt>
                <c:pt idx="10">
                  <c:v>1.6884180167924152E-3</c:v>
                </c:pt>
                <c:pt idx="11">
                  <c:v>1.7429239405600001E-3</c:v>
                </c:pt>
                <c:pt idx="12">
                  <c:v>1.7607816330402141E-3</c:v>
                </c:pt>
                <c:pt idx="13">
                  <c:v>1.778483851132604E-3</c:v>
                </c:pt>
                <c:pt idx="14">
                  <c:v>1.7960305948371701E-3</c:v>
                </c:pt>
                <c:pt idx="15">
                  <c:v>1.8134218641539122E-3</c:v>
                </c:pt>
                <c:pt idx="16">
                  <c:v>1.8814321975426419E-3</c:v>
                </c:pt>
                <c:pt idx="17">
                  <c:v>1.8980460949202646E-3</c:v>
                </c:pt>
                <c:pt idx="18">
                  <c:v>1.9145045179100634E-3</c:v>
                </c:pt>
                <c:pt idx="19">
                  <c:v>1.9308074665120381E-3</c:v>
                </c:pt>
                <c:pt idx="20">
                  <c:v>1.9787834659910192E-3</c:v>
                </c:pt>
                <c:pt idx="21">
                  <c:v>1.9944645170416986E-3</c:v>
                </c:pt>
                <c:pt idx="22">
                  <c:v>2.0099900937045538E-3</c:v>
                </c:pt>
                <c:pt idx="23">
                  <c:v>2.0253601959795853E-3</c:v>
                </c:pt>
                <c:pt idx="24">
                  <c:v>2.0405748238667928E-3</c:v>
                </c:pt>
                <c:pt idx="25">
                  <c:v>2.0852858612014726E-3</c:v>
                </c:pt>
                <c:pt idx="26">
                  <c:v>2.0998785915373845E-3</c:v>
                </c:pt>
                <c:pt idx="27">
                  <c:v>2.1143158474854727E-3</c:v>
                </c:pt>
                <c:pt idx="28">
                  <c:v>2.1285976290457368E-3</c:v>
                </c:pt>
                <c:pt idx="29">
                  <c:v>2.1427239362181772E-3</c:v>
                </c:pt>
                <c:pt idx="30">
                  <c:v>2.1841700114085551E-3</c:v>
                </c:pt>
                <c:pt idx="31">
                  <c:v>2.1976744210296995E-3</c:v>
                </c:pt>
                <c:pt idx="32">
                  <c:v>2.2110233562630203E-3</c:v>
                </c:pt>
                <c:pt idx="33">
                  <c:v>2.2242168171085173E-3</c:v>
                </c:pt>
                <c:pt idx="34">
                  <c:v>2.2372548035661903E-3</c:v>
                </c:pt>
                <c:pt idx="35">
                  <c:v>2.2754359166122663E-3</c:v>
                </c:pt>
                <c:pt idx="36">
                  <c:v>2.2878520055186436E-3</c:v>
                </c:pt>
                <c:pt idx="37">
                  <c:v>2.3001126200371969E-3</c:v>
                </c:pt>
                <c:pt idx="38">
                  <c:v>2.3122177601679265E-3</c:v>
                </c:pt>
                <c:pt idx="39">
                  <c:v>2.3241674259108325E-3</c:v>
                </c:pt>
                <c:pt idx="40">
                  <c:v>2.359083576812606E-3</c:v>
                </c:pt>
                <c:pt idx="41">
                  <c:v>2.370411345004216E-3</c:v>
                </c:pt>
                <c:pt idx="42">
                  <c:v>2.3815836388080022E-3</c:v>
                </c:pt>
                <c:pt idx="43">
                  <c:v>2.3926004582239648E-3</c:v>
                </c:pt>
                <c:pt idx="44">
                  <c:v>2.4034618032521033E-3</c:v>
                </c:pt>
                <c:pt idx="45">
                  <c:v>2.4351129920095749E-3</c:v>
                </c:pt>
                <c:pt idx="46">
                  <c:v>2.4453524394864182E-3</c:v>
                </c:pt>
                <c:pt idx="47">
                  <c:v>2.4554364125754374E-3</c:v>
                </c:pt>
                <c:pt idx="48">
                  <c:v>2.4653649112766321E-3</c:v>
                </c:pt>
                <c:pt idx="49">
                  <c:v>2.4751379355900036E-3</c:v>
                </c:pt>
                <c:pt idx="50">
                  <c:v>2.5035241622031737E-3</c:v>
                </c:pt>
                <c:pt idx="51">
                  <c:v>2.5126752889652491E-3</c:v>
                </c:pt>
                <c:pt idx="52">
                  <c:v>2.5216709413395013E-3</c:v>
                </c:pt>
                <c:pt idx="53">
                  <c:v>2.530511119325929E-3</c:v>
                </c:pt>
                <c:pt idx="54">
                  <c:v>2.5391958229245325E-3</c:v>
                </c:pt>
                <c:pt idx="55">
                  <c:v>2.5643170873934007E-3</c:v>
                </c:pt>
                <c:pt idx="56">
                  <c:v>2.5723798934407091E-3</c:v>
                </c:pt>
                <c:pt idx="57">
                  <c:v>2.5802872251001934E-3</c:v>
                </c:pt>
                <c:pt idx="58">
                  <c:v>2.588039082371854E-3</c:v>
                </c:pt>
                <c:pt idx="59">
                  <c:v>2.5956354652556905E-3</c:v>
                </c:pt>
                <c:pt idx="60">
                  <c:v>2.6174917675802567E-3</c:v>
                </c:pt>
                <c:pt idx="61">
                  <c:v>2.6244662529127981E-3</c:v>
                </c:pt>
                <c:pt idx="62">
                  <c:v>2.631285263857515E-3</c:v>
                </c:pt>
                <c:pt idx="63">
                  <c:v>2.6379488004144081E-3</c:v>
                </c:pt>
                <c:pt idx="64">
                  <c:v>2.6444568625834776E-3</c:v>
                </c:pt>
                <c:pt idx="65">
                  <c:v>2.6630482027637423E-3</c:v>
                </c:pt>
                <c:pt idx="66">
                  <c:v>2.6689343673815158E-3</c:v>
                </c:pt>
                <c:pt idx="67">
                  <c:v>2.6746650576114656E-3</c:v>
                </c:pt>
                <c:pt idx="68">
                  <c:v>2.6802402734535918E-3</c:v>
                </c:pt>
                <c:pt idx="69">
                  <c:v>2.6856600149078938E-3</c:v>
                </c:pt>
                <c:pt idx="70">
                  <c:v>2.700986392943857E-3</c:v>
                </c:pt>
                <c:pt idx="71">
                  <c:v>2.7057842368468626E-3</c:v>
                </c:pt>
                <c:pt idx="72">
                  <c:v>2.7104266063620454E-3</c:v>
                </c:pt>
                <c:pt idx="73">
                  <c:v>2.714913501489404E-3</c:v>
                </c:pt>
                <c:pt idx="74">
                  <c:v>2.7192449222289391E-3</c:v>
                </c:pt>
                <c:pt idx="75">
                  <c:v>2.7313063381205998E-3</c:v>
                </c:pt>
                <c:pt idx="76">
                  <c:v>2.7350158613088393E-3</c:v>
                </c:pt>
                <c:pt idx="77">
                  <c:v>2.7385699101092542E-3</c:v>
                </c:pt>
                <c:pt idx="78">
                  <c:v>2.7419684845218454E-3</c:v>
                </c:pt>
                <c:pt idx="79">
                  <c:v>2.7452115845466129E-3</c:v>
                </c:pt>
                <c:pt idx="80">
                  <c:v>2.7540080382939722E-3</c:v>
                </c:pt>
                <c:pt idx="81">
                  <c:v>2.7566292407674442E-3</c:v>
                </c:pt>
                <c:pt idx="82">
                  <c:v>2.7590949688530916E-3</c:v>
                </c:pt>
                <c:pt idx="83">
                  <c:v>2.7614052225509158E-3</c:v>
                </c:pt>
                <c:pt idx="84">
                  <c:v>2.7635600018609159E-3</c:v>
                </c:pt>
                <c:pt idx="85">
                  <c:v>2.7706243752226778E-3</c:v>
                </c:pt>
                <c:pt idx="86">
                  <c:v>2.772001782593559E-3</c:v>
                </c:pt>
                <c:pt idx="87">
                  <c:v>2.7732237155766145E-3</c:v>
                </c:pt>
                <c:pt idx="88">
                  <c:v>2.7742901741718484E-3</c:v>
                </c:pt>
                <c:pt idx="89">
                  <c:v>2.7765567036306029E-3</c:v>
                </c:pt>
                <c:pt idx="90">
                  <c:v>2.7770012646745413E-3</c:v>
                </c:pt>
                <c:pt idx="91">
                  <c:v>2.7772903513306546E-3</c:v>
                </c:pt>
                <c:pt idx="92">
                  <c:v>2.7774239635989439E-3</c:v>
                </c:pt>
                <c:pt idx="93">
                  <c:v>2.7774021014794086E-3</c:v>
                </c:pt>
                <c:pt idx="94">
                  <c:v>2.7764036687938629E-3</c:v>
                </c:pt>
                <c:pt idx="95">
                  <c:v>2.775759909123033E-3</c:v>
                </c:pt>
                <c:pt idx="96">
                  <c:v>2.7749606750643793E-3</c:v>
                </c:pt>
                <c:pt idx="97">
                  <c:v>2.7740059666179016E-3</c:v>
                </c:pt>
                <c:pt idx="98">
                  <c:v>2.7728957837835997E-3</c:v>
                </c:pt>
                <c:pt idx="99">
                  <c:v>2.7686323889537512E-3</c:v>
                </c:pt>
                <c:pt idx="100">
                  <c:v>2.7669003085681542E-3</c:v>
                </c:pt>
                <c:pt idx="101">
                  <c:v>2.7650127537947331E-3</c:v>
                </c:pt>
                <c:pt idx="102">
                  <c:v>2.7629697246334874E-3</c:v>
                </c:pt>
                <c:pt idx="103">
                  <c:v>2.7607712210844194E-3</c:v>
                </c:pt>
                <c:pt idx="104">
                  <c:v>2.7532428641102681E-3</c:v>
                </c:pt>
                <c:pt idx="105">
                  <c:v>2.7504224630099045E-3</c:v>
                </c:pt>
                <c:pt idx="106">
                  <c:v>2.747446587521715E-3</c:v>
                </c:pt>
                <c:pt idx="107">
                  <c:v>2.7443152376457037E-3</c:v>
                </c:pt>
                <c:pt idx="108">
                  <c:v>2.7410284133818669E-3</c:v>
                </c:pt>
                <c:pt idx="109">
                  <c:v>2.7302350942634149E-3</c:v>
                </c:pt>
                <c:pt idx="110">
                  <c:v>2.7263263724482826E-3</c:v>
                </c:pt>
                <c:pt idx="111">
                  <c:v>2.7222621762453278E-3</c:v>
                </c:pt>
                <c:pt idx="112">
                  <c:v>2.7180425056545477E-3</c:v>
                </c:pt>
                <c:pt idx="113">
                  <c:v>2.7136673606759443E-3</c:v>
                </c:pt>
                <c:pt idx="114">
                  <c:v>2.6996090794131895E-3</c:v>
                </c:pt>
                <c:pt idx="115">
                  <c:v>2.694612036883291E-3</c:v>
                </c:pt>
                <c:pt idx="116">
                  <c:v>2.6894595199655679E-3</c:v>
                </c:pt>
                <c:pt idx="117">
                  <c:v>2.6841515286600212E-3</c:v>
                </c:pt>
                <c:pt idx="118">
                  <c:v>2.6786880629666504E-3</c:v>
                </c:pt>
                <c:pt idx="119">
                  <c:v>2.6613648195595945E-3</c:v>
                </c:pt>
                <c:pt idx="120">
                  <c:v>2.6552794563149281E-3</c:v>
                </c:pt>
                <c:pt idx="121">
                  <c:v>2.649038618682438E-3</c:v>
                </c:pt>
                <c:pt idx="122">
                  <c:v>2.6426423066621238E-3</c:v>
                </c:pt>
                <c:pt idx="123">
                  <c:v>2.6360905202539851E-3</c:v>
                </c:pt>
                <c:pt idx="124">
                  <c:v>2.6155023147026277E-3</c:v>
                </c:pt>
                <c:pt idx="125">
                  <c:v>2.6083286307431938E-3</c:v>
                </c:pt>
                <c:pt idx="126">
                  <c:v>2.6009994723959371E-3</c:v>
                </c:pt>
                <c:pt idx="127">
                  <c:v>2.5935148396608546E-3</c:v>
                </c:pt>
                <c:pt idx="128">
                  <c:v>2.5858747325379493E-3</c:v>
                </c:pt>
                <c:pt idx="129">
                  <c:v>2.5620215648422904E-3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895040"/>
        <c:axId val="129900928"/>
      </c:lineChart>
      <c:dateAx>
        <c:axId val="12989504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129900928"/>
        <c:crosses val="autoZero"/>
        <c:auto val="1"/>
        <c:lblOffset val="100"/>
        <c:baseTimeUnit val="days"/>
      </c:dateAx>
      <c:valAx>
        <c:axId val="12990092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298950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'1YSynthDepo'!$AB$3:$AB$257</c:f>
              <c:numCache>
                <c:formatCode>ddd\,\ dd\-mmm\-yyyy</c:formatCode>
                <c:ptCount val="255"/>
                <c:pt idx="0">
                  <c:v>42124</c:v>
                </c:pt>
                <c:pt idx="1">
                  <c:v>42125</c:v>
                </c:pt>
                <c:pt idx="2">
                  <c:v>42129</c:v>
                </c:pt>
                <c:pt idx="3">
                  <c:v>42130</c:v>
                </c:pt>
                <c:pt idx="4">
                  <c:v>42131</c:v>
                </c:pt>
                <c:pt idx="5">
                  <c:v>42132</c:v>
                </c:pt>
                <c:pt idx="6">
                  <c:v>42135</c:v>
                </c:pt>
                <c:pt idx="7">
                  <c:v>42136</c:v>
                </c:pt>
                <c:pt idx="8">
                  <c:v>42137</c:v>
                </c:pt>
                <c:pt idx="9">
                  <c:v>42138</c:v>
                </c:pt>
                <c:pt idx="10">
                  <c:v>42139</c:v>
                </c:pt>
                <c:pt idx="11">
                  <c:v>42142</c:v>
                </c:pt>
                <c:pt idx="12">
                  <c:v>42143</c:v>
                </c:pt>
                <c:pt idx="13">
                  <c:v>42144</c:v>
                </c:pt>
                <c:pt idx="14">
                  <c:v>42145</c:v>
                </c:pt>
                <c:pt idx="15">
                  <c:v>42146</c:v>
                </c:pt>
                <c:pt idx="16">
                  <c:v>42150</c:v>
                </c:pt>
                <c:pt idx="17">
                  <c:v>42151</c:v>
                </c:pt>
                <c:pt idx="18">
                  <c:v>42152</c:v>
                </c:pt>
                <c:pt idx="19">
                  <c:v>42153</c:v>
                </c:pt>
                <c:pt idx="20">
                  <c:v>42156</c:v>
                </c:pt>
                <c:pt idx="21">
                  <c:v>42157</c:v>
                </c:pt>
                <c:pt idx="22">
                  <c:v>42158</c:v>
                </c:pt>
                <c:pt idx="23">
                  <c:v>42159</c:v>
                </c:pt>
                <c:pt idx="24">
                  <c:v>42160</c:v>
                </c:pt>
                <c:pt idx="25">
                  <c:v>42163</c:v>
                </c:pt>
                <c:pt idx="26">
                  <c:v>42164</c:v>
                </c:pt>
                <c:pt idx="27">
                  <c:v>42165</c:v>
                </c:pt>
                <c:pt idx="28">
                  <c:v>42166</c:v>
                </c:pt>
                <c:pt idx="29">
                  <c:v>42167</c:v>
                </c:pt>
                <c:pt idx="30">
                  <c:v>42170</c:v>
                </c:pt>
                <c:pt idx="31">
                  <c:v>42171</c:v>
                </c:pt>
                <c:pt idx="32">
                  <c:v>42172</c:v>
                </c:pt>
                <c:pt idx="33">
                  <c:v>42173</c:v>
                </c:pt>
                <c:pt idx="34">
                  <c:v>42174</c:v>
                </c:pt>
                <c:pt idx="35">
                  <c:v>42177</c:v>
                </c:pt>
                <c:pt idx="36">
                  <c:v>42178</c:v>
                </c:pt>
                <c:pt idx="37">
                  <c:v>42179</c:v>
                </c:pt>
                <c:pt idx="38">
                  <c:v>42180</c:v>
                </c:pt>
                <c:pt idx="39">
                  <c:v>42181</c:v>
                </c:pt>
                <c:pt idx="40">
                  <c:v>42184</c:v>
                </c:pt>
                <c:pt idx="41">
                  <c:v>42185</c:v>
                </c:pt>
                <c:pt idx="42">
                  <c:v>42186</c:v>
                </c:pt>
                <c:pt idx="43">
                  <c:v>42187</c:v>
                </c:pt>
                <c:pt idx="44">
                  <c:v>42188</c:v>
                </c:pt>
                <c:pt idx="45">
                  <c:v>42191</c:v>
                </c:pt>
                <c:pt idx="46">
                  <c:v>42192</c:v>
                </c:pt>
                <c:pt idx="47">
                  <c:v>42193</c:v>
                </c:pt>
                <c:pt idx="48">
                  <c:v>42194</c:v>
                </c:pt>
                <c:pt idx="49">
                  <c:v>42195</c:v>
                </c:pt>
                <c:pt idx="50">
                  <c:v>42198</c:v>
                </c:pt>
                <c:pt idx="51">
                  <c:v>42199</c:v>
                </c:pt>
                <c:pt idx="52">
                  <c:v>42200</c:v>
                </c:pt>
                <c:pt idx="53">
                  <c:v>42201</c:v>
                </c:pt>
                <c:pt idx="54">
                  <c:v>42202</c:v>
                </c:pt>
                <c:pt idx="55">
                  <c:v>42205</c:v>
                </c:pt>
                <c:pt idx="56">
                  <c:v>42206</c:v>
                </c:pt>
                <c:pt idx="57">
                  <c:v>42207</c:v>
                </c:pt>
                <c:pt idx="58">
                  <c:v>42208</c:v>
                </c:pt>
                <c:pt idx="59">
                  <c:v>42209</c:v>
                </c:pt>
                <c:pt idx="60">
                  <c:v>42212</c:v>
                </c:pt>
                <c:pt idx="61">
                  <c:v>42213</c:v>
                </c:pt>
                <c:pt idx="62">
                  <c:v>42214</c:v>
                </c:pt>
                <c:pt idx="63">
                  <c:v>42215</c:v>
                </c:pt>
                <c:pt idx="64">
                  <c:v>42216</c:v>
                </c:pt>
                <c:pt idx="65">
                  <c:v>42219</c:v>
                </c:pt>
                <c:pt idx="66">
                  <c:v>42220</c:v>
                </c:pt>
                <c:pt idx="67">
                  <c:v>42221</c:v>
                </c:pt>
                <c:pt idx="68">
                  <c:v>42222</c:v>
                </c:pt>
                <c:pt idx="69">
                  <c:v>42223</c:v>
                </c:pt>
                <c:pt idx="70">
                  <c:v>42226</c:v>
                </c:pt>
                <c:pt idx="71">
                  <c:v>42227</c:v>
                </c:pt>
                <c:pt idx="72">
                  <c:v>42228</c:v>
                </c:pt>
                <c:pt idx="73">
                  <c:v>42229</c:v>
                </c:pt>
                <c:pt idx="74">
                  <c:v>42230</c:v>
                </c:pt>
                <c:pt idx="75">
                  <c:v>42233</c:v>
                </c:pt>
                <c:pt idx="76">
                  <c:v>42234</c:v>
                </c:pt>
                <c:pt idx="77">
                  <c:v>42235</c:v>
                </c:pt>
                <c:pt idx="78">
                  <c:v>42236</c:v>
                </c:pt>
                <c:pt idx="79">
                  <c:v>42237</c:v>
                </c:pt>
                <c:pt idx="80">
                  <c:v>42240</c:v>
                </c:pt>
                <c:pt idx="81">
                  <c:v>42241</c:v>
                </c:pt>
                <c:pt idx="82">
                  <c:v>42242</c:v>
                </c:pt>
                <c:pt idx="83">
                  <c:v>42243</c:v>
                </c:pt>
                <c:pt idx="84">
                  <c:v>42244</c:v>
                </c:pt>
                <c:pt idx="85">
                  <c:v>42248</c:v>
                </c:pt>
                <c:pt idx="86">
                  <c:v>42249</c:v>
                </c:pt>
                <c:pt idx="87">
                  <c:v>42250</c:v>
                </c:pt>
                <c:pt idx="88">
                  <c:v>42251</c:v>
                </c:pt>
                <c:pt idx="89">
                  <c:v>42254</c:v>
                </c:pt>
                <c:pt idx="90">
                  <c:v>42255</c:v>
                </c:pt>
                <c:pt idx="91">
                  <c:v>42256</c:v>
                </c:pt>
                <c:pt idx="92">
                  <c:v>42257</c:v>
                </c:pt>
                <c:pt idx="93">
                  <c:v>42258</c:v>
                </c:pt>
                <c:pt idx="94">
                  <c:v>42261</c:v>
                </c:pt>
                <c:pt idx="95">
                  <c:v>42262</c:v>
                </c:pt>
                <c:pt idx="96">
                  <c:v>42263</c:v>
                </c:pt>
                <c:pt idx="97">
                  <c:v>42264</c:v>
                </c:pt>
                <c:pt idx="98">
                  <c:v>42265</c:v>
                </c:pt>
                <c:pt idx="99">
                  <c:v>42268</c:v>
                </c:pt>
                <c:pt idx="100">
                  <c:v>42269</c:v>
                </c:pt>
                <c:pt idx="101">
                  <c:v>42270</c:v>
                </c:pt>
                <c:pt idx="102">
                  <c:v>42271</c:v>
                </c:pt>
                <c:pt idx="103">
                  <c:v>42272</c:v>
                </c:pt>
                <c:pt idx="104">
                  <c:v>42275</c:v>
                </c:pt>
                <c:pt idx="105">
                  <c:v>42276</c:v>
                </c:pt>
                <c:pt idx="106">
                  <c:v>42277</c:v>
                </c:pt>
                <c:pt idx="107">
                  <c:v>42278</c:v>
                </c:pt>
                <c:pt idx="108">
                  <c:v>42279</c:v>
                </c:pt>
                <c:pt idx="109">
                  <c:v>42282</c:v>
                </c:pt>
                <c:pt idx="110">
                  <c:v>42283</c:v>
                </c:pt>
                <c:pt idx="111">
                  <c:v>42284</c:v>
                </c:pt>
                <c:pt idx="112">
                  <c:v>42285</c:v>
                </c:pt>
                <c:pt idx="113">
                  <c:v>42286</c:v>
                </c:pt>
                <c:pt idx="114">
                  <c:v>42289</c:v>
                </c:pt>
                <c:pt idx="115">
                  <c:v>42290</c:v>
                </c:pt>
                <c:pt idx="116">
                  <c:v>42291</c:v>
                </c:pt>
                <c:pt idx="117">
                  <c:v>42292</c:v>
                </c:pt>
                <c:pt idx="118">
                  <c:v>42293</c:v>
                </c:pt>
                <c:pt idx="119">
                  <c:v>42296</c:v>
                </c:pt>
                <c:pt idx="120">
                  <c:v>42297</c:v>
                </c:pt>
                <c:pt idx="121">
                  <c:v>42298</c:v>
                </c:pt>
                <c:pt idx="122">
                  <c:v>42299</c:v>
                </c:pt>
                <c:pt idx="123">
                  <c:v>42300</c:v>
                </c:pt>
                <c:pt idx="124">
                  <c:v>42303</c:v>
                </c:pt>
                <c:pt idx="125">
                  <c:v>42304</c:v>
                </c:pt>
                <c:pt idx="126">
                  <c:v>42305</c:v>
                </c:pt>
                <c:pt idx="127">
                  <c:v>42306</c:v>
                </c:pt>
                <c:pt idx="128">
                  <c:v>42307</c:v>
                </c:pt>
                <c:pt idx="129">
                  <c:v>42310</c:v>
                </c:pt>
                <c:pt idx="130">
                  <c:v>42311</c:v>
                </c:pt>
                <c:pt idx="131">
                  <c:v>42312</c:v>
                </c:pt>
                <c:pt idx="132">
                  <c:v>42313</c:v>
                </c:pt>
                <c:pt idx="133">
                  <c:v>42314</c:v>
                </c:pt>
                <c:pt idx="134">
                  <c:v>42317</c:v>
                </c:pt>
                <c:pt idx="135">
                  <c:v>42318</c:v>
                </c:pt>
                <c:pt idx="136">
                  <c:v>42319</c:v>
                </c:pt>
                <c:pt idx="137">
                  <c:v>42320</c:v>
                </c:pt>
                <c:pt idx="138">
                  <c:v>42321</c:v>
                </c:pt>
                <c:pt idx="139">
                  <c:v>42324</c:v>
                </c:pt>
                <c:pt idx="140">
                  <c:v>42325</c:v>
                </c:pt>
                <c:pt idx="141">
                  <c:v>42326</c:v>
                </c:pt>
                <c:pt idx="142">
                  <c:v>42327</c:v>
                </c:pt>
                <c:pt idx="143">
                  <c:v>42328</c:v>
                </c:pt>
                <c:pt idx="144">
                  <c:v>42331</c:v>
                </c:pt>
                <c:pt idx="145">
                  <c:v>42332</c:v>
                </c:pt>
                <c:pt idx="146">
                  <c:v>42333</c:v>
                </c:pt>
                <c:pt idx="147">
                  <c:v>42334</c:v>
                </c:pt>
                <c:pt idx="148">
                  <c:v>42335</c:v>
                </c:pt>
                <c:pt idx="149">
                  <c:v>42338</c:v>
                </c:pt>
                <c:pt idx="150">
                  <c:v>42339</c:v>
                </c:pt>
                <c:pt idx="151">
                  <c:v>42340</c:v>
                </c:pt>
                <c:pt idx="152">
                  <c:v>42341</c:v>
                </c:pt>
                <c:pt idx="153">
                  <c:v>42342</c:v>
                </c:pt>
                <c:pt idx="154">
                  <c:v>42345</c:v>
                </c:pt>
                <c:pt idx="155">
                  <c:v>42346</c:v>
                </c:pt>
                <c:pt idx="156">
                  <c:v>42347</c:v>
                </c:pt>
                <c:pt idx="157">
                  <c:v>42348</c:v>
                </c:pt>
                <c:pt idx="158">
                  <c:v>42349</c:v>
                </c:pt>
                <c:pt idx="159">
                  <c:v>42352</c:v>
                </c:pt>
                <c:pt idx="160">
                  <c:v>42353</c:v>
                </c:pt>
                <c:pt idx="161">
                  <c:v>42354</c:v>
                </c:pt>
                <c:pt idx="162">
                  <c:v>42355</c:v>
                </c:pt>
                <c:pt idx="163">
                  <c:v>42356</c:v>
                </c:pt>
                <c:pt idx="164">
                  <c:v>42359</c:v>
                </c:pt>
                <c:pt idx="165">
                  <c:v>42360</c:v>
                </c:pt>
                <c:pt idx="166">
                  <c:v>42361</c:v>
                </c:pt>
                <c:pt idx="167">
                  <c:v>42362</c:v>
                </c:pt>
                <c:pt idx="168">
                  <c:v>42367</c:v>
                </c:pt>
                <c:pt idx="169">
                  <c:v>42368</c:v>
                </c:pt>
                <c:pt idx="170">
                  <c:v>42369</c:v>
                </c:pt>
                <c:pt idx="171">
                  <c:v>42373</c:v>
                </c:pt>
                <c:pt idx="172">
                  <c:v>42374</c:v>
                </c:pt>
                <c:pt idx="173">
                  <c:v>42375</c:v>
                </c:pt>
                <c:pt idx="174">
                  <c:v>42376</c:v>
                </c:pt>
                <c:pt idx="175">
                  <c:v>42377</c:v>
                </c:pt>
                <c:pt idx="176">
                  <c:v>42380</c:v>
                </c:pt>
                <c:pt idx="177">
                  <c:v>42381</c:v>
                </c:pt>
                <c:pt idx="178">
                  <c:v>42382</c:v>
                </c:pt>
                <c:pt idx="179">
                  <c:v>42383</c:v>
                </c:pt>
                <c:pt idx="180">
                  <c:v>42384</c:v>
                </c:pt>
                <c:pt idx="181">
                  <c:v>42387</c:v>
                </c:pt>
                <c:pt idx="182">
                  <c:v>42388</c:v>
                </c:pt>
                <c:pt idx="183">
                  <c:v>42389</c:v>
                </c:pt>
                <c:pt idx="184">
                  <c:v>42390</c:v>
                </c:pt>
                <c:pt idx="185">
                  <c:v>42391</c:v>
                </c:pt>
                <c:pt idx="186">
                  <c:v>42394</c:v>
                </c:pt>
                <c:pt idx="187">
                  <c:v>42395</c:v>
                </c:pt>
                <c:pt idx="188">
                  <c:v>42396</c:v>
                </c:pt>
                <c:pt idx="189">
                  <c:v>42397</c:v>
                </c:pt>
                <c:pt idx="190">
                  <c:v>42398</c:v>
                </c:pt>
                <c:pt idx="191">
                  <c:v>42401</c:v>
                </c:pt>
                <c:pt idx="192">
                  <c:v>42402</c:v>
                </c:pt>
                <c:pt idx="193">
                  <c:v>42403</c:v>
                </c:pt>
                <c:pt idx="194">
                  <c:v>42404</c:v>
                </c:pt>
                <c:pt idx="195">
                  <c:v>42405</c:v>
                </c:pt>
                <c:pt idx="196">
                  <c:v>42408</c:v>
                </c:pt>
                <c:pt idx="197">
                  <c:v>42409</c:v>
                </c:pt>
                <c:pt idx="198">
                  <c:v>42410</c:v>
                </c:pt>
                <c:pt idx="199">
                  <c:v>42411</c:v>
                </c:pt>
                <c:pt idx="200">
                  <c:v>42412</c:v>
                </c:pt>
                <c:pt idx="201">
                  <c:v>42415</c:v>
                </c:pt>
                <c:pt idx="202">
                  <c:v>42416</c:v>
                </c:pt>
                <c:pt idx="203">
                  <c:v>42417</c:v>
                </c:pt>
                <c:pt idx="204">
                  <c:v>42418</c:v>
                </c:pt>
                <c:pt idx="205">
                  <c:v>42419</c:v>
                </c:pt>
                <c:pt idx="206">
                  <c:v>42422</c:v>
                </c:pt>
                <c:pt idx="207">
                  <c:v>42423</c:v>
                </c:pt>
                <c:pt idx="208">
                  <c:v>42424</c:v>
                </c:pt>
                <c:pt idx="209">
                  <c:v>42425</c:v>
                </c:pt>
                <c:pt idx="210">
                  <c:v>42426</c:v>
                </c:pt>
                <c:pt idx="211">
                  <c:v>42429</c:v>
                </c:pt>
                <c:pt idx="212">
                  <c:v>42430</c:v>
                </c:pt>
                <c:pt idx="213">
                  <c:v>42431</c:v>
                </c:pt>
                <c:pt idx="214">
                  <c:v>42432</c:v>
                </c:pt>
                <c:pt idx="215">
                  <c:v>42433</c:v>
                </c:pt>
                <c:pt idx="216">
                  <c:v>42436</c:v>
                </c:pt>
                <c:pt idx="217">
                  <c:v>42437</c:v>
                </c:pt>
                <c:pt idx="218">
                  <c:v>42438</c:v>
                </c:pt>
                <c:pt idx="219">
                  <c:v>42439</c:v>
                </c:pt>
                <c:pt idx="220">
                  <c:v>42440</c:v>
                </c:pt>
                <c:pt idx="221">
                  <c:v>42443</c:v>
                </c:pt>
                <c:pt idx="222">
                  <c:v>42444</c:v>
                </c:pt>
                <c:pt idx="223">
                  <c:v>42445</c:v>
                </c:pt>
                <c:pt idx="224">
                  <c:v>42446</c:v>
                </c:pt>
                <c:pt idx="225">
                  <c:v>42447</c:v>
                </c:pt>
                <c:pt idx="226">
                  <c:v>42450</c:v>
                </c:pt>
                <c:pt idx="227">
                  <c:v>42451</c:v>
                </c:pt>
                <c:pt idx="228">
                  <c:v>42452</c:v>
                </c:pt>
                <c:pt idx="229">
                  <c:v>42453</c:v>
                </c:pt>
                <c:pt idx="230">
                  <c:v>42458</c:v>
                </c:pt>
                <c:pt idx="231">
                  <c:v>42459</c:v>
                </c:pt>
                <c:pt idx="232">
                  <c:v>42460</c:v>
                </c:pt>
                <c:pt idx="233">
                  <c:v>42461</c:v>
                </c:pt>
                <c:pt idx="234">
                  <c:v>42464</c:v>
                </c:pt>
                <c:pt idx="235">
                  <c:v>42465</c:v>
                </c:pt>
                <c:pt idx="236">
                  <c:v>42466</c:v>
                </c:pt>
                <c:pt idx="237">
                  <c:v>42467</c:v>
                </c:pt>
                <c:pt idx="238">
                  <c:v>42468</c:v>
                </c:pt>
                <c:pt idx="239">
                  <c:v>42471</c:v>
                </c:pt>
                <c:pt idx="240">
                  <c:v>42472</c:v>
                </c:pt>
                <c:pt idx="241">
                  <c:v>42473</c:v>
                </c:pt>
                <c:pt idx="242">
                  <c:v>42474</c:v>
                </c:pt>
                <c:pt idx="243">
                  <c:v>42475</c:v>
                </c:pt>
                <c:pt idx="244">
                  <c:v>42478</c:v>
                </c:pt>
                <c:pt idx="245">
                  <c:v>42479</c:v>
                </c:pt>
                <c:pt idx="246">
                  <c:v>42480</c:v>
                </c:pt>
                <c:pt idx="247">
                  <c:v>42481</c:v>
                </c:pt>
                <c:pt idx="248">
                  <c:v>42482</c:v>
                </c:pt>
                <c:pt idx="249">
                  <c:v>42485</c:v>
                </c:pt>
                <c:pt idx="250">
                  <c:v>42486</c:v>
                </c:pt>
                <c:pt idx="251">
                  <c:v>42487</c:v>
                </c:pt>
                <c:pt idx="252">
                  <c:v>42488</c:v>
                </c:pt>
                <c:pt idx="253">
                  <c:v>42489</c:v>
                </c:pt>
                <c:pt idx="254">
                  <c:v>42493</c:v>
                </c:pt>
              </c:numCache>
            </c:numRef>
          </c:cat>
          <c:val>
            <c:numRef>
              <c:f>'1YSynthDepo'!$AD$3:$AD$257</c:f>
              <c:numCache>
                <c:formatCode>0.0000%</c:formatCode>
                <c:ptCount val="255"/>
                <c:pt idx="0">
                  <c:v>4.7015019493089755E-3</c:v>
                </c:pt>
                <c:pt idx="1">
                  <c:v>4.7015019493089755E-3</c:v>
                </c:pt>
                <c:pt idx="2">
                  <c:v>4.7015019493089755E-3</c:v>
                </c:pt>
                <c:pt idx="3">
                  <c:v>4.7015019493089755E-3</c:v>
                </c:pt>
                <c:pt idx="4">
                  <c:v>4.7015019493089755E-3</c:v>
                </c:pt>
                <c:pt idx="5">
                  <c:v>4.7015019493089755E-3</c:v>
                </c:pt>
                <c:pt idx="6">
                  <c:v>4.7015019493089755E-3</c:v>
                </c:pt>
                <c:pt idx="7">
                  <c:v>4.7015019493089755E-3</c:v>
                </c:pt>
                <c:pt idx="8">
                  <c:v>4.7015019493089755E-3</c:v>
                </c:pt>
                <c:pt idx="9">
                  <c:v>4.7015019493089755E-3</c:v>
                </c:pt>
                <c:pt idx="10">
                  <c:v>4.7015019493089755E-3</c:v>
                </c:pt>
                <c:pt idx="11">
                  <c:v>4.7015019493089755E-3</c:v>
                </c:pt>
                <c:pt idx="12">
                  <c:v>4.7015019493089755E-3</c:v>
                </c:pt>
                <c:pt idx="13">
                  <c:v>4.7015019493089755E-3</c:v>
                </c:pt>
                <c:pt idx="14">
                  <c:v>4.7015019493089755E-3</c:v>
                </c:pt>
                <c:pt idx="15">
                  <c:v>4.7015019493089755E-3</c:v>
                </c:pt>
                <c:pt idx="16">
                  <c:v>4.7015019493089755E-3</c:v>
                </c:pt>
                <c:pt idx="17">
                  <c:v>4.7015019493089755E-3</c:v>
                </c:pt>
                <c:pt idx="18">
                  <c:v>4.7015019493089755E-3</c:v>
                </c:pt>
                <c:pt idx="19">
                  <c:v>4.7015019493089755E-3</c:v>
                </c:pt>
                <c:pt idx="20">
                  <c:v>4.7015019493089755E-3</c:v>
                </c:pt>
                <c:pt idx="21">
                  <c:v>4.7015019493089755E-3</c:v>
                </c:pt>
                <c:pt idx="22">
                  <c:v>4.7015019493089755E-3</c:v>
                </c:pt>
                <c:pt idx="23">
                  <c:v>4.7015019493089755E-3</c:v>
                </c:pt>
                <c:pt idx="24">
                  <c:v>4.7015019493089755E-3</c:v>
                </c:pt>
                <c:pt idx="25">
                  <c:v>4.7015019493089755E-3</c:v>
                </c:pt>
                <c:pt idx="26">
                  <c:v>4.7015019493089755E-3</c:v>
                </c:pt>
                <c:pt idx="27">
                  <c:v>4.7015019493089755E-3</c:v>
                </c:pt>
                <c:pt idx="28">
                  <c:v>4.7015019493089755E-3</c:v>
                </c:pt>
                <c:pt idx="29">
                  <c:v>4.7015019493089755E-3</c:v>
                </c:pt>
                <c:pt idx="30">
                  <c:v>4.7015019493089755E-3</c:v>
                </c:pt>
                <c:pt idx="31">
                  <c:v>4.7015019493089755E-3</c:v>
                </c:pt>
                <c:pt idx="32">
                  <c:v>4.7015019493089755E-3</c:v>
                </c:pt>
                <c:pt idx="33">
                  <c:v>4.7015019493089755E-3</c:v>
                </c:pt>
                <c:pt idx="34">
                  <c:v>4.7015019493089755E-3</c:v>
                </c:pt>
                <c:pt idx="35">
                  <c:v>4.7015019493089755E-3</c:v>
                </c:pt>
                <c:pt idx="36">
                  <c:v>4.7015019493089755E-3</c:v>
                </c:pt>
                <c:pt idx="37">
                  <c:v>4.7015019493089755E-3</c:v>
                </c:pt>
                <c:pt idx="38">
                  <c:v>4.7015019493089755E-3</c:v>
                </c:pt>
                <c:pt idx="39">
                  <c:v>4.7015019493089755E-3</c:v>
                </c:pt>
                <c:pt idx="40">
                  <c:v>4.7015019493089755E-3</c:v>
                </c:pt>
                <c:pt idx="41">
                  <c:v>4.7015019493089755E-3</c:v>
                </c:pt>
                <c:pt idx="42">
                  <c:v>4.7015019493089755E-3</c:v>
                </c:pt>
                <c:pt idx="43">
                  <c:v>4.7015019493089755E-3</c:v>
                </c:pt>
                <c:pt idx="44">
                  <c:v>4.7015019493089755E-3</c:v>
                </c:pt>
                <c:pt idx="45">
                  <c:v>4.7015019493089755E-3</c:v>
                </c:pt>
                <c:pt idx="46">
                  <c:v>4.7015019493089755E-3</c:v>
                </c:pt>
                <c:pt idx="47">
                  <c:v>4.7015019493089755E-3</c:v>
                </c:pt>
                <c:pt idx="48">
                  <c:v>4.7015019493089755E-3</c:v>
                </c:pt>
                <c:pt idx="49">
                  <c:v>4.7015019493089755E-3</c:v>
                </c:pt>
                <c:pt idx="50">
                  <c:v>4.7015019493089755E-3</c:v>
                </c:pt>
                <c:pt idx="51">
                  <c:v>4.7015019493089755E-3</c:v>
                </c:pt>
                <c:pt idx="52">
                  <c:v>4.7015019493089755E-3</c:v>
                </c:pt>
                <c:pt idx="53">
                  <c:v>4.7015019493089755E-3</c:v>
                </c:pt>
                <c:pt idx="54">
                  <c:v>4.7015019493089755E-3</c:v>
                </c:pt>
                <c:pt idx="55">
                  <c:v>4.7015019493089755E-3</c:v>
                </c:pt>
                <c:pt idx="56">
                  <c:v>4.7015019493089755E-3</c:v>
                </c:pt>
                <c:pt idx="57">
                  <c:v>4.7015019493089755E-3</c:v>
                </c:pt>
                <c:pt idx="58">
                  <c:v>4.7015019493089755E-3</c:v>
                </c:pt>
                <c:pt idx="59">
                  <c:v>4.7015019493089755E-3</c:v>
                </c:pt>
                <c:pt idx="60">
                  <c:v>4.7015019493089755E-3</c:v>
                </c:pt>
                <c:pt idx="61">
                  <c:v>4.7015019493089755E-3</c:v>
                </c:pt>
                <c:pt idx="62">
                  <c:v>4.7015019493089755E-3</c:v>
                </c:pt>
                <c:pt idx="63">
                  <c:v>4.7015019493089755E-3</c:v>
                </c:pt>
                <c:pt idx="64">
                  <c:v>4.7015019493089755E-3</c:v>
                </c:pt>
                <c:pt idx="65">
                  <c:v>4.7015019493089755E-3</c:v>
                </c:pt>
                <c:pt idx="66">
                  <c:v>4.7015019493089755E-3</c:v>
                </c:pt>
                <c:pt idx="67">
                  <c:v>4.7015019493089755E-3</c:v>
                </c:pt>
                <c:pt idx="68">
                  <c:v>4.7015019493089755E-3</c:v>
                </c:pt>
                <c:pt idx="69">
                  <c:v>4.7015019493089755E-3</c:v>
                </c:pt>
                <c:pt idx="70">
                  <c:v>4.7015019493089755E-3</c:v>
                </c:pt>
                <c:pt idx="71">
                  <c:v>4.7015019493089755E-3</c:v>
                </c:pt>
                <c:pt idx="72">
                  <c:v>4.7015019493089755E-3</c:v>
                </c:pt>
                <c:pt idx="73">
                  <c:v>4.7015019493089755E-3</c:v>
                </c:pt>
                <c:pt idx="74">
                  <c:v>4.7015019493089755E-3</c:v>
                </c:pt>
                <c:pt idx="75">
                  <c:v>4.7015019493089755E-3</c:v>
                </c:pt>
                <c:pt idx="76">
                  <c:v>4.7015019493089755E-3</c:v>
                </c:pt>
                <c:pt idx="77">
                  <c:v>4.7015019493089755E-3</c:v>
                </c:pt>
                <c:pt idx="78">
                  <c:v>4.7015019493089755E-3</c:v>
                </c:pt>
                <c:pt idx="79">
                  <c:v>4.7015019493089755E-3</c:v>
                </c:pt>
                <c:pt idx="80">
                  <c:v>4.7015019493089755E-3</c:v>
                </c:pt>
                <c:pt idx="81">
                  <c:v>4.7015019493089755E-3</c:v>
                </c:pt>
                <c:pt idx="82">
                  <c:v>4.7015019493089755E-3</c:v>
                </c:pt>
                <c:pt idx="83">
                  <c:v>4.7015019493089755E-3</c:v>
                </c:pt>
                <c:pt idx="84">
                  <c:v>4.7015019493089755E-3</c:v>
                </c:pt>
                <c:pt idx="85">
                  <c:v>4.7015019493089755E-3</c:v>
                </c:pt>
                <c:pt idx="86">
                  <c:v>4.7015019493089755E-3</c:v>
                </c:pt>
                <c:pt idx="87">
                  <c:v>4.7015019493089755E-3</c:v>
                </c:pt>
                <c:pt idx="88">
                  <c:v>4.7015019493089755E-3</c:v>
                </c:pt>
                <c:pt idx="89">
                  <c:v>4.7015019493089755E-3</c:v>
                </c:pt>
                <c:pt idx="90">
                  <c:v>4.7015019493089755E-3</c:v>
                </c:pt>
                <c:pt idx="91">
                  <c:v>4.7015019493089755E-3</c:v>
                </c:pt>
                <c:pt idx="92">
                  <c:v>4.7015019493089755E-3</c:v>
                </c:pt>
                <c:pt idx="93">
                  <c:v>4.7015019493089755E-3</c:v>
                </c:pt>
                <c:pt idx="94">
                  <c:v>4.7015019493089755E-3</c:v>
                </c:pt>
                <c:pt idx="95">
                  <c:v>4.7015019493089755E-3</c:v>
                </c:pt>
                <c:pt idx="96">
                  <c:v>4.7015019493089755E-3</c:v>
                </c:pt>
                <c:pt idx="97">
                  <c:v>4.7015019493089755E-3</c:v>
                </c:pt>
                <c:pt idx="98">
                  <c:v>4.7015019493089755E-3</c:v>
                </c:pt>
                <c:pt idx="99">
                  <c:v>4.7015019493089755E-3</c:v>
                </c:pt>
                <c:pt idx="100">
                  <c:v>4.7015019493089755E-3</c:v>
                </c:pt>
                <c:pt idx="101">
                  <c:v>4.7015019493089755E-3</c:v>
                </c:pt>
                <c:pt idx="102">
                  <c:v>4.7015019493089755E-3</c:v>
                </c:pt>
                <c:pt idx="103">
                  <c:v>4.7015019493089755E-3</c:v>
                </c:pt>
                <c:pt idx="104">
                  <c:v>4.7015019493089755E-3</c:v>
                </c:pt>
                <c:pt idx="105">
                  <c:v>4.7015019493089755E-3</c:v>
                </c:pt>
                <c:pt idx="106">
                  <c:v>4.7015019493089755E-3</c:v>
                </c:pt>
                <c:pt idx="107">
                  <c:v>4.7015019493089755E-3</c:v>
                </c:pt>
                <c:pt idx="108">
                  <c:v>4.7015019493089755E-3</c:v>
                </c:pt>
                <c:pt idx="109">
                  <c:v>4.7015019493089755E-3</c:v>
                </c:pt>
                <c:pt idx="110">
                  <c:v>4.7015019493089755E-3</c:v>
                </c:pt>
                <c:pt idx="111">
                  <c:v>4.7015019493089755E-3</c:v>
                </c:pt>
                <c:pt idx="112">
                  <c:v>4.7015019493089755E-3</c:v>
                </c:pt>
                <c:pt idx="113">
                  <c:v>4.7015019493089755E-3</c:v>
                </c:pt>
                <c:pt idx="114">
                  <c:v>4.7015019493089755E-3</c:v>
                </c:pt>
                <c:pt idx="115">
                  <c:v>4.7015019493089755E-3</c:v>
                </c:pt>
                <c:pt idx="116">
                  <c:v>4.7015019493089755E-3</c:v>
                </c:pt>
                <c:pt idx="117">
                  <c:v>4.7015019493089755E-3</c:v>
                </c:pt>
                <c:pt idx="118">
                  <c:v>4.7015019493089755E-3</c:v>
                </c:pt>
                <c:pt idx="119">
                  <c:v>4.7015019493089755E-3</c:v>
                </c:pt>
                <c:pt idx="120">
                  <c:v>4.7015019493089755E-3</c:v>
                </c:pt>
                <c:pt idx="121">
                  <c:v>4.7015019493089755E-3</c:v>
                </c:pt>
                <c:pt idx="122">
                  <c:v>4.7015019493089755E-3</c:v>
                </c:pt>
                <c:pt idx="123">
                  <c:v>4.7015019493089755E-3</c:v>
                </c:pt>
                <c:pt idx="124">
                  <c:v>4.7015019493089755E-3</c:v>
                </c:pt>
                <c:pt idx="125">
                  <c:v>4.7015019493089755E-3</c:v>
                </c:pt>
                <c:pt idx="126">
                  <c:v>4.7015019493089755E-3</c:v>
                </c:pt>
                <c:pt idx="127">
                  <c:v>4.7015019493089755E-3</c:v>
                </c:pt>
                <c:pt idx="128">
                  <c:v>4.7015019493089755E-3</c:v>
                </c:pt>
                <c:pt idx="129">
                  <c:v>4.7015019493089755E-3</c:v>
                </c:pt>
                <c:pt idx="130">
                  <c:v>4.7015019493089755E-3</c:v>
                </c:pt>
                <c:pt idx="131">
                  <c:v>4.7015019493089755E-3</c:v>
                </c:pt>
                <c:pt idx="132">
                  <c:v>4.7015019493089755E-3</c:v>
                </c:pt>
                <c:pt idx="133">
                  <c:v>4.7015019493089755E-3</c:v>
                </c:pt>
                <c:pt idx="134">
                  <c:v>4.7015019493089755E-3</c:v>
                </c:pt>
                <c:pt idx="135">
                  <c:v>4.7015019493089755E-3</c:v>
                </c:pt>
                <c:pt idx="136">
                  <c:v>4.7015019493089755E-3</c:v>
                </c:pt>
                <c:pt idx="137">
                  <c:v>4.7015019493089755E-3</c:v>
                </c:pt>
                <c:pt idx="138">
                  <c:v>4.7015019493089755E-3</c:v>
                </c:pt>
                <c:pt idx="139">
                  <c:v>4.7015019493089755E-3</c:v>
                </c:pt>
                <c:pt idx="140">
                  <c:v>4.7015019493089755E-3</c:v>
                </c:pt>
                <c:pt idx="141">
                  <c:v>4.7015019493089755E-3</c:v>
                </c:pt>
                <c:pt idx="142">
                  <c:v>4.7015019493089755E-3</c:v>
                </c:pt>
                <c:pt idx="143">
                  <c:v>4.7015019493089755E-3</c:v>
                </c:pt>
                <c:pt idx="144">
                  <c:v>4.7015019493089755E-3</c:v>
                </c:pt>
                <c:pt idx="145">
                  <c:v>4.7015019493089755E-3</c:v>
                </c:pt>
                <c:pt idx="146">
                  <c:v>4.7015019493089755E-3</c:v>
                </c:pt>
                <c:pt idx="147">
                  <c:v>4.7015019493089755E-3</c:v>
                </c:pt>
                <c:pt idx="148">
                  <c:v>4.7015019493089755E-3</c:v>
                </c:pt>
                <c:pt idx="149">
                  <c:v>4.7015019493089755E-3</c:v>
                </c:pt>
                <c:pt idx="150">
                  <c:v>4.7015019493089755E-3</c:v>
                </c:pt>
                <c:pt idx="151">
                  <c:v>4.7015019493089755E-3</c:v>
                </c:pt>
                <c:pt idx="152">
                  <c:v>4.7015019493089755E-3</c:v>
                </c:pt>
                <c:pt idx="153">
                  <c:v>4.7015019493089755E-3</c:v>
                </c:pt>
                <c:pt idx="154">
                  <c:v>4.7015019493089755E-3</c:v>
                </c:pt>
                <c:pt idx="155">
                  <c:v>4.7015019493089755E-3</c:v>
                </c:pt>
                <c:pt idx="156">
                  <c:v>4.7015019493089755E-3</c:v>
                </c:pt>
                <c:pt idx="157">
                  <c:v>4.7015019493089755E-3</c:v>
                </c:pt>
                <c:pt idx="158">
                  <c:v>4.7015019493089755E-3</c:v>
                </c:pt>
                <c:pt idx="159">
                  <c:v>4.7015019493089755E-3</c:v>
                </c:pt>
                <c:pt idx="160">
                  <c:v>4.7015019493089755E-3</c:v>
                </c:pt>
                <c:pt idx="161">
                  <c:v>4.7015019493089755E-3</c:v>
                </c:pt>
                <c:pt idx="162">
                  <c:v>4.7015019493089755E-3</c:v>
                </c:pt>
                <c:pt idx="163">
                  <c:v>4.7015019493089755E-3</c:v>
                </c:pt>
                <c:pt idx="164">
                  <c:v>4.7015019493089755E-3</c:v>
                </c:pt>
                <c:pt idx="165">
                  <c:v>4.7015019493089755E-3</c:v>
                </c:pt>
                <c:pt idx="166">
                  <c:v>4.7015019493089755E-3</c:v>
                </c:pt>
                <c:pt idx="167">
                  <c:v>4.7015019493089755E-3</c:v>
                </c:pt>
                <c:pt idx="168">
                  <c:v>4.7015019493089755E-3</c:v>
                </c:pt>
                <c:pt idx="169">
                  <c:v>4.7015019493089755E-3</c:v>
                </c:pt>
                <c:pt idx="170">
                  <c:v>4.7015019493089755E-3</c:v>
                </c:pt>
                <c:pt idx="171">
                  <c:v>4.7015019493089755E-3</c:v>
                </c:pt>
                <c:pt idx="172">
                  <c:v>4.7015019493089755E-3</c:v>
                </c:pt>
                <c:pt idx="173">
                  <c:v>4.7015019493089755E-3</c:v>
                </c:pt>
                <c:pt idx="174">
                  <c:v>4.7015019493089755E-3</c:v>
                </c:pt>
                <c:pt idx="175">
                  <c:v>4.7015019493089755E-3</c:v>
                </c:pt>
                <c:pt idx="176">
                  <c:v>4.7015019493089755E-3</c:v>
                </c:pt>
                <c:pt idx="177">
                  <c:v>4.7015019493089755E-3</c:v>
                </c:pt>
                <c:pt idx="178">
                  <c:v>4.7015019493089755E-3</c:v>
                </c:pt>
                <c:pt idx="179">
                  <c:v>4.7015019493089755E-3</c:v>
                </c:pt>
                <c:pt idx="180">
                  <c:v>4.7015019493089755E-3</c:v>
                </c:pt>
                <c:pt idx="181">
                  <c:v>4.7015019493089755E-3</c:v>
                </c:pt>
                <c:pt idx="182">
                  <c:v>4.7015019493089755E-3</c:v>
                </c:pt>
                <c:pt idx="183">
                  <c:v>4.7015019493089755E-3</c:v>
                </c:pt>
                <c:pt idx="184">
                  <c:v>4.7015019493089755E-3</c:v>
                </c:pt>
                <c:pt idx="185">
                  <c:v>4.7015019493089755E-3</c:v>
                </c:pt>
                <c:pt idx="186">
                  <c:v>4.7015019493089755E-3</c:v>
                </c:pt>
                <c:pt idx="187">
                  <c:v>4.7015019493089755E-3</c:v>
                </c:pt>
                <c:pt idx="188">
                  <c:v>4.7015019493089755E-3</c:v>
                </c:pt>
                <c:pt idx="189">
                  <c:v>4.7015019493089755E-3</c:v>
                </c:pt>
                <c:pt idx="190">
                  <c:v>4.7015019493089755E-3</c:v>
                </c:pt>
                <c:pt idx="191">
                  <c:v>4.7015019493089755E-3</c:v>
                </c:pt>
                <c:pt idx="192">
                  <c:v>4.7015019493089755E-3</c:v>
                </c:pt>
                <c:pt idx="193">
                  <c:v>4.7015019493089755E-3</c:v>
                </c:pt>
                <c:pt idx="194">
                  <c:v>4.7015019493089755E-3</c:v>
                </c:pt>
                <c:pt idx="195">
                  <c:v>4.7015019493089755E-3</c:v>
                </c:pt>
                <c:pt idx="196">
                  <c:v>4.7015019493089755E-3</c:v>
                </c:pt>
                <c:pt idx="197">
                  <c:v>4.7015019493089755E-3</c:v>
                </c:pt>
                <c:pt idx="198">
                  <c:v>4.7015019493089755E-3</c:v>
                </c:pt>
                <c:pt idx="199">
                  <c:v>4.7015019493089755E-3</c:v>
                </c:pt>
                <c:pt idx="200">
                  <c:v>4.7015019493089755E-3</c:v>
                </c:pt>
                <c:pt idx="201">
                  <c:v>4.7015019493089755E-3</c:v>
                </c:pt>
                <c:pt idx="202">
                  <c:v>4.7015019493089755E-3</c:v>
                </c:pt>
                <c:pt idx="203">
                  <c:v>4.7015019493089755E-3</c:v>
                </c:pt>
                <c:pt idx="204">
                  <c:v>4.7015019493089755E-3</c:v>
                </c:pt>
                <c:pt idx="205">
                  <c:v>4.7015019493089755E-3</c:v>
                </c:pt>
                <c:pt idx="206">
                  <c:v>4.7015019493089755E-3</c:v>
                </c:pt>
                <c:pt idx="207">
                  <c:v>4.7015019493089755E-3</c:v>
                </c:pt>
                <c:pt idx="208">
                  <c:v>4.7015019493089755E-3</c:v>
                </c:pt>
                <c:pt idx="209">
                  <c:v>4.7015019493089755E-3</c:v>
                </c:pt>
                <c:pt idx="210">
                  <c:v>4.7015019493089755E-3</c:v>
                </c:pt>
                <c:pt idx="211">
                  <c:v>4.7015019493089755E-3</c:v>
                </c:pt>
                <c:pt idx="212">
                  <c:v>4.7015019493089755E-3</c:v>
                </c:pt>
                <c:pt idx="213">
                  <c:v>4.7015019493089755E-3</c:v>
                </c:pt>
                <c:pt idx="214">
                  <c:v>4.7015019493089755E-3</c:v>
                </c:pt>
                <c:pt idx="215">
                  <c:v>4.7015019493089755E-3</c:v>
                </c:pt>
                <c:pt idx="216">
                  <c:v>4.7015019493089755E-3</c:v>
                </c:pt>
                <c:pt idx="217">
                  <c:v>4.7015019493089755E-3</c:v>
                </c:pt>
                <c:pt idx="218">
                  <c:v>4.7015019493089755E-3</c:v>
                </c:pt>
                <c:pt idx="219">
                  <c:v>4.7015019493089755E-3</c:v>
                </c:pt>
                <c:pt idx="220">
                  <c:v>4.7015019493089755E-3</c:v>
                </c:pt>
                <c:pt idx="221">
                  <c:v>4.7015019493089755E-3</c:v>
                </c:pt>
                <c:pt idx="222">
                  <c:v>4.7015019493089755E-3</c:v>
                </c:pt>
                <c:pt idx="223">
                  <c:v>4.7015019493089755E-3</c:v>
                </c:pt>
                <c:pt idx="224">
                  <c:v>4.7015019493089755E-3</c:v>
                </c:pt>
                <c:pt idx="225">
                  <c:v>4.7015019493089755E-3</c:v>
                </c:pt>
                <c:pt idx="226">
                  <c:v>4.7015019493089755E-3</c:v>
                </c:pt>
                <c:pt idx="227">
                  <c:v>4.7015019493089755E-3</c:v>
                </c:pt>
                <c:pt idx="228">
                  <c:v>4.7015019493089755E-3</c:v>
                </c:pt>
                <c:pt idx="229">
                  <c:v>4.7015019493089755E-3</c:v>
                </c:pt>
                <c:pt idx="230">
                  <c:v>4.7015019493089755E-3</c:v>
                </c:pt>
                <c:pt idx="231">
                  <c:v>4.7015019493089755E-3</c:v>
                </c:pt>
                <c:pt idx="232">
                  <c:v>4.7015019493089755E-3</c:v>
                </c:pt>
                <c:pt idx="233">
                  <c:v>4.7015019493089755E-3</c:v>
                </c:pt>
                <c:pt idx="234">
                  <c:v>4.7015019493089755E-3</c:v>
                </c:pt>
                <c:pt idx="235">
                  <c:v>4.7015019493089755E-3</c:v>
                </c:pt>
                <c:pt idx="236">
                  <c:v>4.7015019493089755E-3</c:v>
                </c:pt>
                <c:pt idx="237">
                  <c:v>4.7015019493089755E-3</c:v>
                </c:pt>
                <c:pt idx="238">
                  <c:v>4.7015019493089755E-3</c:v>
                </c:pt>
                <c:pt idx="239">
                  <c:v>4.7015019493089755E-3</c:v>
                </c:pt>
                <c:pt idx="240">
                  <c:v>4.7015019493089755E-3</c:v>
                </c:pt>
                <c:pt idx="241">
                  <c:v>4.7015019493089755E-3</c:v>
                </c:pt>
                <c:pt idx="242">
                  <c:v>4.7015019493089755E-3</c:v>
                </c:pt>
                <c:pt idx="243">
                  <c:v>4.7015019493089755E-3</c:v>
                </c:pt>
                <c:pt idx="244">
                  <c:v>4.7015019493089755E-3</c:v>
                </c:pt>
                <c:pt idx="245">
                  <c:v>4.7015019493089755E-3</c:v>
                </c:pt>
                <c:pt idx="246">
                  <c:v>4.7015019493089755E-3</c:v>
                </c:pt>
                <c:pt idx="247">
                  <c:v>4.7015019493089755E-3</c:v>
                </c:pt>
                <c:pt idx="248">
                  <c:v>4.7015019493089755E-3</c:v>
                </c:pt>
                <c:pt idx="249">
                  <c:v>4.7015019493089755E-3</c:v>
                </c:pt>
                <c:pt idx="250">
                  <c:v>4.7015019493089755E-3</c:v>
                </c:pt>
                <c:pt idx="251">
                  <c:v>4.7015019493089755E-3</c:v>
                </c:pt>
                <c:pt idx="252">
                  <c:v>4.7015019493089755E-3</c:v>
                </c:pt>
                <c:pt idx="253">
                  <c:v>4.7015019493089755E-3</c:v>
                </c:pt>
                <c:pt idx="254">
                  <c:v>4.7015019493089755E-3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'1YSynthDepo'!$AB$3:$AB$257</c:f>
              <c:numCache>
                <c:formatCode>ddd\,\ dd\-mmm\-yyyy</c:formatCode>
                <c:ptCount val="255"/>
                <c:pt idx="0">
                  <c:v>42124</c:v>
                </c:pt>
                <c:pt idx="1">
                  <c:v>42125</c:v>
                </c:pt>
                <c:pt idx="2">
                  <c:v>42129</c:v>
                </c:pt>
                <c:pt idx="3">
                  <c:v>42130</c:v>
                </c:pt>
                <c:pt idx="4">
                  <c:v>42131</c:v>
                </c:pt>
                <c:pt idx="5">
                  <c:v>42132</c:v>
                </c:pt>
                <c:pt idx="6">
                  <c:v>42135</c:v>
                </c:pt>
                <c:pt idx="7">
                  <c:v>42136</c:v>
                </c:pt>
                <c:pt idx="8">
                  <c:v>42137</c:v>
                </c:pt>
                <c:pt idx="9">
                  <c:v>42138</c:v>
                </c:pt>
                <c:pt idx="10">
                  <c:v>42139</c:v>
                </c:pt>
                <c:pt idx="11">
                  <c:v>42142</c:v>
                </c:pt>
                <c:pt idx="12">
                  <c:v>42143</c:v>
                </c:pt>
                <c:pt idx="13">
                  <c:v>42144</c:v>
                </c:pt>
                <c:pt idx="14">
                  <c:v>42145</c:v>
                </c:pt>
                <c:pt idx="15">
                  <c:v>42146</c:v>
                </c:pt>
                <c:pt idx="16">
                  <c:v>42150</c:v>
                </c:pt>
                <c:pt idx="17">
                  <c:v>42151</c:v>
                </c:pt>
                <c:pt idx="18">
                  <c:v>42152</c:v>
                </c:pt>
                <c:pt idx="19">
                  <c:v>42153</c:v>
                </c:pt>
                <c:pt idx="20">
                  <c:v>42156</c:v>
                </c:pt>
                <c:pt idx="21">
                  <c:v>42157</c:v>
                </c:pt>
                <c:pt idx="22">
                  <c:v>42158</c:v>
                </c:pt>
                <c:pt idx="23">
                  <c:v>42159</c:v>
                </c:pt>
                <c:pt idx="24">
                  <c:v>42160</c:v>
                </c:pt>
                <c:pt idx="25">
                  <c:v>42163</c:v>
                </c:pt>
                <c:pt idx="26">
                  <c:v>42164</c:v>
                </c:pt>
                <c:pt idx="27">
                  <c:v>42165</c:v>
                </c:pt>
                <c:pt idx="28">
                  <c:v>42166</c:v>
                </c:pt>
                <c:pt idx="29">
                  <c:v>42167</c:v>
                </c:pt>
                <c:pt idx="30">
                  <c:v>42170</c:v>
                </c:pt>
                <c:pt idx="31">
                  <c:v>42171</c:v>
                </c:pt>
                <c:pt idx="32">
                  <c:v>42172</c:v>
                </c:pt>
                <c:pt idx="33">
                  <c:v>42173</c:v>
                </c:pt>
                <c:pt idx="34">
                  <c:v>42174</c:v>
                </c:pt>
                <c:pt idx="35">
                  <c:v>42177</c:v>
                </c:pt>
                <c:pt idx="36">
                  <c:v>42178</c:v>
                </c:pt>
                <c:pt idx="37">
                  <c:v>42179</c:v>
                </c:pt>
                <c:pt idx="38">
                  <c:v>42180</c:v>
                </c:pt>
                <c:pt idx="39">
                  <c:v>42181</c:v>
                </c:pt>
                <c:pt idx="40">
                  <c:v>42184</c:v>
                </c:pt>
                <c:pt idx="41">
                  <c:v>42185</c:v>
                </c:pt>
                <c:pt idx="42">
                  <c:v>42186</c:v>
                </c:pt>
                <c:pt idx="43">
                  <c:v>42187</c:v>
                </c:pt>
                <c:pt idx="44">
                  <c:v>42188</c:v>
                </c:pt>
                <c:pt idx="45">
                  <c:v>42191</c:v>
                </c:pt>
                <c:pt idx="46">
                  <c:v>42192</c:v>
                </c:pt>
                <c:pt idx="47">
                  <c:v>42193</c:v>
                </c:pt>
                <c:pt idx="48">
                  <c:v>42194</c:v>
                </c:pt>
                <c:pt idx="49">
                  <c:v>42195</c:v>
                </c:pt>
                <c:pt idx="50">
                  <c:v>42198</c:v>
                </c:pt>
                <c:pt idx="51">
                  <c:v>42199</c:v>
                </c:pt>
                <c:pt idx="52">
                  <c:v>42200</c:v>
                </c:pt>
                <c:pt idx="53">
                  <c:v>42201</c:v>
                </c:pt>
                <c:pt idx="54">
                  <c:v>42202</c:v>
                </c:pt>
                <c:pt idx="55">
                  <c:v>42205</c:v>
                </c:pt>
                <c:pt idx="56">
                  <c:v>42206</c:v>
                </c:pt>
                <c:pt idx="57">
                  <c:v>42207</c:v>
                </c:pt>
                <c:pt idx="58">
                  <c:v>42208</c:v>
                </c:pt>
                <c:pt idx="59">
                  <c:v>42209</c:v>
                </c:pt>
                <c:pt idx="60">
                  <c:v>42212</c:v>
                </c:pt>
                <c:pt idx="61">
                  <c:v>42213</c:v>
                </c:pt>
                <c:pt idx="62">
                  <c:v>42214</c:v>
                </c:pt>
                <c:pt idx="63">
                  <c:v>42215</c:v>
                </c:pt>
                <c:pt idx="64">
                  <c:v>42216</c:v>
                </c:pt>
                <c:pt idx="65">
                  <c:v>42219</c:v>
                </c:pt>
                <c:pt idx="66">
                  <c:v>42220</c:v>
                </c:pt>
                <c:pt idx="67">
                  <c:v>42221</c:v>
                </c:pt>
                <c:pt idx="68">
                  <c:v>42222</c:v>
                </c:pt>
                <c:pt idx="69">
                  <c:v>42223</c:v>
                </c:pt>
                <c:pt idx="70">
                  <c:v>42226</c:v>
                </c:pt>
                <c:pt idx="71">
                  <c:v>42227</c:v>
                </c:pt>
                <c:pt idx="72">
                  <c:v>42228</c:v>
                </c:pt>
                <c:pt idx="73">
                  <c:v>42229</c:v>
                </c:pt>
                <c:pt idx="74">
                  <c:v>42230</c:v>
                </c:pt>
                <c:pt idx="75">
                  <c:v>42233</c:v>
                </c:pt>
                <c:pt idx="76">
                  <c:v>42234</c:v>
                </c:pt>
                <c:pt idx="77">
                  <c:v>42235</c:v>
                </c:pt>
                <c:pt idx="78">
                  <c:v>42236</c:v>
                </c:pt>
                <c:pt idx="79">
                  <c:v>42237</c:v>
                </c:pt>
                <c:pt idx="80">
                  <c:v>42240</c:v>
                </c:pt>
                <c:pt idx="81">
                  <c:v>42241</c:v>
                </c:pt>
                <c:pt idx="82">
                  <c:v>42242</c:v>
                </c:pt>
                <c:pt idx="83">
                  <c:v>42243</c:v>
                </c:pt>
                <c:pt idx="84">
                  <c:v>42244</c:v>
                </c:pt>
                <c:pt idx="85">
                  <c:v>42248</c:v>
                </c:pt>
                <c:pt idx="86">
                  <c:v>42249</c:v>
                </c:pt>
                <c:pt idx="87">
                  <c:v>42250</c:v>
                </c:pt>
                <c:pt idx="88">
                  <c:v>42251</c:v>
                </c:pt>
                <c:pt idx="89">
                  <c:v>42254</c:v>
                </c:pt>
                <c:pt idx="90">
                  <c:v>42255</c:v>
                </c:pt>
                <c:pt idx="91">
                  <c:v>42256</c:v>
                </c:pt>
                <c:pt idx="92">
                  <c:v>42257</c:v>
                </c:pt>
                <c:pt idx="93">
                  <c:v>42258</c:v>
                </c:pt>
                <c:pt idx="94">
                  <c:v>42261</c:v>
                </c:pt>
                <c:pt idx="95">
                  <c:v>42262</c:v>
                </c:pt>
                <c:pt idx="96">
                  <c:v>42263</c:v>
                </c:pt>
                <c:pt idx="97">
                  <c:v>42264</c:v>
                </c:pt>
                <c:pt idx="98">
                  <c:v>42265</c:v>
                </c:pt>
                <c:pt idx="99">
                  <c:v>42268</c:v>
                </c:pt>
                <c:pt idx="100">
                  <c:v>42269</c:v>
                </c:pt>
                <c:pt idx="101">
                  <c:v>42270</c:v>
                </c:pt>
                <c:pt idx="102">
                  <c:v>42271</c:v>
                </c:pt>
                <c:pt idx="103">
                  <c:v>42272</c:v>
                </c:pt>
                <c:pt idx="104">
                  <c:v>42275</c:v>
                </c:pt>
                <c:pt idx="105">
                  <c:v>42276</c:v>
                </c:pt>
                <c:pt idx="106">
                  <c:v>42277</c:v>
                </c:pt>
                <c:pt idx="107">
                  <c:v>42278</c:v>
                </c:pt>
                <c:pt idx="108">
                  <c:v>42279</c:v>
                </c:pt>
                <c:pt idx="109">
                  <c:v>42282</c:v>
                </c:pt>
                <c:pt idx="110">
                  <c:v>42283</c:v>
                </c:pt>
                <c:pt idx="111">
                  <c:v>42284</c:v>
                </c:pt>
                <c:pt idx="112">
                  <c:v>42285</c:v>
                </c:pt>
                <c:pt idx="113">
                  <c:v>42286</c:v>
                </c:pt>
                <c:pt idx="114">
                  <c:v>42289</c:v>
                </c:pt>
                <c:pt idx="115">
                  <c:v>42290</c:v>
                </c:pt>
                <c:pt idx="116">
                  <c:v>42291</c:v>
                </c:pt>
                <c:pt idx="117">
                  <c:v>42292</c:v>
                </c:pt>
                <c:pt idx="118">
                  <c:v>42293</c:v>
                </c:pt>
                <c:pt idx="119">
                  <c:v>42296</c:v>
                </c:pt>
                <c:pt idx="120">
                  <c:v>42297</c:v>
                </c:pt>
                <c:pt idx="121">
                  <c:v>42298</c:v>
                </c:pt>
                <c:pt idx="122">
                  <c:v>42299</c:v>
                </c:pt>
                <c:pt idx="123">
                  <c:v>42300</c:v>
                </c:pt>
                <c:pt idx="124">
                  <c:v>42303</c:v>
                </c:pt>
                <c:pt idx="125">
                  <c:v>42304</c:v>
                </c:pt>
                <c:pt idx="126">
                  <c:v>42305</c:v>
                </c:pt>
                <c:pt idx="127">
                  <c:v>42306</c:v>
                </c:pt>
                <c:pt idx="128">
                  <c:v>42307</c:v>
                </c:pt>
                <c:pt idx="129">
                  <c:v>42310</c:v>
                </c:pt>
                <c:pt idx="130">
                  <c:v>42311</c:v>
                </c:pt>
                <c:pt idx="131">
                  <c:v>42312</c:v>
                </c:pt>
                <c:pt idx="132">
                  <c:v>42313</c:v>
                </c:pt>
                <c:pt idx="133">
                  <c:v>42314</c:v>
                </c:pt>
                <c:pt idx="134">
                  <c:v>42317</c:v>
                </c:pt>
                <c:pt idx="135">
                  <c:v>42318</c:v>
                </c:pt>
                <c:pt idx="136">
                  <c:v>42319</c:v>
                </c:pt>
                <c:pt idx="137">
                  <c:v>42320</c:v>
                </c:pt>
                <c:pt idx="138">
                  <c:v>42321</c:v>
                </c:pt>
                <c:pt idx="139">
                  <c:v>42324</c:v>
                </c:pt>
                <c:pt idx="140">
                  <c:v>42325</c:v>
                </c:pt>
                <c:pt idx="141">
                  <c:v>42326</c:v>
                </c:pt>
                <c:pt idx="142">
                  <c:v>42327</c:v>
                </c:pt>
                <c:pt idx="143">
                  <c:v>42328</c:v>
                </c:pt>
                <c:pt idx="144">
                  <c:v>42331</c:v>
                </c:pt>
                <c:pt idx="145">
                  <c:v>42332</c:v>
                </c:pt>
                <c:pt idx="146">
                  <c:v>42333</c:v>
                </c:pt>
                <c:pt idx="147">
                  <c:v>42334</c:v>
                </c:pt>
                <c:pt idx="148">
                  <c:v>42335</c:v>
                </c:pt>
                <c:pt idx="149">
                  <c:v>42338</c:v>
                </c:pt>
                <c:pt idx="150">
                  <c:v>42339</c:v>
                </c:pt>
                <c:pt idx="151">
                  <c:v>42340</c:v>
                </c:pt>
                <c:pt idx="152">
                  <c:v>42341</c:v>
                </c:pt>
                <c:pt idx="153">
                  <c:v>42342</c:v>
                </c:pt>
                <c:pt idx="154">
                  <c:v>42345</c:v>
                </c:pt>
                <c:pt idx="155">
                  <c:v>42346</c:v>
                </c:pt>
                <c:pt idx="156">
                  <c:v>42347</c:v>
                </c:pt>
                <c:pt idx="157">
                  <c:v>42348</c:v>
                </c:pt>
                <c:pt idx="158">
                  <c:v>42349</c:v>
                </c:pt>
                <c:pt idx="159">
                  <c:v>42352</c:v>
                </c:pt>
                <c:pt idx="160">
                  <c:v>42353</c:v>
                </c:pt>
                <c:pt idx="161">
                  <c:v>42354</c:v>
                </c:pt>
                <c:pt idx="162">
                  <c:v>42355</c:v>
                </c:pt>
                <c:pt idx="163">
                  <c:v>42356</c:v>
                </c:pt>
                <c:pt idx="164">
                  <c:v>42359</c:v>
                </c:pt>
                <c:pt idx="165">
                  <c:v>42360</c:v>
                </c:pt>
                <c:pt idx="166">
                  <c:v>42361</c:v>
                </c:pt>
                <c:pt idx="167">
                  <c:v>42362</c:v>
                </c:pt>
                <c:pt idx="168">
                  <c:v>42367</c:v>
                </c:pt>
                <c:pt idx="169">
                  <c:v>42368</c:v>
                </c:pt>
                <c:pt idx="170">
                  <c:v>42369</c:v>
                </c:pt>
                <c:pt idx="171">
                  <c:v>42373</c:v>
                </c:pt>
                <c:pt idx="172">
                  <c:v>42374</c:v>
                </c:pt>
                <c:pt idx="173">
                  <c:v>42375</c:v>
                </c:pt>
                <c:pt idx="174">
                  <c:v>42376</c:v>
                </c:pt>
                <c:pt idx="175">
                  <c:v>42377</c:v>
                </c:pt>
                <c:pt idx="176">
                  <c:v>42380</c:v>
                </c:pt>
                <c:pt idx="177">
                  <c:v>42381</c:v>
                </c:pt>
                <c:pt idx="178">
                  <c:v>42382</c:v>
                </c:pt>
                <c:pt idx="179">
                  <c:v>42383</c:v>
                </c:pt>
                <c:pt idx="180">
                  <c:v>42384</c:v>
                </c:pt>
                <c:pt idx="181">
                  <c:v>42387</c:v>
                </c:pt>
                <c:pt idx="182">
                  <c:v>42388</c:v>
                </c:pt>
                <c:pt idx="183">
                  <c:v>42389</c:v>
                </c:pt>
                <c:pt idx="184">
                  <c:v>42390</c:v>
                </c:pt>
                <c:pt idx="185">
                  <c:v>42391</c:v>
                </c:pt>
                <c:pt idx="186">
                  <c:v>42394</c:v>
                </c:pt>
                <c:pt idx="187">
                  <c:v>42395</c:v>
                </c:pt>
                <c:pt idx="188">
                  <c:v>42396</c:v>
                </c:pt>
                <c:pt idx="189">
                  <c:v>42397</c:v>
                </c:pt>
                <c:pt idx="190">
                  <c:v>42398</c:v>
                </c:pt>
                <c:pt idx="191">
                  <c:v>42401</c:v>
                </c:pt>
                <c:pt idx="192">
                  <c:v>42402</c:v>
                </c:pt>
                <c:pt idx="193">
                  <c:v>42403</c:v>
                </c:pt>
                <c:pt idx="194">
                  <c:v>42404</c:v>
                </c:pt>
                <c:pt idx="195">
                  <c:v>42405</c:v>
                </c:pt>
                <c:pt idx="196">
                  <c:v>42408</c:v>
                </c:pt>
                <c:pt idx="197">
                  <c:v>42409</c:v>
                </c:pt>
                <c:pt idx="198">
                  <c:v>42410</c:v>
                </c:pt>
                <c:pt idx="199">
                  <c:v>42411</c:v>
                </c:pt>
                <c:pt idx="200">
                  <c:v>42412</c:v>
                </c:pt>
                <c:pt idx="201">
                  <c:v>42415</c:v>
                </c:pt>
                <c:pt idx="202">
                  <c:v>42416</c:v>
                </c:pt>
                <c:pt idx="203">
                  <c:v>42417</c:v>
                </c:pt>
                <c:pt idx="204">
                  <c:v>42418</c:v>
                </c:pt>
                <c:pt idx="205">
                  <c:v>42419</c:v>
                </c:pt>
                <c:pt idx="206">
                  <c:v>42422</c:v>
                </c:pt>
                <c:pt idx="207">
                  <c:v>42423</c:v>
                </c:pt>
                <c:pt idx="208">
                  <c:v>42424</c:v>
                </c:pt>
                <c:pt idx="209">
                  <c:v>42425</c:v>
                </c:pt>
                <c:pt idx="210">
                  <c:v>42426</c:v>
                </c:pt>
                <c:pt idx="211">
                  <c:v>42429</c:v>
                </c:pt>
                <c:pt idx="212">
                  <c:v>42430</c:v>
                </c:pt>
                <c:pt idx="213">
                  <c:v>42431</c:v>
                </c:pt>
                <c:pt idx="214">
                  <c:v>42432</c:v>
                </c:pt>
                <c:pt idx="215">
                  <c:v>42433</c:v>
                </c:pt>
                <c:pt idx="216">
                  <c:v>42436</c:v>
                </c:pt>
                <c:pt idx="217">
                  <c:v>42437</c:v>
                </c:pt>
                <c:pt idx="218">
                  <c:v>42438</c:v>
                </c:pt>
                <c:pt idx="219">
                  <c:v>42439</c:v>
                </c:pt>
                <c:pt idx="220">
                  <c:v>42440</c:v>
                </c:pt>
                <c:pt idx="221">
                  <c:v>42443</c:v>
                </c:pt>
                <c:pt idx="222">
                  <c:v>42444</c:v>
                </c:pt>
                <c:pt idx="223">
                  <c:v>42445</c:v>
                </c:pt>
                <c:pt idx="224">
                  <c:v>42446</c:v>
                </c:pt>
                <c:pt idx="225">
                  <c:v>42447</c:v>
                </c:pt>
                <c:pt idx="226">
                  <c:v>42450</c:v>
                </c:pt>
                <c:pt idx="227">
                  <c:v>42451</c:v>
                </c:pt>
                <c:pt idx="228">
                  <c:v>42452</c:v>
                </c:pt>
                <c:pt idx="229">
                  <c:v>42453</c:v>
                </c:pt>
                <c:pt idx="230">
                  <c:v>42458</c:v>
                </c:pt>
                <c:pt idx="231">
                  <c:v>42459</c:v>
                </c:pt>
                <c:pt idx="232">
                  <c:v>42460</c:v>
                </c:pt>
                <c:pt idx="233">
                  <c:v>42461</c:v>
                </c:pt>
                <c:pt idx="234">
                  <c:v>42464</c:v>
                </c:pt>
                <c:pt idx="235">
                  <c:v>42465</c:v>
                </c:pt>
                <c:pt idx="236">
                  <c:v>42466</c:v>
                </c:pt>
                <c:pt idx="237">
                  <c:v>42467</c:v>
                </c:pt>
                <c:pt idx="238">
                  <c:v>42468</c:v>
                </c:pt>
                <c:pt idx="239">
                  <c:v>42471</c:v>
                </c:pt>
                <c:pt idx="240">
                  <c:v>42472</c:v>
                </c:pt>
                <c:pt idx="241">
                  <c:v>42473</c:v>
                </c:pt>
                <c:pt idx="242">
                  <c:v>42474</c:v>
                </c:pt>
                <c:pt idx="243">
                  <c:v>42475</c:v>
                </c:pt>
                <c:pt idx="244">
                  <c:v>42478</c:v>
                </c:pt>
                <c:pt idx="245">
                  <c:v>42479</c:v>
                </c:pt>
                <c:pt idx="246">
                  <c:v>42480</c:v>
                </c:pt>
                <c:pt idx="247">
                  <c:v>42481</c:v>
                </c:pt>
                <c:pt idx="248">
                  <c:v>42482</c:v>
                </c:pt>
                <c:pt idx="249">
                  <c:v>42485</c:v>
                </c:pt>
                <c:pt idx="250">
                  <c:v>42486</c:v>
                </c:pt>
                <c:pt idx="251">
                  <c:v>42487</c:v>
                </c:pt>
                <c:pt idx="252">
                  <c:v>42488</c:v>
                </c:pt>
                <c:pt idx="253">
                  <c:v>42489</c:v>
                </c:pt>
                <c:pt idx="254">
                  <c:v>42493</c:v>
                </c:pt>
              </c:numCache>
            </c:numRef>
          </c:cat>
          <c:val>
            <c:numRef>
              <c:f>'1YSynthDepo'!$AE$3:$AE$257</c:f>
              <c:numCache>
                <c:formatCode>0.0000%</c:formatCode>
                <c:ptCount val="255"/>
                <c:pt idx="0">
                  <c:v>3.9202665529506145E-3</c:v>
                </c:pt>
                <c:pt idx="1">
                  <c:v>3.9245472948484681E-3</c:v>
                </c:pt>
                <c:pt idx="2">
                  <c:v>3.9416702624398845E-3</c:v>
                </c:pt>
                <c:pt idx="3">
                  <c:v>3.945951004337739E-3</c:v>
                </c:pt>
                <c:pt idx="4">
                  <c:v>3.9502317462355926E-3</c:v>
                </c:pt>
                <c:pt idx="5">
                  <c:v>3.9545124881334472E-3</c:v>
                </c:pt>
                <c:pt idx="6">
                  <c:v>3.967354713827009E-3</c:v>
                </c:pt>
                <c:pt idx="7">
                  <c:v>3.9716354557248626E-3</c:v>
                </c:pt>
                <c:pt idx="8">
                  <c:v>3.9759161976227171E-3</c:v>
                </c:pt>
                <c:pt idx="9">
                  <c:v>3.9801969395205708E-3</c:v>
                </c:pt>
                <c:pt idx="10">
                  <c:v>3.9844776814184253E-3</c:v>
                </c:pt>
                <c:pt idx="11">
                  <c:v>3.9973199071119871E-3</c:v>
                </c:pt>
                <c:pt idx="12">
                  <c:v>4.0016006490098408E-3</c:v>
                </c:pt>
                <c:pt idx="13">
                  <c:v>4.0058813909076953E-3</c:v>
                </c:pt>
                <c:pt idx="14">
                  <c:v>4.010162132805549E-3</c:v>
                </c:pt>
                <c:pt idx="15">
                  <c:v>4.0144428747034035E-3</c:v>
                </c:pt>
                <c:pt idx="16">
                  <c:v>4.0315658422948189E-3</c:v>
                </c:pt>
                <c:pt idx="17">
                  <c:v>4.0358465841926735E-3</c:v>
                </c:pt>
                <c:pt idx="18">
                  <c:v>4.0401273260905271E-3</c:v>
                </c:pt>
                <c:pt idx="19">
                  <c:v>4.0444080679883816E-3</c:v>
                </c:pt>
                <c:pt idx="20">
                  <c:v>4.0572502936819434E-3</c:v>
                </c:pt>
                <c:pt idx="21">
                  <c:v>4.061531035579798E-3</c:v>
                </c:pt>
                <c:pt idx="22">
                  <c:v>4.0658117774776516E-3</c:v>
                </c:pt>
                <c:pt idx="23">
                  <c:v>4.0700925193755053E-3</c:v>
                </c:pt>
                <c:pt idx="24">
                  <c:v>4.0743732612733598E-3</c:v>
                </c:pt>
                <c:pt idx="25">
                  <c:v>4.0872154869669216E-3</c:v>
                </c:pt>
                <c:pt idx="26">
                  <c:v>4.0914962288647761E-3</c:v>
                </c:pt>
                <c:pt idx="27">
                  <c:v>4.0957769707626298E-3</c:v>
                </c:pt>
                <c:pt idx="28">
                  <c:v>4.1000577126604843E-3</c:v>
                </c:pt>
                <c:pt idx="29">
                  <c:v>4.1043384545583379E-3</c:v>
                </c:pt>
                <c:pt idx="30">
                  <c:v>4.1171806802518997E-3</c:v>
                </c:pt>
                <c:pt idx="31">
                  <c:v>4.1214614221497543E-3</c:v>
                </c:pt>
                <c:pt idx="32">
                  <c:v>4.1257421640476079E-3</c:v>
                </c:pt>
                <c:pt idx="33">
                  <c:v>4.1300229059454624E-3</c:v>
                </c:pt>
                <c:pt idx="34">
                  <c:v>4.1343036478433161E-3</c:v>
                </c:pt>
                <c:pt idx="35">
                  <c:v>4.1471458735368779E-3</c:v>
                </c:pt>
                <c:pt idx="36">
                  <c:v>4.1514266154347324E-3</c:v>
                </c:pt>
                <c:pt idx="37">
                  <c:v>4.1557073573325861E-3</c:v>
                </c:pt>
                <c:pt idx="38">
                  <c:v>4.1599880992304406E-3</c:v>
                </c:pt>
                <c:pt idx="39">
                  <c:v>4.1642688411282942E-3</c:v>
                </c:pt>
                <c:pt idx="40">
                  <c:v>4.1771110668218561E-3</c:v>
                </c:pt>
                <c:pt idx="41">
                  <c:v>4.1813918087197106E-3</c:v>
                </c:pt>
                <c:pt idx="42">
                  <c:v>4.1856725506175642E-3</c:v>
                </c:pt>
                <c:pt idx="43">
                  <c:v>4.1899532925154187E-3</c:v>
                </c:pt>
                <c:pt idx="44">
                  <c:v>4.1942340344132724E-3</c:v>
                </c:pt>
                <c:pt idx="45">
                  <c:v>4.2070762601068351E-3</c:v>
                </c:pt>
                <c:pt idx="46">
                  <c:v>4.2113570020046887E-3</c:v>
                </c:pt>
                <c:pt idx="47">
                  <c:v>4.2156377439025424E-3</c:v>
                </c:pt>
                <c:pt idx="48">
                  <c:v>4.2199184858003969E-3</c:v>
                </c:pt>
                <c:pt idx="49">
                  <c:v>4.2241992276982505E-3</c:v>
                </c:pt>
                <c:pt idx="50">
                  <c:v>4.2370414533918132E-3</c:v>
                </c:pt>
                <c:pt idx="51">
                  <c:v>4.2413221952896669E-3</c:v>
                </c:pt>
                <c:pt idx="52">
                  <c:v>4.2456029371875214E-3</c:v>
                </c:pt>
                <c:pt idx="53">
                  <c:v>4.249883679085375E-3</c:v>
                </c:pt>
                <c:pt idx="54">
                  <c:v>4.2541644209832287E-3</c:v>
                </c:pt>
                <c:pt idx="55">
                  <c:v>4.2670066466767914E-3</c:v>
                </c:pt>
                <c:pt idx="56">
                  <c:v>4.271287388574645E-3</c:v>
                </c:pt>
                <c:pt idx="57">
                  <c:v>4.2755681304724995E-3</c:v>
                </c:pt>
                <c:pt idx="58">
                  <c:v>4.2798488723703532E-3</c:v>
                </c:pt>
                <c:pt idx="59">
                  <c:v>4.2841296142682068E-3</c:v>
                </c:pt>
                <c:pt idx="60">
                  <c:v>4.2969718399617695E-3</c:v>
                </c:pt>
                <c:pt idx="61">
                  <c:v>4.3012525818596232E-3</c:v>
                </c:pt>
                <c:pt idx="62">
                  <c:v>4.3055333237574777E-3</c:v>
                </c:pt>
                <c:pt idx="63">
                  <c:v>4.3098140656553314E-3</c:v>
                </c:pt>
                <c:pt idx="64">
                  <c:v>4.3140948075531859E-3</c:v>
                </c:pt>
                <c:pt idx="65">
                  <c:v>4.3269370332467477E-3</c:v>
                </c:pt>
                <c:pt idx="66">
                  <c:v>4.3312177751446013E-3</c:v>
                </c:pt>
                <c:pt idx="67">
                  <c:v>4.3354985170424559E-3</c:v>
                </c:pt>
                <c:pt idx="68">
                  <c:v>4.3397792589403095E-3</c:v>
                </c:pt>
                <c:pt idx="69">
                  <c:v>4.344060000838164E-3</c:v>
                </c:pt>
                <c:pt idx="70">
                  <c:v>4.3569022265317258E-3</c:v>
                </c:pt>
                <c:pt idx="71">
                  <c:v>4.3611829684295795E-3</c:v>
                </c:pt>
                <c:pt idx="72">
                  <c:v>4.365463710327434E-3</c:v>
                </c:pt>
                <c:pt idx="73">
                  <c:v>4.3697444522252877E-3</c:v>
                </c:pt>
                <c:pt idx="74">
                  <c:v>4.3740251941231422E-3</c:v>
                </c:pt>
                <c:pt idx="75">
                  <c:v>4.386867419816704E-3</c:v>
                </c:pt>
                <c:pt idx="76">
                  <c:v>4.3911481617145576E-3</c:v>
                </c:pt>
                <c:pt idx="77">
                  <c:v>4.3954289036124122E-3</c:v>
                </c:pt>
                <c:pt idx="78">
                  <c:v>4.3997096455102658E-3</c:v>
                </c:pt>
                <c:pt idx="79">
                  <c:v>4.4039903874081203E-3</c:v>
                </c:pt>
                <c:pt idx="80">
                  <c:v>4.4168326131016821E-3</c:v>
                </c:pt>
                <c:pt idx="81">
                  <c:v>4.4211133549995367E-3</c:v>
                </c:pt>
                <c:pt idx="82">
                  <c:v>4.4253940968973903E-3</c:v>
                </c:pt>
                <c:pt idx="83">
                  <c:v>4.4296748387952448E-3</c:v>
                </c:pt>
                <c:pt idx="84">
                  <c:v>4.4339555806930985E-3</c:v>
                </c:pt>
                <c:pt idx="85">
                  <c:v>4.4510785482845148E-3</c:v>
                </c:pt>
                <c:pt idx="86">
                  <c:v>4.4553592901823685E-3</c:v>
                </c:pt>
                <c:pt idx="87">
                  <c:v>4.459640032080223E-3</c:v>
                </c:pt>
                <c:pt idx="88">
                  <c:v>4.4639207739780766E-3</c:v>
                </c:pt>
                <c:pt idx="89">
                  <c:v>4.4767629996716385E-3</c:v>
                </c:pt>
                <c:pt idx="90">
                  <c:v>4.481043741569493E-3</c:v>
                </c:pt>
                <c:pt idx="91">
                  <c:v>4.4853244834673466E-3</c:v>
                </c:pt>
                <c:pt idx="92">
                  <c:v>4.4896052253652011E-3</c:v>
                </c:pt>
                <c:pt idx="93">
                  <c:v>4.4938859672630548E-3</c:v>
                </c:pt>
                <c:pt idx="94">
                  <c:v>4.5067281929566175E-3</c:v>
                </c:pt>
                <c:pt idx="95">
                  <c:v>4.5110089348544711E-3</c:v>
                </c:pt>
                <c:pt idx="96">
                  <c:v>4.5152896767523248E-3</c:v>
                </c:pt>
                <c:pt idx="97">
                  <c:v>4.5195704186501793E-3</c:v>
                </c:pt>
                <c:pt idx="98">
                  <c:v>4.5238511605480329E-3</c:v>
                </c:pt>
                <c:pt idx="99">
                  <c:v>4.5366933862415956E-3</c:v>
                </c:pt>
                <c:pt idx="100">
                  <c:v>4.5409741281394493E-3</c:v>
                </c:pt>
                <c:pt idx="101">
                  <c:v>4.5452548700373029E-3</c:v>
                </c:pt>
                <c:pt idx="102">
                  <c:v>4.5495356119351574E-3</c:v>
                </c:pt>
                <c:pt idx="103">
                  <c:v>4.5538163538330111E-3</c:v>
                </c:pt>
                <c:pt idx="104">
                  <c:v>4.5666585795265738E-3</c:v>
                </c:pt>
                <c:pt idx="105">
                  <c:v>4.5709393214244274E-3</c:v>
                </c:pt>
                <c:pt idx="106">
                  <c:v>4.5752200633222811E-3</c:v>
                </c:pt>
                <c:pt idx="107">
                  <c:v>4.5795008052201356E-3</c:v>
                </c:pt>
                <c:pt idx="108">
                  <c:v>4.5837815471179892E-3</c:v>
                </c:pt>
                <c:pt idx="109">
                  <c:v>4.5966237728115519E-3</c:v>
                </c:pt>
                <c:pt idx="110">
                  <c:v>4.6009045147094056E-3</c:v>
                </c:pt>
                <c:pt idx="111">
                  <c:v>4.6051852566072592E-3</c:v>
                </c:pt>
                <c:pt idx="112">
                  <c:v>4.6094659985051138E-3</c:v>
                </c:pt>
                <c:pt idx="113">
                  <c:v>4.6137467404029683E-3</c:v>
                </c:pt>
                <c:pt idx="114">
                  <c:v>4.6265889660965301E-3</c:v>
                </c:pt>
                <c:pt idx="115">
                  <c:v>4.6308697079943837E-3</c:v>
                </c:pt>
                <c:pt idx="116">
                  <c:v>4.6351504498922383E-3</c:v>
                </c:pt>
                <c:pt idx="117">
                  <c:v>4.6394311917900919E-3</c:v>
                </c:pt>
                <c:pt idx="118">
                  <c:v>4.6437119336879464E-3</c:v>
                </c:pt>
                <c:pt idx="119">
                  <c:v>4.6565541593815082E-3</c:v>
                </c:pt>
                <c:pt idx="120">
                  <c:v>4.6608349012793619E-3</c:v>
                </c:pt>
                <c:pt idx="121">
                  <c:v>4.6651156431772164E-3</c:v>
                </c:pt>
                <c:pt idx="122">
                  <c:v>4.6693963850750701E-3</c:v>
                </c:pt>
                <c:pt idx="123">
                  <c:v>4.6736771269729246E-3</c:v>
                </c:pt>
                <c:pt idx="124">
                  <c:v>4.6865193526664864E-3</c:v>
                </c:pt>
                <c:pt idx="125">
                  <c:v>4.69080009456434E-3</c:v>
                </c:pt>
                <c:pt idx="126">
                  <c:v>4.6950808364621946E-3</c:v>
                </c:pt>
                <c:pt idx="127">
                  <c:v>4.6993615783600482E-3</c:v>
                </c:pt>
                <c:pt idx="128">
                  <c:v>4.7036423202579027E-3</c:v>
                </c:pt>
                <c:pt idx="129">
                  <c:v>4.7164845459514645E-3</c:v>
                </c:pt>
                <c:pt idx="130">
                  <c:v>4.7207652878493191E-3</c:v>
                </c:pt>
                <c:pt idx="131">
                  <c:v>4.7250460297471727E-3</c:v>
                </c:pt>
                <c:pt idx="132">
                  <c:v>4.7293267716450264E-3</c:v>
                </c:pt>
                <c:pt idx="133">
                  <c:v>4.7336075135428809E-3</c:v>
                </c:pt>
                <c:pt idx="134">
                  <c:v>4.7464497392364427E-3</c:v>
                </c:pt>
                <c:pt idx="135">
                  <c:v>4.7507304811342972E-3</c:v>
                </c:pt>
                <c:pt idx="136">
                  <c:v>4.7550112230321509E-3</c:v>
                </c:pt>
                <c:pt idx="137">
                  <c:v>4.7592919649300045E-3</c:v>
                </c:pt>
                <c:pt idx="138">
                  <c:v>4.763572706827859E-3</c:v>
                </c:pt>
                <c:pt idx="139">
                  <c:v>4.7764149325214209E-3</c:v>
                </c:pt>
                <c:pt idx="140">
                  <c:v>4.7806956744192754E-3</c:v>
                </c:pt>
                <c:pt idx="141">
                  <c:v>4.784976416317129E-3</c:v>
                </c:pt>
                <c:pt idx="142">
                  <c:v>4.7892571582149835E-3</c:v>
                </c:pt>
                <c:pt idx="143">
                  <c:v>4.7935379001128372E-3</c:v>
                </c:pt>
                <c:pt idx="144">
                  <c:v>4.806380125806399E-3</c:v>
                </c:pt>
                <c:pt idx="145">
                  <c:v>4.8106608677042535E-3</c:v>
                </c:pt>
                <c:pt idx="146">
                  <c:v>4.8149416096021072E-3</c:v>
                </c:pt>
                <c:pt idx="147">
                  <c:v>4.8192223514999617E-3</c:v>
                </c:pt>
                <c:pt idx="148">
                  <c:v>4.8235030933978153E-3</c:v>
                </c:pt>
                <c:pt idx="149">
                  <c:v>4.8363453190913772E-3</c:v>
                </c:pt>
                <c:pt idx="150">
                  <c:v>4.8406260609892317E-3</c:v>
                </c:pt>
                <c:pt idx="151">
                  <c:v>4.8449068028870853E-3</c:v>
                </c:pt>
                <c:pt idx="152">
                  <c:v>4.8491875447849398E-3</c:v>
                </c:pt>
                <c:pt idx="153">
                  <c:v>4.8534682866827935E-3</c:v>
                </c:pt>
                <c:pt idx="154">
                  <c:v>4.8663105123763553E-3</c:v>
                </c:pt>
                <c:pt idx="155">
                  <c:v>4.8705912542742098E-3</c:v>
                </c:pt>
                <c:pt idx="156">
                  <c:v>4.8748719961720643E-3</c:v>
                </c:pt>
                <c:pt idx="157">
                  <c:v>4.879152738069918E-3</c:v>
                </c:pt>
                <c:pt idx="158">
                  <c:v>4.8834334799677716E-3</c:v>
                </c:pt>
                <c:pt idx="159">
                  <c:v>4.8962757056613335E-3</c:v>
                </c:pt>
                <c:pt idx="160">
                  <c:v>4.900556447559188E-3</c:v>
                </c:pt>
                <c:pt idx="161">
                  <c:v>4.9048371894570425E-3</c:v>
                </c:pt>
                <c:pt idx="162">
                  <c:v>4.9091179313548962E-3</c:v>
                </c:pt>
                <c:pt idx="163">
                  <c:v>4.9133986732527498E-3</c:v>
                </c:pt>
                <c:pt idx="164">
                  <c:v>4.9262408989463125E-3</c:v>
                </c:pt>
                <c:pt idx="165">
                  <c:v>4.9305216408441661E-3</c:v>
                </c:pt>
                <c:pt idx="166">
                  <c:v>4.9348023827420207E-3</c:v>
                </c:pt>
                <c:pt idx="167">
                  <c:v>4.9390831246398743E-3</c:v>
                </c:pt>
                <c:pt idx="168">
                  <c:v>4.9604868341291443E-3</c:v>
                </c:pt>
                <c:pt idx="169">
                  <c:v>4.9647675760269988E-3</c:v>
                </c:pt>
                <c:pt idx="170">
                  <c:v>4.9690483179248525E-3</c:v>
                </c:pt>
                <c:pt idx="171">
                  <c:v>4.9861712855162688E-3</c:v>
                </c:pt>
                <c:pt idx="172">
                  <c:v>4.9904520274141224E-3</c:v>
                </c:pt>
                <c:pt idx="173">
                  <c:v>4.994732769311977E-3</c:v>
                </c:pt>
                <c:pt idx="174">
                  <c:v>4.9990135112098306E-3</c:v>
                </c:pt>
                <c:pt idx="175">
                  <c:v>5.0032942531076851E-3</c:v>
                </c:pt>
                <c:pt idx="176">
                  <c:v>5.0161364788012469E-3</c:v>
                </c:pt>
                <c:pt idx="177">
                  <c:v>5.0204172206991006E-3</c:v>
                </c:pt>
                <c:pt idx="178">
                  <c:v>5.0246979625969551E-3</c:v>
                </c:pt>
                <c:pt idx="179">
                  <c:v>5.0289787044948088E-3</c:v>
                </c:pt>
                <c:pt idx="180">
                  <c:v>5.0332594463926624E-3</c:v>
                </c:pt>
                <c:pt idx="181">
                  <c:v>5.0461016720862251E-3</c:v>
                </c:pt>
                <c:pt idx="182">
                  <c:v>5.0503824139840787E-3</c:v>
                </c:pt>
                <c:pt idx="183">
                  <c:v>5.0546631558819333E-3</c:v>
                </c:pt>
                <c:pt idx="184">
                  <c:v>5.0589438977797869E-3</c:v>
                </c:pt>
                <c:pt idx="185">
                  <c:v>5.0632246396776414E-3</c:v>
                </c:pt>
                <c:pt idx="186">
                  <c:v>5.0760668653712033E-3</c:v>
                </c:pt>
                <c:pt idx="187">
                  <c:v>5.0803476072690569E-3</c:v>
                </c:pt>
                <c:pt idx="188">
                  <c:v>5.0846283491669114E-3</c:v>
                </c:pt>
                <c:pt idx="189">
                  <c:v>5.0889090910647659E-3</c:v>
                </c:pt>
                <c:pt idx="190">
                  <c:v>5.0931898329626196E-3</c:v>
                </c:pt>
                <c:pt idx="191">
                  <c:v>5.1060320586561814E-3</c:v>
                </c:pt>
                <c:pt idx="192">
                  <c:v>5.1103128005540351E-3</c:v>
                </c:pt>
                <c:pt idx="193">
                  <c:v>5.1145935424518896E-3</c:v>
                </c:pt>
                <c:pt idx="194">
                  <c:v>5.1188742843497441E-3</c:v>
                </c:pt>
                <c:pt idx="195">
                  <c:v>5.1231550262475977E-3</c:v>
                </c:pt>
                <c:pt idx="196">
                  <c:v>5.1359972519411596E-3</c:v>
                </c:pt>
                <c:pt idx="197">
                  <c:v>5.1402779938390141E-3</c:v>
                </c:pt>
                <c:pt idx="198">
                  <c:v>5.1445587357368677E-3</c:v>
                </c:pt>
                <c:pt idx="199">
                  <c:v>5.1488394776347222E-3</c:v>
                </c:pt>
                <c:pt idx="200">
                  <c:v>5.1531202195325759E-3</c:v>
                </c:pt>
                <c:pt idx="201">
                  <c:v>5.1659624452261377E-3</c:v>
                </c:pt>
                <c:pt idx="202">
                  <c:v>5.1702431871239922E-3</c:v>
                </c:pt>
                <c:pt idx="203">
                  <c:v>5.1745239290218459E-3</c:v>
                </c:pt>
                <c:pt idx="204">
                  <c:v>5.1788046709197004E-3</c:v>
                </c:pt>
                <c:pt idx="205">
                  <c:v>5.183085412817554E-3</c:v>
                </c:pt>
                <c:pt idx="206">
                  <c:v>5.1959276385111167E-3</c:v>
                </c:pt>
                <c:pt idx="207">
                  <c:v>5.2002083804089704E-3</c:v>
                </c:pt>
                <c:pt idx="208">
                  <c:v>5.204489122306824E-3</c:v>
                </c:pt>
                <c:pt idx="209">
                  <c:v>5.2087698642046786E-3</c:v>
                </c:pt>
                <c:pt idx="210">
                  <c:v>5.2130506061025322E-3</c:v>
                </c:pt>
                <c:pt idx="211">
                  <c:v>5.2258928317960949E-3</c:v>
                </c:pt>
                <c:pt idx="212">
                  <c:v>5.2301735736939485E-3</c:v>
                </c:pt>
                <c:pt idx="213">
                  <c:v>5.2344543155918022E-3</c:v>
                </c:pt>
                <c:pt idx="214">
                  <c:v>5.2387350574896567E-3</c:v>
                </c:pt>
                <c:pt idx="215">
                  <c:v>5.2430157993875104E-3</c:v>
                </c:pt>
                <c:pt idx="216">
                  <c:v>5.255858025081073E-3</c:v>
                </c:pt>
                <c:pt idx="217">
                  <c:v>5.2601387669789267E-3</c:v>
                </c:pt>
                <c:pt idx="218">
                  <c:v>5.2644195088767803E-3</c:v>
                </c:pt>
                <c:pt idx="219">
                  <c:v>5.2687002507746349E-3</c:v>
                </c:pt>
                <c:pt idx="220">
                  <c:v>5.2729809926724894E-3</c:v>
                </c:pt>
                <c:pt idx="221">
                  <c:v>5.2858232183660512E-3</c:v>
                </c:pt>
                <c:pt idx="222">
                  <c:v>5.2901039602639048E-3</c:v>
                </c:pt>
                <c:pt idx="223">
                  <c:v>5.2943847021617594E-3</c:v>
                </c:pt>
                <c:pt idx="224">
                  <c:v>5.298665444059613E-3</c:v>
                </c:pt>
                <c:pt idx="225">
                  <c:v>5.3029461859574675E-3</c:v>
                </c:pt>
                <c:pt idx="226">
                  <c:v>5.3157884116510293E-3</c:v>
                </c:pt>
                <c:pt idx="227">
                  <c:v>5.320069153548883E-3</c:v>
                </c:pt>
                <c:pt idx="228">
                  <c:v>5.3243498954467375E-3</c:v>
                </c:pt>
                <c:pt idx="229">
                  <c:v>5.3286306373445912E-3</c:v>
                </c:pt>
                <c:pt idx="230">
                  <c:v>5.3500343468338611E-3</c:v>
                </c:pt>
                <c:pt idx="231">
                  <c:v>5.3543150887317157E-3</c:v>
                </c:pt>
                <c:pt idx="232">
                  <c:v>5.3585958306295693E-3</c:v>
                </c:pt>
                <c:pt idx="233">
                  <c:v>5.3628765725274238E-3</c:v>
                </c:pt>
                <c:pt idx="234">
                  <c:v>5.3757187982209857E-3</c:v>
                </c:pt>
                <c:pt idx="235">
                  <c:v>5.3799995401188402E-3</c:v>
                </c:pt>
                <c:pt idx="236">
                  <c:v>5.3842802820166938E-3</c:v>
                </c:pt>
                <c:pt idx="237">
                  <c:v>5.3885610239145475E-3</c:v>
                </c:pt>
                <c:pt idx="238">
                  <c:v>5.392841765812402E-3</c:v>
                </c:pt>
                <c:pt idx="239">
                  <c:v>5.4056839915059638E-3</c:v>
                </c:pt>
                <c:pt idx="240">
                  <c:v>5.4099647334038183E-3</c:v>
                </c:pt>
                <c:pt idx="241">
                  <c:v>5.414245475301672E-3</c:v>
                </c:pt>
                <c:pt idx="242">
                  <c:v>5.4185262171995256E-3</c:v>
                </c:pt>
                <c:pt idx="243">
                  <c:v>5.4228069590973801E-3</c:v>
                </c:pt>
                <c:pt idx="244">
                  <c:v>5.435649184790942E-3</c:v>
                </c:pt>
                <c:pt idx="245">
                  <c:v>5.4399299266887965E-3</c:v>
                </c:pt>
                <c:pt idx="246">
                  <c:v>5.4442106685866501E-3</c:v>
                </c:pt>
                <c:pt idx="247">
                  <c:v>5.4484914104845038E-3</c:v>
                </c:pt>
                <c:pt idx="248">
                  <c:v>5.4527721523823583E-3</c:v>
                </c:pt>
                <c:pt idx="249">
                  <c:v>5.4656143780759201E-3</c:v>
                </c:pt>
                <c:pt idx="250">
                  <c:v>5.4698951199737746E-3</c:v>
                </c:pt>
                <c:pt idx="251">
                  <c:v>5.4741758618716283E-3</c:v>
                </c:pt>
                <c:pt idx="252">
                  <c:v>5.4784566037694819E-3</c:v>
                </c:pt>
                <c:pt idx="253">
                  <c:v>5.4827373456673364E-3</c:v>
                </c:pt>
                <c:pt idx="254">
                  <c:v>5.4998603132587528E-3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'1YSynthDepo'!$AB$3:$AB$257</c:f>
              <c:numCache>
                <c:formatCode>ddd\,\ dd\-mmm\-yyyy</c:formatCode>
                <c:ptCount val="255"/>
                <c:pt idx="0">
                  <c:v>42124</c:v>
                </c:pt>
                <c:pt idx="1">
                  <c:v>42125</c:v>
                </c:pt>
                <c:pt idx="2">
                  <c:v>42129</c:v>
                </c:pt>
                <c:pt idx="3">
                  <c:v>42130</c:v>
                </c:pt>
                <c:pt idx="4">
                  <c:v>42131</c:v>
                </c:pt>
                <c:pt idx="5">
                  <c:v>42132</c:v>
                </c:pt>
                <c:pt idx="6">
                  <c:v>42135</c:v>
                </c:pt>
                <c:pt idx="7">
                  <c:v>42136</c:v>
                </c:pt>
                <c:pt idx="8">
                  <c:v>42137</c:v>
                </c:pt>
                <c:pt idx="9">
                  <c:v>42138</c:v>
                </c:pt>
                <c:pt idx="10">
                  <c:v>42139</c:v>
                </c:pt>
                <c:pt idx="11">
                  <c:v>42142</c:v>
                </c:pt>
                <c:pt idx="12">
                  <c:v>42143</c:v>
                </c:pt>
                <c:pt idx="13">
                  <c:v>42144</c:v>
                </c:pt>
                <c:pt idx="14">
                  <c:v>42145</c:v>
                </c:pt>
                <c:pt idx="15">
                  <c:v>42146</c:v>
                </c:pt>
                <c:pt idx="16">
                  <c:v>42150</c:v>
                </c:pt>
                <c:pt idx="17">
                  <c:v>42151</c:v>
                </c:pt>
                <c:pt idx="18">
                  <c:v>42152</c:v>
                </c:pt>
                <c:pt idx="19">
                  <c:v>42153</c:v>
                </c:pt>
                <c:pt idx="20">
                  <c:v>42156</c:v>
                </c:pt>
                <c:pt idx="21">
                  <c:v>42157</c:v>
                </c:pt>
                <c:pt idx="22">
                  <c:v>42158</c:v>
                </c:pt>
                <c:pt idx="23">
                  <c:v>42159</c:v>
                </c:pt>
                <c:pt idx="24">
                  <c:v>42160</c:v>
                </c:pt>
                <c:pt idx="25">
                  <c:v>42163</c:v>
                </c:pt>
                <c:pt idx="26">
                  <c:v>42164</c:v>
                </c:pt>
                <c:pt idx="27">
                  <c:v>42165</c:v>
                </c:pt>
                <c:pt idx="28">
                  <c:v>42166</c:v>
                </c:pt>
                <c:pt idx="29">
                  <c:v>42167</c:v>
                </c:pt>
                <c:pt idx="30">
                  <c:v>42170</c:v>
                </c:pt>
                <c:pt idx="31">
                  <c:v>42171</c:v>
                </c:pt>
                <c:pt idx="32">
                  <c:v>42172</c:v>
                </c:pt>
                <c:pt idx="33">
                  <c:v>42173</c:v>
                </c:pt>
                <c:pt idx="34">
                  <c:v>42174</c:v>
                </c:pt>
                <c:pt idx="35">
                  <c:v>42177</c:v>
                </c:pt>
                <c:pt idx="36">
                  <c:v>42178</c:v>
                </c:pt>
                <c:pt idx="37">
                  <c:v>42179</c:v>
                </c:pt>
                <c:pt idx="38">
                  <c:v>42180</c:v>
                </c:pt>
                <c:pt idx="39">
                  <c:v>42181</c:v>
                </c:pt>
                <c:pt idx="40">
                  <c:v>42184</c:v>
                </c:pt>
                <c:pt idx="41">
                  <c:v>42185</c:v>
                </c:pt>
                <c:pt idx="42">
                  <c:v>42186</c:v>
                </c:pt>
                <c:pt idx="43">
                  <c:v>42187</c:v>
                </c:pt>
                <c:pt idx="44">
                  <c:v>42188</c:v>
                </c:pt>
                <c:pt idx="45">
                  <c:v>42191</c:v>
                </c:pt>
                <c:pt idx="46">
                  <c:v>42192</c:v>
                </c:pt>
                <c:pt idx="47">
                  <c:v>42193</c:v>
                </c:pt>
                <c:pt idx="48">
                  <c:v>42194</c:v>
                </c:pt>
                <c:pt idx="49">
                  <c:v>42195</c:v>
                </c:pt>
                <c:pt idx="50">
                  <c:v>42198</c:v>
                </c:pt>
                <c:pt idx="51">
                  <c:v>42199</c:v>
                </c:pt>
                <c:pt idx="52">
                  <c:v>42200</c:v>
                </c:pt>
                <c:pt idx="53">
                  <c:v>42201</c:v>
                </c:pt>
                <c:pt idx="54">
                  <c:v>42202</c:v>
                </c:pt>
                <c:pt idx="55">
                  <c:v>42205</c:v>
                </c:pt>
                <c:pt idx="56">
                  <c:v>42206</c:v>
                </c:pt>
                <c:pt idx="57">
                  <c:v>42207</c:v>
                </c:pt>
                <c:pt idx="58">
                  <c:v>42208</c:v>
                </c:pt>
                <c:pt idx="59">
                  <c:v>42209</c:v>
                </c:pt>
                <c:pt idx="60">
                  <c:v>42212</c:v>
                </c:pt>
                <c:pt idx="61">
                  <c:v>42213</c:v>
                </c:pt>
                <c:pt idx="62">
                  <c:v>42214</c:v>
                </c:pt>
                <c:pt idx="63">
                  <c:v>42215</c:v>
                </c:pt>
                <c:pt idx="64">
                  <c:v>42216</c:v>
                </c:pt>
                <c:pt idx="65">
                  <c:v>42219</c:v>
                </c:pt>
                <c:pt idx="66">
                  <c:v>42220</c:v>
                </c:pt>
                <c:pt idx="67">
                  <c:v>42221</c:v>
                </c:pt>
                <c:pt idx="68">
                  <c:v>42222</c:v>
                </c:pt>
                <c:pt idx="69">
                  <c:v>42223</c:v>
                </c:pt>
                <c:pt idx="70">
                  <c:v>42226</c:v>
                </c:pt>
                <c:pt idx="71">
                  <c:v>42227</c:v>
                </c:pt>
                <c:pt idx="72">
                  <c:v>42228</c:v>
                </c:pt>
                <c:pt idx="73">
                  <c:v>42229</c:v>
                </c:pt>
                <c:pt idx="74">
                  <c:v>42230</c:v>
                </c:pt>
                <c:pt idx="75">
                  <c:v>42233</c:v>
                </c:pt>
                <c:pt idx="76">
                  <c:v>42234</c:v>
                </c:pt>
                <c:pt idx="77">
                  <c:v>42235</c:v>
                </c:pt>
                <c:pt idx="78">
                  <c:v>42236</c:v>
                </c:pt>
                <c:pt idx="79">
                  <c:v>42237</c:v>
                </c:pt>
                <c:pt idx="80">
                  <c:v>42240</c:v>
                </c:pt>
                <c:pt idx="81">
                  <c:v>42241</c:v>
                </c:pt>
                <c:pt idx="82">
                  <c:v>42242</c:v>
                </c:pt>
                <c:pt idx="83">
                  <c:v>42243</c:v>
                </c:pt>
                <c:pt idx="84">
                  <c:v>42244</c:v>
                </c:pt>
                <c:pt idx="85">
                  <c:v>42248</c:v>
                </c:pt>
                <c:pt idx="86">
                  <c:v>42249</c:v>
                </c:pt>
                <c:pt idx="87">
                  <c:v>42250</c:v>
                </c:pt>
                <c:pt idx="88">
                  <c:v>42251</c:v>
                </c:pt>
                <c:pt idx="89">
                  <c:v>42254</c:v>
                </c:pt>
                <c:pt idx="90">
                  <c:v>42255</c:v>
                </c:pt>
                <c:pt idx="91">
                  <c:v>42256</c:v>
                </c:pt>
                <c:pt idx="92">
                  <c:v>42257</c:v>
                </c:pt>
                <c:pt idx="93">
                  <c:v>42258</c:v>
                </c:pt>
                <c:pt idx="94">
                  <c:v>42261</c:v>
                </c:pt>
                <c:pt idx="95">
                  <c:v>42262</c:v>
                </c:pt>
                <c:pt idx="96">
                  <c:v>42263</c:v>
                </c:pt>
                <c:pt idx="97">
                  <c:v>42264</c:v>
                </c:pt>
                <c:pt idx="98">
                  <c:v>42265</c:v>
                </c:pt>
                <c:pt idx="99">
                  <c:v>42268</c:v>
                </c:pt>
                <c:pt idx="100">
                  <c:v>42269</c:v>
                </c:pt>
                <c:pt idx="101">
                  <c:v>42270</c:v>
                </c:pt>
                <c:pt idx="102">
                  <c:v>42271</c:v>
                </c:pt>
                <c:pt idx="103">
                  <c:v>42272</c:v>
                </c:pt>
                <c:pt idx="104">
                  <c:v>42275</c:v>
                </c:pt>
                <c:pt idx="105">
                  <c:v>42276</c:v>
                </c:pt>
                <c:pt idx="106">
                  <c:v>42277</c:v>
                </c:pt>
                <c:pt idx="107">
                  <c:v>42278</c:v>
                </c:pt>
                <c:pt idx="108">
                  <c:v>42279</c:v>
                </c:pt>
                <c:pt idx="109">
                  <c:v>42282</c:v>
                </c:pt>
                <c:pt idx="110">
                  <c:v>42283</c:v>
                </c:pt>
                <c:pt idx="111">
                  <c:v>42284</c:v>
                </c:pt>
                <c:pt idx="112">
                  <c:v>42285</c:v>
                </c:pt>
                <c:pt idx="113">
                  <c:v>42286</c:v>
                </c:pt>
                <c:pt idx="114">
                  <c:v>42289</c:v>
                </c:pt>
                <c:pt idx="115">
                  <c:v>42290</c:v>
                </c:pt>
                <c:pt idx="116">
                  <c:v>42291</c:v>
                </c:pt>
                <c:pt idx="117">
                  <c:v>42292</c:v>
                </c:pt>
                <c:pt idx="118">
                  <c:v>42293</c:v>
                </c:pt>
                <c:pt idx="119">
                  <c:v>42296</c:v>
                </c:pt>
                <c:pt idx="120">
                  <c:v>42297</c:v>
                </c:pt>
                <c:pt idx="121">
                  <c:v>42298</c:v>
                </c:pt>
                <c:pt idx="122">
                  <c:v>42299</c:v>
                </c:pt>
                <c:pt idx="123">
                  <c:v>42300</c:v>
                </c:pt>
                <c:pt idx="124">
                  <c:v>42303</c:v>
                </c:pt>
                <c:pt idx="125">
                  <c:v>42304</c:v>
                </c:pt>
                <c:pt idx="126">
                  <c:v>42305</c:v>
                </c:pt>
                <c:pt idx="127">
                  <c:v>42306</c:v>
                </c:pt>
                <c:pt idx="128">
                  <c:v>42307</c:v>
                </c:pt>
                <c:pt idx="129">
                  <c:v>42310</c:v>
                </c:pt>
                <c:pt idx="130">
                  <c:v>42311</c:v>
                </c:pt>
                <c:pt idx="131">
                  <c:v>42312</c:v>
                </c:pt>
                <c:pt idx="132">
                  <c:v>42313</c:v>
                </c:pt>
                <c:pt idx="133">
                  <c:v>42314</c:v>
                </c:pt>
                <c:pt idx="134">
                  <c:v>42317</c:v>
                </c:pt>
                <c:pt idx="135">
                  <c:v>42318</c:v>
                </c:pt>
                <c:pt idx="136">
                  <c:v>42319</c:v>
                </c:pt>
                <c:pt idx="137">
                  <c:v>42320</c:v>
                </c:pt>
                <c:pt idx="138">
                  <c:v>42321</c:v>
                </c:pt>
                <c:pt idx="139">
                  <c:v>42324</c:v>
                </c:pt>
                <c:pt idx="140">
                  <c:v>42325</c:v>
                </c:pt>
                <c:pt idx="141">
                  <c:v>42326</c:v>
                </c:pt>
                <c:pt idx="142">
                  <c:v>42327</c:v>
                </c:pt>
                <c:pt idx="143">
                  <c:v>42328</c:v>
                </c:pt>
                <c:pt idx="144">
                  <c:v>42331</c:v>
                </c:pt>
                <c:pt idx="145">
                  <c:v>42332</c:v>
                </c:pt>
                <c:pt idx="146">
                  <c:v>42333</c:v>
                </c:pt>
                <c:pt idx="147">
                  <c:v>42334</c:v>
                </c:pt>
                <c:pt idx="148">
                  <c:v>42335</c:v>
                </c:pt>
                <c:pt idx="149">
                  <c:v>42338</c:v>
                </c:pt>
                <c:pt idx="150">
                  <c:v>42339</c:v>
                </c:pt>
                <c:pt idx="151">
                  <c:v>42340</c:v>
                </c:pt>
                <c:pt idx="152">
                  <c:v>42341</c:v>
                </c:pt>
                <c:pt idx="153">
                  <c:v>42342</c:v>
                </c:pt>
                <c:pt idx="154">
                  <c:v>42345</c:v>
                </c:pt>
                <c:pt idx="155">
                  <c:v>42346</c:v>
                </c:pt>
                <c:pt idx="156">
                  <c:v>42347</c:v>
                </c:pt>
                <c:pt idx="157">
                  <c:v>42348</c:v>
                </c:pt>
                <c:pt idx="158">
                  <c:v>42349</c:v>
                </c:pt>
                <c:pt idx="159">
                  <c:v>42352</c:v>
                </c:pt>
                <c:pt idx="160">
                  <c:v>42353</c:v>
                </c:pt>
                <c:pt idx="161">
                  <c:v>42354</c:v>
                </c:pt>
                <c:pt idx="162">
                  <c:v>42355</c:v>
                </c:pt>
                <c:pt idx="163">
                  <c:v>42356</c:v>
                </c:pt>
                <c:pt idx="164">
                  <c:v>42359</c:v>
                </c:pt>
                <c:pt idx="165">
                  <c:v>42360</c:v>
                </c:pt>
                <c:pt idx="166">
                  <c:v>42361</c:v>
                </c:pt>
                <c:pt idx="167">
                  <c:v>42362</c:v>
                </c:pt>
                <c:pt idx="168">
                  <c:v>42367</c:v>
                </c:pt>
                <c:pt idx="169">
                  <c:v>42368</c:v>
                </c:pt>
                <c:pt idx="170">
                  <c:v>42369</c:v>
                </c:pt>
                <c:pt idx="171">
                  <c:v>42373</c:v>
                </c:pt>
                <c:pt idx="172">
                  <c:v>42374</c:v>
                </c:pt>
                <c:pt idx="173">
                  <c:v>42375</c:v>
                </c:pt>
                <c:pt idx="174">
                  <c:v>42376</c:v>
                </c:pt>
                <c:pt idx="175">
                  <c:v>42377</c:v>
                </c:pt>
                <c:pt idx="176">
                  <c:v>42380</c:v>
                </c:pt>
                <c:pt idx="177">
                  <c:v>42381</c:v>
                </c:pt>
                <c:pt idx="178">
                  <c:v>42382</c:v>
                </c:pt>
                <c:pt idx="179">
                  <c:v>42383</c:v>
                </c:pt>
                <c:pt idx="180">
                  <c:v>42384</c:v>
                </c:pt>
                <c:pt idx="181">
                  <c:v>42387</c:v>
                </c:pt>
                <c:pt idx="182">
                  <c:v>42388</c:v>
                </c:pt>
                <c:pt idx="183">
                  <c:v>42389</c:v>
                </c:pt>
                <c:pt idx="184">
                  <c:v>42390</c:v>
                </c:pt>
                <c:pt idx="185">
                  <c:v>42391</c:v>
                </c:pt>
                <c:pt idx="186">
                  <c:v>42394</c:v>
                </c:pt>
                <c:pt idx="187">
                  <c:v>42395</c:v>
                </c:pt>
                <c:pt idx="188">
                  <c:v>42396</c:v>
                </c:pt>
                <c:pt idx="189">
                  <c:v>42397</c:v>
                </c:pt>
                <c:pt idx="190">
                  <c:v>42398</c:v>
                </c:pt>
                <c:pt idx="191">
                  <c:v>42401</c:v>
                </c:pt>
                <c:pt idx="192">
                  <c:v>42402</c:v>
                </c:pt>
                <c:pt idx="193">
                  <c:v>42403</c:v>
                </c:pt>
                <c:pt idx="194">
                  <c:v>42404</c:v>
                </c:pt>
                <c:pt idx="195">
                  <c:v>42405</c:v>
                </c:pt>
                <c:pt idx="196">
                  <c:v>42408</c:v>
                </c:pt>
                <c:pt idx="197">
                  <c:v>42409</c:v>
                </c:pt>
                <c:pt idx="198">
                  <c:v>42410</c:v>
                </c:pt>
                <c:pt idx="199">
                  <c:v>42411</c:v>
                </c:pt>
                <c:pt idx="200">
                  <c:v>42412</c:v>
                </c:pt>
                <c:pt idx="201">
                  <c:v>42415</c:v>
                </c:pt>
                <c:pt idx="202">
                  <c:v>42416</c:v>
                </c:pt>
                <c:pt idx="203">
                  <c:v>42417</c:v>
                </c:pt>
                <c:pt idx="204">
                  <c:v>42418</c:v>
                </c:pt>
                <c:pt idx="205">
                  <c:v>42419</c:v>
                </c:pt>
                <c:pt idx="206">
                  <c:v>42422</c:v>
                </c:pt>
                <c:pt idx="207">
                  <c:v>42423</c:v>
                </c:pt>
                <c:pt idx="208">
                  <c:v>42424</c:v>
                </c:pt>
                <c:pt idx="209">
                  <c:v>42425</c:v>
                </c:pt>
                <c:pt idx="210">
                  <c:v>42426</c:v>
                </c:pt>
                <c:pt idx="211">
                  <c:v>42429</c:v>
                </c:pt>
                <c:pt idx="212">
                  <c:v>42430</c:v>
                </c:pt>
                <c:pt idx="213">
                  <c:v>42431</c:v>
                </c:pt>
                <c:pt idx="214">
                  <c:v>42432</c:v>
                </c:pt>
                <c:pt idx="215">
                  <c:v>42433</c:v>
                </c:pt>
                <c:pt idx="216">
                  <c:v>42436</c:v>
                </c:pt>
                <c:pt idx="217">
                  <c:v>42437</c:v>
                </c:pt>
                <c:pt idx="218">
                  <c:v>42438</c:v>
                </c:pt>
                <c:pt idx="219">
                  <c:v>42439</c:v>
                </c:pt>
                <c:pt idx="220">
                  <c:v>42440</c:v>
                </c:pt>
                <c:pt idx="221">
                  <c:v>42443</c:v>
                </c:pt>
                <c:pt idx="222">
                  <c:v>42444</c:v>
                </c:pt>
                <c:pt idx="223">
                  <c:v>42445</c:v>
                </c:pt>
                <c:pt idx="224">
                  <c:v>42446</c:v>
                </c:pt>
                <c:pt idx="225">
                  <c:v>42447</c:v>
                </c:pt>
                <c:pt idx="226">
                  <c:v>42450</c:v>
                </c:pt>
                <c:pt idx="227">
                  <c:v>42451</c:v>
                </c:pt>
                <c:pt idx="228">
                  <c:v>42452</c:v>
                </c:pt>
                <c:pt idx="229">
                  <c:v>42453</c:v>
                </c:pt>
                <c:pt idx="230">
                  <c:v>42458</c:v>
                </c:pt>
                <c:pt idx="231">
                  <c:v>42459</c:v>
                </c:pt>
                <c:pt idx="232">
                  <c:v>42460</c:v>
                </c:pt>
                <c:pt idx="233">
                  <c:v>42461</c:v>
                </c:pt>
                <c:pt idx="234">
                  <c:v>42464</c:v>
                </c:pt>
                <c:pt idx="235">
                  <c:v>42465</c:v>
                </c:pt>
                <c:pt idx="236">
                  <c:v>42466</c:v>
                </c:pt>
                <c:pt idx="237">
                  <c:v>42467</c:v>
                </c:pt>
                <c:pt idx="238">
                  <c:v>42468</c:v>
                </c:pt>
                <c:pt idx="239">
                  <c:v>42471</c:v>
                </c:pt>
                <c:pt idx="240">
                  <c:v>42472</c:v>
                </c:pt>
                <c:pt idx="241">
                  <c:v>42473</c:v>
                </c:pt>
                <c:pt idx="242">
                  <c:v>42474</c:v>
                </c:pt>
                <c:pt idx="243">
                  <c:v>42475</c:v>
                </c:pt>
                <c:pt idx="244">
                  <c:v>42478</c:v>
                </c:pt>
                <c:pt idx="245">
                  <c:v>42479</c:v>
                </c:pt>
                <c:pt idx="246">
                  <c:v>42480</c:v>
                </c:pt>
                <c:pt idx="247">
                  <c:v>42481</c:v>
                </c:pt>
                <c:pt idx="248">
                  <c:v>42482</c:v>
                </c:pt>
                <c:pt idx="249">
                  <c:v>42485</c:v>
                </c:pt>
                <c:pt idx="250">
                  <c:v>42486</c:v>
                </c:pt>
                <c:pt idx="251">
                  <c:v>42487</c:v>
                </c:pt>
                <c:pt idx="252">
                  <c:v>42488</c:v>
                </c:pt>
                <c:pt idx="253">
                  <c:v>42489</c:v>
                </c:pt>
                <c:pt idx="254">
                  <c:v>42493</c:v>
                </c:pt>
              </c:numCache>
            </c:numRef>
          </c:cat>
          <c:val>
            <c:numRef>
              <c:f>'1YSynthDepo'!$AF$3:$AF$257</c:f>
              <c:numCache>
                <c:formatCode>0.0000%</c:formatCode>
                <c:ptCount val="255"/>
                <c:pt idx="0">
                  <c:v>2.5348813069399311E-3</c:v>
                </c:pt>
                <c:pt idx="1">
                  <c:v>2.5554033067138925E-3</c:v>
                </c:pt>
                <c:pt idx="2">
                  <c:v>2.6367774043646354E-3</c:v>
                </c:pt>
                <c:pt idx="3">
                  <c:v>2.656942453416045E-3</c:v>
                </c:pt>
                <c:pt idx="4">
                  <c:v>2.677036112322945E-3</c:v>
                </c:pt>
                <c:pt idx="5">
                  <c:v>2.6970583810853339E-3</c:v>
                </c:pt>
                <c:pt idx="6">
                  <c:v>2.7566968465054385E-3</c:v>
                </c:pt>
                <c:pt idx="7">
                  <c:v>2.7764335546897863E-3</c:v>
                </c:pt>
                <c:pt idx="8">
                  <c:v>2.7960988727296237E-3</c:v>
                </c:pt>
                <c:pt idx="9">
                  <c:v>2.8156928006249503E-3</c:v>
                </c:pt>
                <c:pt idx="10">
                  <c:v>2.8352153383757674E-3</c:v>
                </c:pt>
                <c:pt idx="11">
                  <c:v>2.8933546107611547E-3</c:v>
                </c:pt>
                <c:pt idx="12">
                  <c:v>2.9125915879339294E-3</c:v>
                </c:pt>
                <c:pt idx="13">
                  <c:v>2.9317571749621946E-3</c:v>
                </c:pt>
                <c:pt idx="14">
                  <c:v>2.9508513718459486E-3</c:v>
                </c:pt>
                <c:pt idx="15">
                  <c:v>2.9698741785851926E-3</c:v>
                </c:pt>
                <c:pt idx="16">
                  <c:v>3.045251504097065E-3</c:v>
                </c:pt>
                <c:pt idx="17">
                  <c:v>3.0639173601137572E-3</c:v>
                </c:pt>
                <c:pt idx="18">
                  <c:v>3.082511825985939E-3</c:v>
                </c:pt>
                <c:pt idx="19">
                  <c:v>3.1010349017136104E-3</c:v>
                </c:pt>
                <c:pt idx="20">
                  <c:v>3.1561757880295624E-3</c:v>
                </c:pt>
                <c:pt idx="21">
                  <c:v>3.1744133031791927E-3</c:v>
                </c:pt>
                <c:pt idx="22">
                  <c:v>3.1925794281843123E-3</c:v>
                </c:pt>
                <c:pt idx="23">
                  <c:v>3.2106741630449215E-3</c:v>
                </c:pt>
                <c:pt idx="24">
                  <c:v>3.2286975077610207E-3</c:v>
                </c:pt>
                <c:pt idx="25">
                  <c:v>3.2823392010422549E-3</c:v>
                </c:pt>
                <c:pt idx="26">
                  <c:v>3.3000769851803122E-3</c:v>
                </c:pt>
                <c:pt idx="27">
                  <c:v>3.3177433791738591E-3</c:v>
                </c:pt>
                <c:pt idx="28">
                  <c:v>3.3353383830228961E-3</c:v>
                </c:pt>
                <c:pt idx="29">
                  <c:v>3.3528619967274228E-3</c:v>
                </c:pt>
                <c:pt idx="30">
                  <c:v>3.4050044969739395E-3</c:v>
                </c:pt>
                <c:pt idx="31">
                  <c:v>3.4222425501004247E-3</c:v>
                </c:pt>
                <c:pt idx="32">
                  <c:v>3.439409213082399E-3</c:v>
                </c:pt>
                <c:pt idx="33">
                  <c:v>3.4565044859198634E-3</c:v>
                </c:pt>
                <c:pt idx="34">
                  <c:v>3.473528368612817E-3</c:v>
                </c:pt>
                <c:pt idx="35">
                  <c:v>3.5241716758246163E-3</c:v>
                </c:pt>
                <c:pt idx="36">
                  <c:v>3.5409099979395284E-3</c:v>
                </c:pt>
                <c:pt idx="37">
                  <c:v>3.5575769299099305E-3</c:v>
                </c:pt>
                <c:pt idx="38">
                  <c:v>3.5741724717358227E-3</c:v>
                </c:pt>
                <c:pt idx="39">
                  <c:v>3.5906966234172033E-3</c:v>
                </c:pt>
                <c:pt idx="40">
                  <c:v>3.6398407375942848E-3</c:v>
                </c:pt>
                <c:pt idx="41">
                  <c:v>3.6560793286976251E-3</c:v>
                </c:pt>
                <c:pt idx="42">
                  <c:v>3.6722465296564546E-3</c:v>
                </c:pt>
                <c:pt idx="43">
                  <c:v>3.6883423404707738E-3</c:v>
                </c:pt>
                <c:pt idx="44">
                  <c:v>3.7043667611405822E-3</c:v>
                </c:pt>
                <c:pt idx="45">
                  <c:v>3.7520116822829463E-3</c:v>
                </c:pt>
                <c:pt idx="46">
                  <c:v>3.7677505423747135E-3</c:v>
                </c:pt>
                <c:pt idx="47">
                  <c:v>3.7834180123219709E-3</c:v>
                </c:pt>
                <c:pt idx="48">
                  <c:v>3.799014092124717E-3</c:v>
                </c:pt>
                <c:pt idx="49">
                  <c:v>3.8145387817829536E-3</c:v>
                </c:pt>
                <c:pt idx="50">
                  <c:v>3.8606845098905999E-3</c:v>
                </c:pt>
                <c:pt idx="51">
                  <c:v>3.875923638970795E-3</c:v>
                </c:pt>
                <c:pt idx="52">
                  <c:v>3.8910913779064784E-3</c:v>
                </c:pt>
                <c:pt idx="53">
                  <c:v>3.9061877266976528E-3</c:v>
                </c:pt>
                <c:pt idx="54">
                  <c:v>3.9212126853443163E-3</c:v>
                </c:pt>
                <c:pt idx="55">
                  <c:v>3.9658592204172456E-3</c:v>
                </c:pt>
                <c:pt idx="56">
                  <c:v>3.9805986184858668E-3</c:v>
                </c:pt>
                <c:pt idx="57">
                  <c:v>3.9952666264099802E-3</c:v>
                </c:pt>
                <c:pt idx="58">
                  <c:v>4.0098632441895807E-3</c:v>
                </c:pt>
                <c:pt idx="59">
                  <c:v>4.0243884718246716E-3</c:v>
                </c:pt>
                <c:pt idx="60">
                  <c:v>4.0675358138628831E-3</c:v>
                </c:pt>
                <c:pt idx="61">
                  <c:v>4.0817754809199334E-3</c:v>
                </c:pt>
                <c:pt idx="62">
                  <c:v>4.0959437578324724E-3</c:v>
                </c:pt>
                <c:pt idx="63">
                  <c:v>4.1100406446005011E-3</c:v>
                </c:pt>
                <c:pt idx="64">
                  <c:v>4.1240661412240203E-3</c:v>
                </c:pt>
                <c:pt idx="65">
                  <c:v>4.1657142902275139E-3</c:v>
                </c:pt>
                <c:pt idx="66">
                  <c:v>4.1794542262729899E-3</c:v>
                </c:pt>
                <c:pt idx="67">
                  <c:v>4.1931227721739572E-3</c:v>
                </c:pt>
                <c:pt idx="68">
                  <c:v>4.2067199279304142E-3</c:v>
                </c:pt>
                <c:pt idx="69">
                  <c:v>4.220245693542359E-3</c:v>
                </c:pt>
                <c:pt idx="70">
                  <c:v>4.2603946495111348E-3</c:v>
                </c:pt>
                <c:pt idx="71">
                  <c:v>4.2736348545450399E-3</c:v>
                </c:pt>
                <c:pt idx="72">
                  <c:v>4.2868036694344346E-3</c:v>
                </c:pt>
                <c:pt idx="73">
                  <c:v>4.2999010941793181E-3</c:v>
                </c:pt>
                <c:pt idx="74">
                  <c:v>4.3129271287796912E-3</c:v>
                </c:pt>
                <c:pt idx="75">
                  <c:v>4.3515768917137499E-3</c:v>
                </c:pt>
                <c:pt idx="76">
                  <c:v>4.3643173657360824E-3</c:v>
                </c:pt>
                <c:pt idx="77">
                  <c:v>4.3769864496139036E-3</c:v>
                </c:pt>
                <c:pt idx="78">
                  <c:v>4.3895841433472154E-3</c:v>
                </c:pt>
                <c:pt idx="79">
                  <c:v>4.4021104469360159E-3</c:v>
                </c:pt>
                <c:pt idx="80">
                  <c:v>4.4392610168353568E-3</c:v>
                </c:pt>
                <c:pt idx="81">
                  <c:v>4.4515017598461167E-3</c:v>
                </c:pt>
                <c:pt idx="82">
                  <c:v>4.4636711127123661E-3</c:v>
                </c:pt>
                <c:pt idx="83">
                  <c:v>4.4757690754341044E-3</c:v>
                </c:pt>
                <c:pt idx="84">
                  <c:v>4.4877956480113314E-3</c:v>
                </c:pt>
                <c:pt idx="85">
                  <c:v>4.5351880368751426E-3</c:v>
                </c:pt>
                <c:pt idx="86">
                  <c:v>4.5468576587298186E-3</c:v>
                </c:pt>
                <c:pt idx="87">
                  <c:v>4.5584558904399851E-3</c:v>
                </c:pt>
                <c:pt idx="88">
                  <c:v>4.5699827320056412E-3</c:v>
                </c:pt>
                <c:pt idx="89">
                  <c:v>4.6041349158355465E-3</c:v>
                </c:pt>
                <c:pt idx="90">
                  <c:v>4.6153761968231602E-3</c:v>
                </c:pt>
                <c:pt idx="91">
                  <c:v>4.6265460876662653E-3</c:v>
                </c:pt>
                <c:pt idx="92">
                  <c:v>4.6376445883648592E-3</c:v>
                </c:pt>
                <c:pt idx="93">
                  <c:v>4.6486716989189419E-3</c:v>
                </c:pt>
                <c:pt idx="94">
                  <c:v>4.6813246897141293E-3</c:v>
                </c:pt>
                <c:pt idx="95">
                  <c:v>4.6920662396901722E-3</c:v>
                </c:pt>
                <c:pt idx="96">
                  <c:v>4.7027363995217029E-3</c:v>
                </c:pt>
                <c:pt idx="97">
                  <c:v>4.7133351692087242E-3</c:v>
                </c:pt>
                <c:pt idx="98">
                  <c:v>4.723862548751236E-3</c:v>
                </c:pt>
                <c:pt idx="99">
                  <c:v>4.7550163465117055E-3</c:v>
                </c:pt>
                <c:pt idx="100">
                  <c:v>4.7652581654761749E-3</c:v>
                </c:pt>
                <c:pt idx="101">
                  <c:v>4.775428594296134E-3</c:v>
                </c:pt>
                <c:pt idx="102">
                  <c:v>4.7855276329715826E-3</c:v>
                </c:pt>
                <c:pt idx="103">
                  <c:v>4.79555528150252E-3</c:v>
                </c:pt>
                <c:pt idx="104">
                  <c:v>4.8252098862282726E-3</c:v>
                </c:pt>
                <c:pt idx="105">
                  <c:v>4.8349519741811703E-3</c:v>
                </c:pt>
                <c:pt idx="106">
                  <c:v>4.8446226719895567E-3</c:v>
                </c:pt>
                <c:pt idx="107">
                  <c:v>4.8542219796534319E-3</c:v>
                </c:pt>
                <c:pt idx="108">
                  <c:v>4.8637498971727984E-3</c:v>
                </c:pt>
                <c:pt idx="109">
                  <c:v>4.8919053088638332E-3</c:v>
                </c:pt>
                <c:pt idx="110">
                  <c:v>4.9011476658051573E-3</c:v>
                </c:pt>
                <c:pt idx="111">
                  <c:v>4.9103186326019711E-3</c:v>
                </c:pt>
                <c:pt idx="112">
                  <c:v>4.9194182092542754E-3</c:v>
                </c:pt>
                <c:pt idx="113">
                  <c:v>4.9284463957620676E-3</c:v>
                </c:pt>
                <c:pt idx="114">
                  <c:v>4.9551026144183854E-3</c:v>
                </c:pt>
                <c:pt idx="115">
                  <c:v>4.9638452403481369E-3</c:v>
                </c:pt>
                <c:pt idx="116">
                  <c:v>4.972516476133379E-3</c:v>
                </c:pt>
                <c:pt idx="117">
                  <c:v>4.9811163217741089E-3</c:v>
                </c:pt>
                <c:pt idx="118">
                  <c:v>4.9896447772703294E-3</c:v>
                </c:pt>
                <c:pt idx="119">
                  <c:v>5.0148018028919293E-3</c:v>
                </c:pt>
                <c:pt idx="120">
                  <c:v>5.0230446978101091E-3</c:v>
                </c:pt>
                <c:pt idx="121">
                  <c:v>5.0312162025837777E-3</c:v>
                </c:pt>
                <c:pt idx="122">
                  <c:v>5.039316317212935E-3</c:v>
                </c:pt>
                <c:pt idx="123">
                  <c:v>5.0473450416975846E-3</c:v>
                </c:pt>
                <c:pt idx="124">
                  <c:v>5.0710028742844667E-3</c:v>
                </c:pt>
                <c:pt idx="125">
                  <c:v>5.0787460381910721E-3</c:v>
                </c:pt>
                <c:pt idx="126">
                  <c:v>5.086417811953169E-3</c:v>
                </c:pt>
                <c:pt idx="127">
                  <c:v>5.0940181955707554E-3</c:v>
                </c:pt>
                <c:pt idx="128">
                  <c:v>5.1015471890438306E-3</c:v>
                </c:pt>
                <c:pt idx="129">
                  <c:v>5.1237058285959949E-3</c:v>
                </c:pt>
                <c:pt idx="130">
                  <c:v>5.1309492614910286E-3</c:v>
                </c:pt>
                <c:pt idx="131">
                  <c:v>5.1381213042415528E-3</c:v>
                </c:pt>
                <c:pt idx="132">
                  <c:v>5.1452219568475658E-3</c:v>
                </c:pt>
                <c:pt idx="133">
                  <c:v>5.1522512193090692E-3</c:v>
                </c:pt>
                <c:pt idx="134">
                  <c:v>5.1729106658265165E-3</c:v>
                </c:pt>
                <c:pt idx="135">
                  <c:v>5.1796543677099776E-3</c:v>
                </c:pt>
                <c:pt idx="136">
                  <c:v>5.1863266794489292E-3</c:v>
                </c:pt>
                <c:pt idx="137">
                  <c:v>5.1929276010433695E-3</c:v>
                </c:pt>
                <c:pt idx="138">
                  <c:v>5.1994571324932995E-3</c:v>
                </c:pt>
                <c:pt idx="139">
                  <c:v>5.218617385976029E-3</c:v>
                </c:pt>
                <c:pt idx="140">
                  <c:v>5.2248613568479174E-3</c:v>
                </c:pt>
                <c:pt idx="141">
                  <c:v>5.2310339375752964E-3</c:v>
                </c:pt>
                <c:pt idx="142">
                  <c:v>5.237135128158165E-3</c:v>
                </c:pt>
                <c:pt idx="143">
                  <c:v>5.2431649285965233E-3</c:v>
                </c:pt>
                <c:pt idx="144">
                  <c:v>5.260825989044534E-3</c:v>
                </c:pt>
                <c:pt idx="145">
                  <c:v>5.2665702289048516E-3</c:v>
                </c:pt>
                <c:pt idx="146">
                  <c:v>5.2722430786206571E-3</c:v>
                </c:pt>
                <c:pt idx="147">
                  <c:v>5.2778445381919531E-3</c:v>
                </c:pt>
                <c:pt idx="148">
                  <c:v>5.2833746076187378E-3</c:v>
                </c:pt>
                <c:pt idx="149">
                  <c:v>5.2995364750320325E-3</c:v>
                </c:pt>
                <c:pt idx="150">
                  <c:v>5.3047809838807766E-3</c:v>
                </c:pt>
                <c:pt idx="151">
                  <c:v>5.3099541025850095E-3</c:v>
                </c:pt>
                <c:pt idx="152">
                  <c:v>5.3150558311447329E-3</c:v>
                </c:pt>
                <c:pt idx="153">
                  <c:v>5.320086169559945E-3</c:v>
                </c:pt>
                <c:pt idx="154">
                  <c:v>5.3347488439385218E-3</c:v>
                </c:pt>
                <c:pt idx="155">
                  <c:v>5.3394936217756941E-3</c:v>
                </c:pt>
                <c:pt idx="156">
                  <c:v>5.3441670094683544E-3</c:v>
                </c:pt>
                <c:pt idx="157">
                  <c:v>5.3487690070165052E-3</c:v>
                </c:pt>
                <c:pt idx="158">
                  <c:v>5.3532996144201456E-3</c:v>
                </c:pt>
                <c:pt idx="159">
                  <c:v>5.3664630957640036E-3</c:v>
                </c:pt>
                <c:pt idx="160">
                  <c:v>5.3707081425896034E-3</c:v>
                </c:pt>
                <c:pt idx="161">
                  <c:v>5.3748817992706911E-3</c:v>
                </c:pt>
                <c:pt idx="162">
                  <c:v>5.3789840658072692E-3</c:v>
                </c:pt>
                <c:pt idx="163">
                  <c:v>5.3830149421993378E-3</c:v>
                </c:pt>
                <c:pt idx="164">
                  <c:v>5.3946792305084781E-3</c:v>
                </c:pt>
                <c:pt idx="165">
                  <c:v>5.3984245463225044E-3</c:v>
                </c:pt>
                <c:pt idx="166">
                  <c:v>5.4020984719920211E-3</c:v>
                </c:pt>
                <c:pt idx="167">
                  <c:v>5.4057010075170258E-3</c:v>
                </c:pt>
                <c:pt idx="168">
                  <c:v>5.4226428329743979E-3</c:v>
                </c:pt>
                <c:pt idx="169">
                  <c:v>5.425817027632342E-3</c:v>
                </c:pt>
                <c:pt idx="170">
                  <c:v>5.428919832145775E-3</c:v>
                </c:pt>
                <c:pt idx="171">
                  <c:v>5.4406171487544029E-3</c:v>
                </c:pt>
                <c:pt idx="172">
                  <c:v>5.4433630025452848E-3</c:v>
                </c:pt>
                <c:pt idx="173">
                  <c:v>5.4460374661916555E-3</c:v>
                </c:pt>
                <c:pt idx="174">
                  <c:v>5.448640539693515E-3</c:v>
                </c:pt>
                <c:pt idx="175">
                  <c:v>5.4511722230508666E-3</c:v>
                </c:pt>
                <c:pt idx="176">
                  <c:v>5.4583389322558542E-3</c:v>
                </c:pt>
                <c:pt idx="177">
                  <c:v>5.4605850550351618E-3</c:v>
                </c:pt>
                <c:pt idx="178">
                  <c:v>5.4627597876699616E-3</c:v>
                </c:pt>
                <c:pt idx="179">
                  <c:v>5.464863130160251E-3</c:v>
                </c:pt>
                <c:pt idx="180">
                  <c:v>5.4668950825060274E-3</c:v>
                </c:pt>
                <c:pt idx="181">
                  <c:v>5.472562598676298E-3</c:v>
                </c:pt>
                <c:pt idx="182">
                  <c:v>5.474308990444033E-3</c:v>
                </c:pt>
                <c:pt idx="183">
                  <c:v>5.4759839920672602E-3</c:v>
                </c:pt>
                <c:pt idx="184">
                  <c:v>5.4775876035459744E-3</c:v>
                </c:pt>
                <c:pt idx="185">
                  <c:v>5.4791198248801791E-3</c:v>
                </c:pt>
                <c:pt idx="186">
                  <c:v>5.4832881480157327E-3</c:v>
                </c:pt>
                <c:pt idx="187">
                  <c:v>5.4845348087718977E-3</c:v>
                </c:pt>
                <c:pt idx="188">
                  <c:v>5.4857100793835496E-3</c:v>
                </c:pt>
                <c:pt idx="189">
                  <c:v>5.4868139598506921E-3</c:v>
                </c:pt>
                <c:pt idx="190">
                  <c:v>5.4878464501733233E-3</c:v>
                </c:pt>
                <c:pt idx="191">
                  <c:v>5.4905155802741617E-3</c:v>
                </c:pt>
                <c:pt idx="192">
                  <c:v>5.4912625100187514E-3</c:v>
                </c:pt>
                <c:pt idx="193">
                  <c:v>5.4919380496188316E-3</c:v>
                </c:pt>
                <c:pt idx="194">
                  <c:v>5.4925421990744015E-3</c:v>
                </c:pt>
                <c:pt idx="195">
                  <c:v>5.4930749583854627E-3</c:v>
                </c:pt>
                <c:pt idx="196">
                  <c:v>5.4942448954515798E-3</c:v>
                </c:pt>
                <c:pt idx="197">
                  <c:v>5.4944920941845977E-3</c:v>
                </c:pt>
                <c:pt idx="198">
                  <c:v>5.4946679027731045E-3</c:v>
                </c:pt>
                <c:pt idx="199">
                  <c:v>5.4947723212171035E-3</c:v>
                </c:pt>
                <c:pt idx="200">
                  <c:v>5.4948053495165929E-3</c:v>
                </c:pt>
                <c:pt idx="201">
                  <c:v>5.4944760935479921E-3</c:v>
                </c:pt>
                <c:pt idx="202">
                  <c:v>5.4942235612694375E-3</c:v>
                </c:pt>
                <c:pt idx="203">
                  <c:v>5.4938996388463751E-3</c:v>
                </c:pt>
                <c:pt idx="204">
                  <c:v>5.4935043262787989E-3</c:v>
                </c:pt>
                <c:pt idx="205">
                  <c:v>5.493037623566714E-3</c:v>
                </c:pt>
                <c:pt idx="206">
                  <c:v>5.4912091745633962E-3</c:v>
                </c:pt>
                <c:pt idx="207">
                  <c:v>5.4904569112732698E-3</c:v>
                </c:pt>
                <c:pt idx="208">
                  <c:v>5.4896332578386331E-3</c:v>
                </c:pt>
                <c:pt idx="209">
                  <c:v>5.4887382142594851E-3</c:v>
                </c:pt>
                <c:pt idx="210">
                  <c:v>5.4877717805358267E-3</c:v>
                </c:pt>
                <c:pt idx="211">
                  <c:v>5.4844441384977937E-3</c:v>
                </c:pt>
                <c:pt idx="212">
                  <c:v>5.4831921441960939E-3</c:v>
                </c:pt>
                <c:pt idx="213">
                  <c:v>5.4818687597498836E-3</c:v>
                </c:pt>
                <c:pt idx="214">
                  <c:v>5.4804739851591639E-3</c:v>
                </c:pt>
                <c:pt idx="215">
                  <c:v>5.4790078204239329E-3</c:v>
                </c:pt>
                <c:pt idx="216">
                  <c:v>5.4741809853511812E-3</c:v>
                </c:pt>
                <c:pt idx="217">
                  <c:v>5.4724292600379087E-3</c:v>
                </c:pt>
                <c:pt idx="218">
                  <c:v>5.4706061445801268E-3</c:v>
                </c:pt>
                <c:pt idx="219">
                  <c:v>5.4687116389778353E-3</c:v>
                </c:pt>
                <c:pt idx="220">
                  <c:v>5.4667457432310326E-3</c:v>
                </c:pt>
                <c:pt idx="221">
                  <c:v>5.4604197151235621E-3</c:v>
                </c:pt>
                <c:pt idx="222">
                  <c:v>5.4581682587987171E-3</c:v>
                </c:pt>
                <c:pt idx="223">
                  <c:v>5.4558454123293625E-3</c:v>
                </c:pt>
                <c:pt idx="224">
                  <c:v>5.4534511757154992E-3</c:v>
                </c:pt>
                <c:pt idx="225">
                  <c:v>5.450985548957123E-3</c:v>
                </c:pt>
                <c:pt idx="226">
                  <c:v>5.4431603278149339E-3</c:v>
                </c:pt>
                <c:pt idx="227">
                  <c:v>5.4404091404785179E-3</c:v>
                </c:pt>
                <c:pt idx="228">
                  <c:v>5.4375865629975907E-3</c:v>
                </c:pt>
                <c:pt idx="229">
                  <c:v>5.434692595372154E-3</c:v>
                </c:pt>
                <c:pt idx="230">
                  <c:v>5.4191519050773114E-3</c:v>
                </c:pt>
                <c:pt idx="231">
                  <c:v>5.4158295965848115E-3</c:v>
                </c:pt>
                <c:pt idx="232">
                  <c:v>5.4124358979478005E-3</c:v>
                </c:pt>
                <c:pt idx="233">
                  <c:v>5.4089708091662799E-3</c:v>
                </c:pt>
                <c:pt idx="234">
                  <c:v>5.3981472019546568E-3</c:v>
                </c:pt>
                <c:pt idx="235">
                  <c:v>5.3943965525950956E-3</c:v>
                </c:pt>
                <c:pt idx="236">
                  <c:v>5.3905745130910232E-3</c:v>
                </c:pt>
                <c:pt idx="237">
                  <c:v>5.3866810834424395E-3</c:v>
                </c:pt>
                <c:pt idx="238">
                  <c:v>5.3827162636493481E-3</c:v>
                </c:pt>
                <c:pt idx="239">
                  <c:v>5.3703934634030072E-3</c:v>
                </c:pt>
                <c:pt idx="240">
                  <c:v>5.3661430830318725E-3</c:v>
                </c:pt>
                <c:pt idx="241">
                  <c:v>5.3618213125162274E-3</c:v>
                </c:pt>
                <c:pt idx="242">
                  <c:v>5.357428151856072E-3</c:v>
                </c:pt>
                <c:pt idx="243">
                  <c:v>5.3529636010514088E-3</c:v>
                </c:pt>
                <c:pt idx="244">
                  <c:v>5.3391416077703483E-3</c:v>
                </c:pt>
                <c:pt idx="245">
                  <c:v>5.334391496387641E-3</c:v>
                </c:pt>
                <c:pt idx="246">
                  <c:v>5.3295699948604251E-3</c:v>
                </c:pt>
                <c:pt idx="247">
                  <c:v>5.3246771031886971E-3</c:v>
                </c:pt>
                <c:pt idx="248">
                  <c:v>5.3197128213724604E-3</c:v>
                </c:pt>
                <c:pt idx="249">
                  <c:v>5.3043916350566829E-3</c:v>
                </c:pt>
                <c:pt idx="250">
                  <c:v>5.299141792662403E-3</c:v>
                </c:pt>
                <c:pt idx="251">
                  <c:v>5.2938205601236145E-3</c:v>
                </c:pt>
                <c:pt idx="252">
                  <c:v>5.2884279374403138E-3</c:v>
                </c:pt>
                <c:pt idx="253">
                  <c:v>5.2829639246125028E-3</c:v>
                </c:pt>
                <c:pt idx="254">
                  <c:v>5.2603939718561567E-3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750912"/>
        <c:axId val="129752448"/>
      </c:lineChart>
      <c:dateAx>
        <c:axId val="12975091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129752448"/>
        <c:crosses val="autoZero"/>
        <c:auto val="1"/>
        <c:lblOffset val="100"/>
        <c:baseTimeUnit val="days"/>
      </c:dateAx>
      <c:valAx>
        <c:axId val="12975244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297509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4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3M'!$F$4</c:f>
              <c:numCache>
                <c:formatCode>ddd\,\ dd\-mmm\-yyyy</c:formatCode>
                <c:ptCount val="1"/>
                <c:pt idx="0">
                  <c:v>42124</c:v>
                </c:pt>
              </c:numCache>
            </c:numRef>
          </c:xVal>
          <c:yVal>
            <c:numRef>
              <c:f>'Delta 3M'!$Q$4</c:f>
              <c:numCache>
                <c:formatCode>General</c:formatCode>
                <c:ptCount val="1"/>
                <c:pt idx="0">
                  <c:v>2.8786273474334972E-4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3M'!$F$5:$F$7</c:f>
              <c:numCache>
                <c:formatCode>ddd\,\ dd\-mmm\-yyyy</c:formatCode>
                <c:ptCount val="3"/>
                <c:pt idx="0">
                  <c:v>42153</c:v>
                </c:pt>
                <c:pt idx="1">
                  <c:v>42185</c:v>
                </c:pt>
                <c:pt idx="2">
                  <c:v>42215</c:v>
                </c:pt>
              </c:numCache>
            </c:numRef>
          </c:xVal>
          <c:yVal>
            <c:numRef>
              <c:f>'Delta 3M'!$Q$5:$Q$7</c:f>
              <c:numCache>
                <c:formatCode>General</c:formatCode>
                <c:ptCount val="3"/>
                <c:pt idx="0">
                  <c:v>3.332991490471737E-4</c:v>
                </c:pt>
                <c:pt idx="1">
                  <c:v>3.6900688942601066E-4</c:v>
                </c:pt>
                <c:pt idx="2">
                  <c:v>3.9161787713213041E-4</c:v>
                </c:pt>
              </c:numCache>
            </c:numRef>
          </c:yVal>
          <c:smooth val="0"/>
        </c:ser>
        <c:ser>
          <c:idx val="2"/>
          <c:order val="2"/>
          <c:tx>
            <c:v>Delta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3M'!$F$8:$F$12</c:f>
              <c:numCache>
                <c:formatCode>ddd\,\ dd\-mmm\-yyyy</c:formatCode>
                <c:ptCount val="5"/>
                <c:pt idx="0">
                  <c:v>42172</c:v>
                </c:pt>
                <c:pt idx="1">
                  <c:v>42263</c:v>
                </c:pt>
                <c:pt idx="2">
                  <c:v>42354</c:v>
                </c:pt>
                <c:pt idx="3">
                  <c:v>42445</c:v>
                </c:pt>
                <c:pt idx="4">
                  <c:v>42536</c:v>
                </c:pt>
              </c:numCache>
            </c:numRef>
          </c:xVal>
          <c:yVal>
            <c:numRef>
              <c:f>'Delta 3M'!$Q$8:$Q$16</c:f>
              <c:numCache>
                <c:formatCode>General</c:formatCode>
                <c:ptCount val="9"/>
                <c:pt idx="0">
                  <c:v>3.5944184841296868E-4</c:v>
                </c:pt>
                <c:pt idx="1">
                  <c:v>3.8795377673117408E-4</c:v>
                </c:pt>
                <c:pt idx="2">
                  <c:v>4.2419723801844525E-4</c:v>
                </c:pt>
                <c:pt idx="3">
                  <c:v>4.8833521340145569E-4</c:v>
                </c:pt>
                <c:pt idx="4">
                  <c:v>4.9734415508912171E-4</c:v>
                </c:pt>
                <c:pt idx="5">
                  <c:v>5.2325191100281851E-4</c:v>
                </c:pt>
                <c:pt idx="6">
                  <c:v>5.5470030908554187E-4</c:v>
                </c:pt>
                <c:pt idx="7">
                  <c:v>6.0504328084711573E-4</c:v>
                </c:pt>
                <c:pt idx="8">
                  <c:v>6.5791695444398634E-4</c:v>
                </c:pt>
              </c:numCache>
            </c:numRef>
          </c:yVal>
          <c:smooth val="0"/>
        </c:ser>
        <c:ser>
          <c:idx val="0"/>
          <c:order val="3"/>
          <c:tx>
            <c:v>Delta Interp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3M'!$S$3:$S$534</c:f>
              <c:numCache>
                <c:formatCode>ddd\,\ dd\-mmm\-yyyy</c:formatCode>
                <c:ptCount val="532"/>
                <c:pt idx="0">
                  <c:v>42124</c:v>
                </c:pt>
                <c:pt idx="1">
                  <c:v>42125</c:v>
                </c:pt>
                <c:pt idx="2">
                  <c:v>42129</c:v>
                </c:pt>
                <c:pt idx="3">
                  <c:v>42130</c:v>
                </c:pt>
                <c:pt idx="4">
                  <c:v>42131</c:v>
                </c:pt>
                <c:pt idx="5">
                  <c:v>42132</c:v>
                </c:pt>
                <c:pt idx="6">
                  <c:v>42135</c:v>
                </c:pt>
                <c:pt idx="7">
                  <c:v>42136</c:v>
                </c:pt>
                <c:pt idx="8">
                  <c:v>42137</c:v>
                </c:pt>
                <c:pt idx="9">
                  <c:v>42138</c:v>
                </c:pt>
                <c:pt idx="10">
                  <c:v>42139</c:v>
                </c:pt>
                <c:pt idx="11">
                  <c:v>42142</c:v>
                </c:pt>
                <c:pt idx="12">
                  <c:v>42143</c:v>
                </c:pt>
                <c:pt idx="13">
                  <c:v>42144</c:v>
                </c:pt>
                <c:pt idx="14">
                  <c:v>42145</c:v>
                </c:pt>
                <c:pt idx="15">
                  <c:v>42146</c:v>
                </c:pt>
                <c:pt idx="16">
                  <c:v>42150</c:v>
                </c:pt>
                <c:pt idx="17">
                  <c:v>42151</c:v>
                </c:pt>
                <c:pt idx="18">
                  <c:v>42152</c:v>
                </c:pt>
                <c:pt idx="19">
                  <c:v>42153</c:v>
                </c:pt>
                <c:pt idx="20">
                  <c:v>42156</c:v>
                </c:pt>
                <c:pt idx="21">
                  <c:v>42157</c:v>
                </c:pt>
                <c:pt idx="22">
                  <c:v>42158</c:v>
                </c:pt>
                <c:pt idx="23">
                  <c:v>42159</c:v>
                </c:pt>
                <c:pt idx="24">
                  <c:v>42160</c:v>
                </c:pt>
                <c:pt idx="25">
                  <c:v>42163</c:v>
                </c:pt>
                <c:pt idx="26">
                  <c:v>42164</c:v>
                </c:pt>
                <c:pt idx="27">
                  <c:v>42165</c:v>
                </c:pt>
                <c:pt idx="28">
                  <c:v>42166</c:v>
                </c:pt>
                <c:pt idx="29">
                  <c:v>42167</c:v>
                </c:pt>
                <c:pt idx="30">
                  <c:v>42170</c:v>
                </c:pt>
                <c:pt idx="31">
                  <c:v>42171</c:v>
                </c:pt>
                <c:pt idx="32">
                  <c:v>42172</c:v>
                </c:pt>
                <c:pt idx="33">
                  <c:v>42173</c:v>
                </c:pt>
                <c:pt idx="34">
                  <c:v>42174</c:v>
                </c:pt>
                <c:pt idx="35">
                  <c:v>42177</c:v>
                </c:pt>
                <c:pt idx="36">
                  <c:v>42178</c:v>
                </c:pt>
                <c:pt idx="37">
                  <c:v>42179</c:v>
                </c:pt>
                <c:pt idx="38">
                  <c:v>42180</c:v>
                </c:pt>
                <c:pt idx="39">
                  <c:v>42181</c:v>
                </c:pt>
                <c:pt idx="40">
                  <c:v>42184</c:v>
                </c:pt>
                <c:pt idx="41">
                  <c:v>42185</c:v>
                </c:pt>
                <c:pt idx="42">
                  <c:v>42186</c:v>
                </c:pt>
                <c:pt idx="43">
                  <c:v>42187</c:v>
                </c:pt>
                <c:pt idx="44">
                  <c:v>42188</c:v>
                </c:pt>
                <c:pt idx="45">
                  <c:v>42191</c:v>
                </c:pt>
                <c:pt idx="46">
                  <c:v>42192</c:v>
                </c:pt>
                <c:pt idx="47">
                  <c:v>42193</c:v>
                </c:pt>
                <c:pt idx="48">
                  <c:v>42194</c:v>
                </c:pt>
                <c:pt idx="49">
                  <c:v>42195</c:v>
                </c:pt>
                <c:pt idx="50">
                  <c:v>42198</c:v>
                </c:pt>
                <c:pt idx="51">
                  <c:v>42199</c:v>
                </c:pt>
                <c:pt idx="52">
                  <c:v>42200</c:v>
                </c:pt>
                <c:pt idx="53">
                  <c:v>42201</c:v>
                </c:pt>
                <c:pt idx="54">
                  <c:v>42202</c:v>
                </c:pt>
                <c:pt idx="55">
                  <c:v>42205</c:v>
                </c:pt>
                <c:pt idx="56">
                  <c:v>42206</c:v>
                </c:pt>
                <c:pt idx="57">
                  <c:v>42207</c:v>
                </c:pt>
                <c:pt idx="58">
                  <c:v>42208</c:v>
                </c:pt>
                <c:pt idx="59">
                  <c:v>42209</c:v>
                </c:pt>
                <c:pt idx="60">
                  <c:v>42212</c:v>
                </c:pt>
                <c:pt idx="61">
                  <c:v>42213</c:v>
                </c:pt>
                <c:pt idx="62">
                  <c:v>42214</c:v>
                </c:pt>
                <c:pt idx="63">
                  <c:v>42215</c:v>
                </c:pt>
                <c:pt idx="64">
                  <c:v>42216</c:v>
                </c:pt>
                <c:pt idx="65">
                  <c:v>42219</c:v>
                </c:pt>
                <c:pt idx="66">
                  <c:v>42220</c:v>
                </c:pt>
                <c:pt idx="67">
                  <c:v>42221</c:v>
                </c:pt>
                <c:pt idx="68">
                  <c:v>42222</c:v>
                </c:pt>
                <c:pt idx="69">
                  <c:v>42223</c:v>
                </c:pt>
                <c:pt idx="70">
                  <c:v>42226</c:v>
                </c:pt>
                <c:pt idx="71">
                  <c:v>42227</c:v>
                </c:pt>
                <c:pt idx="72">
                  <c:v>42228</c:v>
                </c:pt>
                <c:pt idx="73">
                  <c:v>42229</c:v>
                </c:pt>
                <c:pt idx="74">
                  <c:v>42230</c:v>
                </c:pt>
                <c:pt idx="75">
                  <c:v>42233</c:v>
                </c:pt>
                <c:pt idx="76">
                  <c:v>42234</c:v>
                </c:pt>
                <c:pt idx="77">
                  <c:v>42235</c:v>
                </c:pt>
                <c:pt idx="78">
                  <c:v>42236</c:v>
                </c:pt>
                <c:pt idx="79">
                  <c:v>42237</c:v>
                </c:pt>
                <c:pt idx="80">
                  <c:v>42240</c:v>
                </c:pt>
                <c:pt idx="81">
                  <c:v>42241</c:v>
                </c:pt>
                <c:pt idx="82">
                  <c:v>42242</c:v>
                </c:pt>
                <c:pt idx="83">
                  <c:v>42243</c:v>
                </c:pt>
                <c:pt idx="84">
                  <c:v>42244</c:v>
                </c:pt>
                <c:pt idx="85">
                  <c:v>42248</c:v>
                </c:pt>
                <c:pt idx="86">
                  <c:v>42249</c:v>
                </c:pt>
                <c:pt idx="87">
                  <c:v>42250</c:v>
                </c:pt>
                <c:pt idx="88">
                  <c:v>42251</c:v>
                </c:pt>
                <c:pt idx="89">
                  <c:v>42254</c:v>
                </c:pt>
                <c:pt idx="90">
                  <c:v>42255</c:v>
                </c:pt>
                <c:pt idx="91">
                  <c:v>42256</c:v>
                </c:pt>
                <c:pt idx="92">
                  <c:v>42257</c:v>
                </c:pt>
                <c:pt idx="93">
                  <c:v>42258</c:v>
                </c:pt>
                <c:pt idx="94">
                  <c:v>42261</c:v>
                </c:pt>
                <c:pt idx="95">
                  <c:v>42262</c:v>
                </c:pt>
                <c:pt idx="96">
                  <c:v>42263</c:v>
                </c:pt>
                <c:pt idx="97">
                  <c:v>42264</c:v>
                </c:pt>
                <c:pt idx="98">
                  <c:v>42265</c:v>
                </c:pt>
                <c:pt idx="99">
                  <c:v>42268</c:v>
                </c:pt>
                <c:pt idx="100">
                  <c:v>42269</c:v>
                </c:pt>
                <c:pt idx="101">
                  <c:v>42270</c:v>
                </c:pt>
                <c:pt idx="102">
                  <c:v>42271</c:v>
                </c:pt>
                <c:pt idx="103">
                  <c:v>42272</c:v>
                </c:pt>
                <c:pt idx="104">
                  <c:v>42275</c:v>
                </c:pt>
                <c:pt idx="105">
                  <c:v>42276</c:v>
                </c:pt>
                <c:pt idx="106">
                  <c:v>42277</c:v>
                </c:pt>
                <c:pt idx="107">
                  <c:v>42278</c:v>
                </c:pt>
                <c:pt idx="108">
                  <c:v>42279</c:v>
                </c:pt>
                <c:pt idx="109">
                  <c:v>42282</c:v>
                </c:pt>
                <c:pt idx="110">
                  <c:v>42283</c:v>
                </c:pt>
                <c:pt idx="111">
                  <c:v>42284</c:v>
                </c:pt>
                <c:pt idx="112">
                  <c:v>42285</c:v>
                </c:pt>
                <c:pt idx="113">
                  <c:v>42286</c:v>
                </c:pt>
                <c:pt idx="114">
                  <c:v>42289</c:v>
                </c:pt>
                <c:pt idx="115">
                  <c:v>42290</c:v>
                </c:pt>
                <c:pt idx="116">
                  <c:v>42291</c:v>
                </c:pt>
                <c:pt idx="117">
                  <c:v>42292</c:v>
                </c:pt>
                <c:pt idx="118">
                  <c:v>42293</c:v>
                </c:pt>
                <c:pt idx="119">
                  <c:v>42296</c:v>
                </c:pt>
                <c:pt idx="120">
                  <c:v>42297</c:v>
                </c:pt>
                <c:pt idx="121">
                  <c:v>42298</c:v>
                </c:pt>
                <c:pt idx="122">
                  <c:v>42299</c:v>
                </c:pt>
                <c:pt idx="123">
                  <c:v>42300</c:v>
                </c:pt>
                <c:pt idx="124">
                  <c:v>42303</c:v>
                </c:pt>
                <c:pt idx="125">
                  <c:v>42304</c:v>
                </c:pt>
                <c:pt idx="126">
                  <c:v>42305</c:v>
                </c:pt>
                <c:pt idx="127">
                  <c:v>42306</c:v>
                </c:pt>
                <c:pt idx="128">
                  <c:v>42307</c:v>
                </c:pt>
                <c:pt idx="129">
                  <c:v>42310</c:v>
                </c:pt>
                <c:pt idx="130">
                  <c:v>42311</c:v>
                </c:pt>
                <c:pt idx="131">
                  <c:v>42312</c:v>
                </c:pt>
                <c:pt idx="132">
                  <c:v>42313</c:v>
                </c:pt>
                <c:pt idx="133">
                  <c:v>42314</c:v>
                </c:pt>
                <c:pt idx="134">
                  <c:v>42317</c:v>
                </c:pt>
                <c:pt idx="135">
                  <c:v>42318</c:v>
                </c:pt>
                <c:pt idx="136">
                  <c:v>42319</c:v>
                </c:pt>
                <c:pt idx="137">
                  <c:v>42320</c:v>
                </c:pt>
                <c:pt idx="138">
                  <c:v>42321</c:v>
                </c:pt>
                <c:pt idx="139">
                  <c:v>42324</c:v>
                </c:pt>
                <c:pt idx="140">
                  <c:v>42325</c:v>
                </c:pt>
                <c:pt idx="141">
                  <c:v>42326</c:v>
                </c:pt>
                <c:pt idx="142">
                  <c:v>42327</c:v>
                </c:pt>
                <c:pt idx="143">
                  <c:v>42328</c:v>
                </c:pt>
                <c:pt idx="144">
                  <c:v>42331</c:v>
                </c:pt>
                <c:pt idx="145">
                  <c:v>42332</c:v>
                </c:pt>
                <c:pt idx="146">
                  <c:v>42333</c:v>
                </c:pt>
                <c:pt idx="147">
                  <c:v>42334</c:v>
                </c:pt>
                <c:pt idx="148">
                  <c:v>42335</c:v>
                </c:pt>
                <c:pt idx="149">
                  <c:v>42338</c:v>
                </c:pt>
                <c:pt idx="150">
                  <c:v>42339</c:v>
                </c:pt>
                <c:pt idx="151">
                  <c:v>42340</c:v>
                </c:pt>
                <c:pt idx="152">
                  <c:v>42341</c:v>
                </c:pt>
                <c:pt idx="153">
                  <c:v>42342</c:v>
                </c:pt>
                <c:pt idx="154">
                  <c:v>42345</c:v>
                </c:pt>
                <c:pt idx="155">
                  <c:v>42346</c:v>
                </c:pt>
                <c:pt idx="156">
                  <c:v>42347</c:v>
                </c:pt>
                <c:pt idx="157">
                  <c:v>42348</c:v>
                </c:pt>
                <c:pt idx="158">
                  <c:v>42349</c:v>
                </c:pt>
                <c:pt idx="159">
                  <c:v>42352</c:v>
                </c:pt>
                <c:pt idx="160">
                  <c:v>42353</c:v>
                </c:pt>
                <c:pt idx="161">
                  <c:v>42354</c:v>
                </c:pt>
                <c:pt idx="162">
                  <c:v>42355</c:v>
                </c:pt>
                <c:pt idx="163">
                  <c:v>42356</c:v>
                </c:pt>
                <c:pt idx="164">
                  <c:v>42359</c:v>
                </c:pt>
                <c:pt idx="165">
                  <c:v>42360</c:v>
                </c:pt>
                <c:pt idx="166">
                  <c:v>42361</c:v>
                </c:pt>
                <c:pt idx="167">
                  <c:v>42362</c:v>
                </c:pt>
                <c:pt idx="168">
                  <c:v>42367</c:v>
                </c:pt>
                <c:pt idx="169">
                  <c:v>42368</c:v>
                </c:pt>
                <c:pt idx="170">
                  <c:v>42369</c:v>
                </c:pt>
                <c:pt idx="171">
                  <c:v>42373</c:v>
                </c:pt>
                <c:pt idx="172">
                  <c:v>42374</c:v>
                </c:pt>
                <c:pt idx="173">
                  <c:v>42375</c:v>
                </c:pt>
                <c:pt idx="174">
                  <c:v>42376</c:v>
                </c:pt>
                <c:pt idx="175">
                  <c:v>42377</c:v>
                </c:pt>
                <c:pt idx="176">
                  <c:v>42380</c:v>
                </c:pt>
                <c:pt idx="177">
                  <c:v>42381</c:v>
                </c:pt>
                <c:pt idx="178">
                  <c:v>42382</c:v>
                </c:pt>
                <c:pt idx="179">
                  <c:v>42383</c:v>
                </c:pt>
                <c:pt idx="180">
                  <c:v>42384</c:v>
                </c:pt>
                <c:pt idx="181">
                  <c:v>42387</c:v>
                </c:pt>
                <c:pt idx="182">
                  <c:v>42388</c:v>
                </c:pt>
                <c:pt idx="183">
                  <c:v>42389</c:v>
                </c:pt>
                <c:pt idx="184">
                  <c:v>42390</c:v>
                </c:pt>
                <c:pt idx="185">
                  <c:v>42391</c:v>
                </c:pt>
                <c:pt idx="186">
                  <c:v>42394</c:v>
                </c:pt>
                <c:pt idx="187">
                  <c:v>42395</c:v>
                </c:pt>
                <c:pt idx="188">
                  <c:v>42396</c:v>
                </c:pt>
                <c:pt idx="189">
                  <c:v>42397</c:v>
                </c:pt>
                <c:pt idx="190">
                  <c:v>42398</c:v>
                </c:pt>
                <c:pt idx="191">
                  <c:v>42401</c:v>
                </c:pt>
                <c:pt idx="192">
                  <c:v>42402</c:v>
                </c:pt>
                <c:pt idx="193">
                  <c:v>42403</c:v>
                </c:pt>
                <c:pt idx="194">
                  <c:v>42404</c:v>
                </c:pt>
                <c:pt idx="195">
                  <c:v>42405</c:v>
                </c:pt>
                <c:pt idx="196">
                  <c:v>42408</c:v>
                </c:pt>
                <c:pt idx="197">
                  <c:v>42409</c:v>
                </c:pt>
                <c:pt idx="198">
                  <c:v>42410</c:v>
                </c:pt>
                <c:pt idx="199">
                  <c:v>42411</c:v>
                </c:pt>
                <c:pt idx="200">
                  <c:v>42412</c:v>
                </c:pt>
                <c:pt idx="201">
                  <c:v>42415</c:v>
                </c:pt>
                <c:pt idx="202">
                  <c:v>42416</c:v>
                </c:pt>
                <c:pt idx="203">
                  <c:v>42417</c:v>
                </c:pt>
                <c:pt idx="204">
                  <c:v>42418</c:v>
                </c:pt>
                <c:pt idx="205">
                  <c:v>42419</c:v>
                </c:pt>
                <c:pt idx="206">
                  <c:v>42422</c:v>
                </c:pt>
                <c:pt idx="207">
                  <c:v>42423</c:v>
                </c:pt>
                <c:pt idx="208">
                  <c:v>42424</c:v>
                </c:pt>
                <c:pt idx="209">
                  <c:v>42425</c:v>
                </c:pt>
                <c:pt idx="210">
                  <c:v>42426</c:v>
                </c:pt>
                <c:pt idx="211">
                  <c:v>42429</c:v>
                </c:pt>
                <c:pt idx="212">
                  <c:v>42430</c:v>
                </c:pt>
                <c:pt idx="213">
                  <c:v>42431</c:v>
                </c:pt>
                <c:pt idx="214">
                  <c:v>42432</c:v>
                </c:pt>
                <c:pt idx="215">
                  <c:v>42433</c:v>
                </c:pt>
                <c:pt idx="216">
                  <c:v>42436</c:v>
                </c:pt>
                <c:pt idx="217">
                  <c:v>42437</c:v>
                </c:pt>
                <c:pt idx="218">
                  <c:v>42438</c:v>
                </c:pt>
                <c:pt idx="219">
                  <c:v>42439</c:v>
                </c:pt>
                <c:pt idx="220">
                  <c:v>42440</c:v>
                </c:pt>
                <c:pt idx="221">
                  <c:v>42443</c:v>
                </c:pt>
                <c:pt idx="222">
                  <c:v>42444</c:v>
                </c:pt>
                <c:pt idx="223">
                  <c:v>42445</c:v>
                </c:pt>
                <c:pt idx="224">
                  <c:v>42446</c:v>
                </c:pt>
                <c:pt idx="225">
                  <c:v>42447</c:v>
                </c:pt>
                <c:pt idx="226">
                  <c:v>42450</c:v>
                </c:pt>
                <c:pt idx="227">
                  <c:v>42451</c:v>
                </c:pt>
                <c:pt idx="228">
                  <c:v>42452</c:v>
                </c:pt>
                <c:pt idx="229">
                  <c:v>42453</c:v>
                </c:pt>
                <c:pt idx="230">
                  <c:v>42458</c:v>
                </c:pt>
                <c:pt idx="231">
                  <c:v>42459</c:v>
                </c:pt>
                <c:pt idx="232">
                  <c:v>42460</c:v>
                </c:pt>
                <c:pt idx="233">
                  <c:v>42461</c:v>
                </c:pt>
                <c:pt idx="234">
                  <c:v>42464</c:v>
                </c:pt>
                <c:pt idx="235">
                  <c:v>42465</c:v>
                </c:pt>
                <c:pt idx="236">
                  <c:v>42466</c:v>
                </c:pt>
                <c:pt idx="237">
                  <c:v>42467</c:v>
                </c:pt>
                <c:pt idx="238">
                  <c:v>42468</c:v>
                </c:pt>
                <c:pt idx="239">
                  <c:v>42471</c:v>
                </c:pt>
                <c:pt idx="240">
                  <c:v>42472</c:v>
                </c:pt>
                <c:pt idx="241">
                  <c:v>42473</c:v>
                </c:pt>
                <c:pt idx="242">
                  <c:v>42474</c:v>
                </c:pt>
                <c:pt idx="243">
                  <c:v>42475</c:v>
                </c:pt>
                <c:pt idx="244">
                  <c:v>42478</c:v>
                </c:pt>
                <c:pt idx="245">
                  <c:v>42479</c:v>
                </c:pt>
                <c:pt idx="246">
                  <c:v>42480</c:v>
                </c:pt>
                <c:pt idx="247">
                  <c:v>42481</c:v>
                </c:pt>
                <c:pt idx="248">
                  <c:v>42482</c:v>
                </c:pt>
                <c:pt idx="249">
                  <c:v>42485</c:v>
                </c:pt>
                <c:pt idx="250">
                  <c:v>42486</c:v>
                </c:pt>
                <c:pt idx="251">
                  <c:v>42487</c:v>
                </c:pt>
                <c:pt idx="252">
                  <c:v>42488</c:v>
                </c:pt>
                <c:pt idx="253">
                  <c:v>42489</c:v>
                </c:pt>
                <c:pt idx="254">
                  <c:v>42493</c:v>
                </c:pt>
                <c:pt idx="255">
                  <c:v>42494</c:v>
                </c:pt>
                <c:pt idx="256">
                  <c:v>42495</c:v>
                </c:pt>
                <c:pt idx="257">
                  <c:v>42496</c:v>
                </c:pt>
                <c:pt idx="258">
                  <c:v>42499</c:v>
                </c:pt>
              </c:numCache>
            </c:numRef>
          </c:xVal>
          <c:yVal>
            <c:numRef>
              <c:f>'Delta 3M'!$Z$3:$Z$534</c:f>
              <c:numCache>
                <c:formatCode>General</c:formatCode>
                <c:ptCount val="532"/>
                <c:pt idx="0">
                  <c:v>2.8786273474334972E-4</c:v>
                </c:pt>
                <c:pt idx="1">
                  <c:v>2.9905999929010456E-4</c:v>
                </c:pt>
                <c:pt idx="2">
                  <c:v>2.9942361181146417E-4</c:v>
                </c:pt>
                <c:pt idx="3">
                  <c:v>3.0109613410939323E-4</c:v>
                </c:pt>
                <c:pt idx="4">
                  <c:v>3.027644050522577E-4</c:v>
                </c:pt>
                <c:pt idx="5">
                  <c:v>3.1103699687252978E-4</c:v>
                </c:pt>
                <c:pt idx="6">
                  <c:v>3.0938080807077788E-4</c:v>
                </c:pt>
                <c:pt idx="7">
                  <c:v>3.1101719573038065E-4</c:v>
                </c:pt>
                <c:pt idx="8">
                  <c:v>3.1264508093533196E-4</c:v>
                </c:pt>
                <c:pt idx="9">
                  <c:v>3.1426375506738363E-4</c:v>
                </c:pt>
                <c:pt idx="10">
                  <c:v>3.2273020300473425E-4</c:v>
                </c:pt>
                <c:pt idx="11">
                  <c:v>3.2063217370928578E-4</c:v>
                </c:pt>
                <c:pt idx="12">
                  <c:v>3.2219416821506708E-4</c:v>
                </c:pt>
                <c:pt idx="13">
                  <c:v>3.2374270243490464E-4</c:v>
                </c:pt>
                <c:pt idx="14">
                  <c:v>3.252770682654829E-4</c:v>
                </c:pt>
                <c:pt idx="15">
                  <c:v>3.3389134986228243E-4</c:v>
                </c:pt>
                <c:pt idx="16">
                  <c:v>3.3271158827692497E-4</c:v>
                </c:pt>
                <c:pt idx="17">
                  <c:v>3.3414607385598514E-4</c:v>
                </c:pt>
                <c:pt idx="18">
                  <c:v>3.3556143445047891E-4</c:v>
                </c:pt>
                <c:pt idx="19">
                  <c:v>3.332991490471737E-4</c:v>
                </c:pt>
                <c:pt idx="20">
                  <c:v>3.410201426663125E-4</c:v>
                </c:pt>
                <c:pt idx="21">
                  <c:v>3.4233292520228223E-4</c:v>
                </c:pt>
                <c:pt idx="22">
                  <c:v>3.4362471328437693E-4</c:v>
                </c:pt>
                <c:pt idx="23">
                  <c:v>3.4489539354808996E-4</c:v>
                </c:pt>
                <c:pt idx="24">
                  <c:v>3.536595610754948E-4</c:v>
                </c:pt>
                <c:pt idx="25" formatCode="0.00000">
                  <c:v>3.4976476920370883E-4</c:v>
                </c:pt>
                <c:pt idx="26" formatCode="0.00000">
                  <c:v>3.5092820998340189E-4</c:v>
                </c:pt>
                <c:pt idx="27" formatCode="0.00000">
                  <c:v>3.5206986280222755E-4</c:v>
                </c:pt>
                <c:pt idx="28" formatCode="0.00000">
                  <c:v>3.5318961431008144E-4</c:v>
                </c:pt>
                <c:pt idx="29" formatCode="0.00000">
                  <c:v>3.6197877687526268E-4</c:v>
                </c:pt>
                <c:pt idx="30">
                  <c:v>3.5744734028331893E-4</c:v>
                </c:pt>
                <c:pt idx="31">
                  <c:v>3.5845588503824672E-4</c:v>
                </c:pt>
                <c:pt idx="32">
                  <c:v>3.5944184841296868E-4</c:v>
                </c:pt>
                <c:pt idx="33">
                  <c:v>3.6040518649621024E-4</c:v>
                </c:pt>
                <c:pt idx="34">
                  <c:v>3.691907594040154E-4</c:v>
                </c:pt>
                <c:pt idx="35">
                  <c:v>3.6403765629510593E-4</c:v>
                </c:pt>
                <c:pt idx="36">
                  <c:v>3.6489206927118196E-4</c:v>
                </c:pt>
                <c:pt idx="37">
                  <c:v>3.6572560691817437E-4</c:v>
                </c:pt>
                <c:pt idx="38">
                  <c:v>3.6653857246431078E-4</c:v>
                </c:pt>
                <c:pt idx="39">
                  <c:v>3.7530579907604132E-4</c:v>
                </c:pt>
                <c:pt idx="40">
                  <c:v>3.6959077817203684E-4</c:v>
                </c:pt>
                <c:pt idx="41">
                  <c:v>3.7030543160224204E-4</c:v>
                </c:pt>
                <c:pt idx="42">
                  <c:v>3.7100133215868476E-4</c:v>
                </c:pt>
                <c:pt idx="43">
                  <c:v>3.7167878245746179E-4</c:v>
                </c:pt>
                <c:pt idx="44">
                  <c:v>3.8042127947382514E-4</c:v>
                </c:pt>
                <c:pt idx="45">
                  <c:v>3.7421013079004626E-4</c:v>
                </c:pt>
                <c:pt idx="46">
                  <c:v>3.7479986703731276E-4</c:v>
                </c:pt>
                <c:pt idx="47">
                  <c:v>3.7537296788411092E-4</c:v>
                </c:pt>
                <c:pt idx="48">
                  <c:v>3.7592973578931782E-4</c:v>
                </c:pt>
                <c:pt idx="49">
                  <c:v>3.8464329435896645E-4</c:v>
                </c:pt>
                <c:pt idx="50">
                  <c:v>3.7799952703873612E-4</c:v>
                </c:pt>
                <c:pt idx="51">
                  <c:v>3.7847916698699913E-4</c:v>
                </c:pt>
                <c:pt idx="52">
                  <c:v>3.7894428866995435E-4</c:v>
                </c:pt>
                <c:pt idx="53">
                  <c:v>3.7939519452332641E-4</c:v>
                </c:pt>
                <c:pt idx="54">
                  <c:v>3.8807784060064309E-4</c:v>
                </c:pt>
                <c:pt idx="55">
                  <c:v>3.8106270825714894E-4</c:v>
                </c:pt>
                <c:pt idx="56">
                  <c:v>3.8144707140783378E-4</c:v>
                </c:pt>
                <c:pt idx="57">
                  <c:v>3.8181903329373559E-4</c:v>
                </c:pt>
                <c:pt idx="58">
                  <c:v>3.8217889633599262E-4</c:v>
                </c:pt>
                <c:pt idx="59">
                  <c:v>3.9083090559388444E-4</c:v>
                </c:pt>
                <c:pt idx="60">
                  <c:v>3.8350340844990469E-4</c:v>
                </c:pt>
                <c:pt idx="61">
                  <c:v>3.8380731354940563E-4</c:v>
                </c:pt>
                <c:pt idx="62">
                  <c:v>3.8410093430770186E-4</c:v>
                </c:pt>
                <c:pt idx="63">
                  <c:v>3.8438457313848772E-4</c:v>
                </c:pt>
                <c:pt idx="64">
                  <c:v>3.8048333783686659E-4</c:v>
                </c:pt>
                <c:pt idx="65">
                  <c:v>3.8542537074967418E-4</c:v>
                </c:pt>
                <c:pt idx="66">
                  <c:v>3.8566364889728818E-4</c:v>
                </c:pt>
                <c:pt idx="67">
                  <c:v>3.8589376591633047E-4</c:v>
                </c:pt>
                <c:pt idx="68">
                  <c:v>3.8611602549613958E-4</c:v>
                </c:pt>
                <c:pt idx="69">
                  <c:v>3.9471673127451911E-4</c:v>
                </c:pt>
                <c:pt idx="70">
                  <c:v>3.8693256327011023E-4</c:v>
                </c:pt>
                <c:pt idx="71">
                  <c:v>3.8712009104556228E-4</c:v>
                </c:pt>
                <c:pt idx="72">
                  <c:v>3.8730158354356389E-4</c:v>
                </c:pt>
                <c:pt idx="73">
                  <c:v>3.8747734445890487E-4</c:v>
                </c:pt>
                <c:pt idx="74">
                  <c:v>3.9606207869000121E-4</c:v>
                </c:pt>
                <c:pt idx="75">
                  <c:v>3.8812914619806995E-4</c:v>
                </c:pt>
                <c:pt idx="76">
                  <c:v>3.8828080462501989E-4</c:v>
                </c:pt>
                <c:pt idx="77">
                  <c:v>3.8842855363575352E-4</c:v>
                </c:pt>
                <c:pt idx="78">
                  <c:v>3.8857269692317461E-4</c:v>
                </c:pt>
                <c:pt idx="79">
                  <c:v>3.9715094839641943E-4</c:v>
                </c:pt>
                <c:pt idx="80">
                  <c:v>3.8911928665005515E-4</c:v>
                </c:pt>
                <c:pt idx="81">
                  <c:v>3.89249956669957E-4</c:v>
                </c:pt>
                <c:pt idx="82">
                  <c:v>3.8937884309845234E-4</c:v>
                </c:pt>
                <c:pt idx="83">
                  <c:v>3.8950624962023759E-4</c:v>
                </c:pt>
                <c:pt idx="84">
                  <c:v>3.9808976820977278E-4</c:v>
                </c:pt>
                <c:pt idx="85">
                  <c:v>3.858974465814513E-4</c:v>
                </c:pt>
                <c:pt idx="86">
                  <c:v>3.8602099393864476E-4</c:v>
                </c:pt>
                <c:pt idx="87">
                  <c:v>3.8614517752170888E-4</c:v>
                </c:pt>
                <c:pt idx="88">
                  <c:v>3.8627029693401663E-4</c:v>
                </c:pt>
                <c:pt idx="89">
                  <c:v>3.8665426613765711E-4</c:v>
                </c:pt>
                <c:pt idx="90">
                  <c:v>3.8678612484719022E-4</c:v>
                </c:pt>
                <c:pt idx="91">
                  <c:v>3.8692041736451536E-4</c:v>
                </c:pt>
                <c:pt idx="92">
                  <c:v>3.8705744327804291E-4</c:v>
                </c:pt>
                <c:pt idx="93">
                  <c:v>3.8719750217400056E-4</c:v>
                </c:pt>
                <c:pt idx="94">
                  <c:v>3.8763887258092011E-4</c:v>
                </c:pt>
                <c:pt idx="95">
                  <c:v>3.8779405921824143E-4</c:v>
                </c:pt>
                <c:pt idx="96">
                  <c:v>3.8795377673117408E-4</c:v>
                </c:pt>
                <c:pt idx="97">
                  <c:v>3.8811827674761572E-4</c:v>
                </c:pt>
                <c:pt idx="98">
                  <c:v>3.8828761912228286E-4</c:v>
                </c:pt>
                <c:pt idx="99">
                  <c:v>3.888248194996917E-4</c:v>
                </c:pt>
                <c:pt idx="100">
                  <c:v>3.8901365040936494E-4</c:v>
                </c:pt>
                <c:pt idx="101">
                  <c:v>3.8920738322603047E-4</c:v>
                </c:pt>
                <c:pt idx="102">
                  <c:v>3.8940602985777979E-4</c:v>
                </c:pt>
                <c:pt idx="103">
                  <c:v>4.067084569850173E-4</c:v>
                </c:pt>
                <c:pt idx="104">
                  <c:v>3.9453193896156821E-4</c:v>
                </c:pt>
                <c:pt idx="105">
                  <c:v>3.9047338698560427E-4</c:v>
                </c:pt>
                <c:pt idx="106">
                  <c:v>3.9070176654496929E-4</c:v>
                </c:pt>
                <c:pt idx="107">
                  <c:v>4.080920779505433E-4</c:v>
                </c:pt>
                <c:pt idx="108">
                  <c:v>4.0404928230699822E-4</c:v>
                </c:pt>
                <c:pt idx="109">
                  <c:v>3.9621909141939724E-4</c:v>
                </c:pt>
                <c:pt idx="110">
                  <c:v>3.9648046476678886E-4</c:v>
                </c:pt>
                <c:pt idx="111">
                  <c:v>3.9674696196179685E-4</c:v>
                </c:pt>
                <c:pt idx="112">
                  <c:v>3.9701859498663978E-4</c:v>
                </c:pt>
                <c:pt idx="113">
                  <c:v>4.0591864883784539E-4</c:v>
                </c:pt>
                <c:pt idx="114">
                  <c:v>3.9815672498954148E-4</c:v>
                </c:pt>
                <c:pt idx="115">
                  <c:v>3.9845421685874799E-4</c:v>
                </c:pt>
                <c:pt idx="116">
                  <c:v>3.9875691642894868E-4</c:v>
                </c:pt>
                <c:pt idx="117">
                  <c:v>3.9906483567460241E-4</c:v>
                </c:pt>
                <c:pt idx="118">
                  <c:v>4.0804624432527352E-4</c:v>
                </c:pt>
                <c:pt idx="119">
                  <c:v>4.0034894886402237E-4</c:v>
                </c:pt>
                <c:pt idx="120">
                  <c:v>4.0068314606558165E-4</c:v>
                </c:pt>
                <c:pt idx="121">
                  <c:v>4.0102263476532771E-4</c:v>
                </c:pt>
                <c:pt idx="122">
                  <c:v>4.0136742692926318E-4</c:v>
                </c:pt>
                <c:pt idx="123">
                  <c:v>4.1043626378167052E-4</c:v>
                </c:pt>
                <c:pt idx="124">
                  <c:v>4.0279986950101949E-4</c:v>
                </c:pt>
                <c:pt idx="125">
                  <c:v>4.0317135842866822E-4</c:v>
                </c:pt>
                <c:pt idx="126">
                  <c:v>4.0354822258774955E-4</c:v>
                </c:pt>
                <c:pt idx="127">
                  <c:v>4.039304739344474E-4</c:v>
                </c:pt>
                <c:pt idx="128">
                  <c:v>3.9993045842784039E-4</c:v>
                </c:pt>
                <c:pt idx="129">
                  <c:v>4.0551359842693857E-4</c:v>
                </c:pt>
                <c:pt idx="130">
                  <c:v>4.0592297035503614E-4</c:v>
                </c:pt>
                <c:pt idx="131">
                  <c:v>4.0633780256064803E-4</c:v>
                </c:pt>
                <c:pt idx="132">
                  <c:v>4.067581070076405E-4</c:v>
                </c:pt>
                <c:pt idx="133">
                  <c:v>4.1602048597418013E-4</c:v>
                </c:pt>
                <c:pt idx="134">
                  <c:v>4.084942864389345E-4</c:v>
                </c:pt>
                <c:pt idx="135">
                  <c:v>4.0894213150145472E-4</c:v>
                </c:pt>
                <c:pt idx="136">
                  <c:v>4.0939552055736919E-4</c:v>
                </c:pt>
                <c:pt idx="137">
                  <c:v>4.0985446555977359E-4</c:v>
                </c:pt>
                <c:pt idx="138">
                  <c:v>4.192232612961711E-4</c:v>
                </c:pt>
                <c:pt idx="139">
                  <c:v>4.1174604403137067E-4</c:v>
                </c:pt>
                <c:pt idx="140">
                  <c:v>4.1223294799870488E-4</c:v>
                </c:pt>
                <c:pt idx="141">
                  <c:v>4.127254795936085E-4</c:v>
                </c:pt>
                <c:pt idx="142">
                  <c:v>4.132236507554891E-4</c:v>
                </c:pt>
                <c:pt idx="143">
                  <c:v>4.2270542054373406E-4</c:v>
                </c:pt>
                <c:pt idx="144">
                  <c:v>4.1527296982012704E-4</c:v>
                </c:pt>
                <c:pt idx="145">
                  <c:v>4.1579951785853541E-4</c:v>
                </c:pt>
                <c:pt idx="146">
                  <c:v>4.1633177706588043E-4</c:v>
                </c:pt>
                <c:pt idx="147">
                  <c:v>4.1686975936940237E-4</c:v>
                </c:pt>
                <c:pt idx="148">
                  <c:v>4.2647114921117585E-4</c:v>
                </c:pt>
                <c:pt idx="149">
                  <c:v>4.145320112658034E-4</c:v>
                </c:pt>
                <c:pt idx="150">
                  <c:v>4.1509265407456446E-4</c:v>
                </c:pt>
                <c:pt idx="151">
                  <c:v>4.1565902907054976E-4</c:v>
                </c:pt>
                <c:pt idx="152">
                  <c:v>4.1623114888663884E-4</c:v>
                </c:pt>
                <c:pt idx="153">
                  <c:v>4.1680902615824682E-4</c:v>
                </c:pt>
                <c:pt idx="154">
                  <c:v>4.1857732909813291E-4</c:v>
                </c:pt>
                <c:pt idx="155">
                  <c:v>4.1917836259798688E-4</c:v>
                </c:pt>
                <c:pt idx="156">
                  <c:v>4.1978521677066386E-4</c:v>
                </c:pt>
                <c:pt idx="157">
                  <c:v>4.2039790426855297E-4</c:v>
                </c:pt>
                <c:pt idx="158">
                  <c:v>4.2101643774679581E-4</c:v>
                </c:pt>
                <c:pt idx="159">
                  <c:v>4.2290724066876132E-4</c:v>
                </c:pt>
                <c:pt idx="160">
                  <c:v>4.2354928468950489E-4</c:v>
                </c:pt>
                <c:pt idx="161">
                  <c:v>4.2419723801844525E-4</c:v>
                </c:pt>
                <c:pt idx="162">
                  <c:v>4.2485184226701526E-4</c:v>
                </c:pt>
                <c:pt idx="163">
                  <c:v>4.2551366461374401E-4</c:v>
                </c:pt>
                <c:pt idx="164">
                  <c:v>4.2753995059984331E-4</c:v>
                </c:pt>
                <c:pt idx="165">
                  <c:v>4.2822815573677239E-4</c:v>
                </c:pt>
                <c:pt idx="166">
                  <c:v>4.2892233421174886E-4</c:v>
                </c:pt>
                <c:pt idx="167">
                  <c:v>4.2962223709826875E-4</c:v>
                </c:pt>
                <c:pt idx="168">
                  <c:v>4.3319890586993644E-4</c:v>
                </c:pt>
                <c:pt idx="169">
                  <c:v>4.339279282497682E-4</c:v>
                </c:pt>
                <c:pt idx="170">
                  <c:v>4.3466093279875156E-4</c:v>
                </c:pt>
                <c:pt idx="171">
                  <c:v>4.3762778883010649E-4</c:v>
                </c:pt>
                <c:pt idx="172">
                  <c:v>4.3837696499163546E-4</c:v>
                </c:pt>
                <c:pt idx="173">
                  <c:v>4.3912862706549046E-4</c:v>
                </c:pt>
                <c:pt idx="174">
                  <c:v>4.398825255856805E-4</c:v>
                </c:pt>
                <c:pt idx="175">
                  <c:v>4.4063841109094571E-4</c:v>
                </c:pt>
                <c:pt idx="176">
                  <c:v>4.42915494965901E-4</c:v>
                </c:pt>
                <c:pt idx="177">
                  <c:v>4.4367683388234246E-4</c:v>
                </c:pt>
                <c:pt idx="178">
                  <c:v>4.4443891254136454E-4</c:v>
                </c:pt>
                <c:pt idx="179">
                  <c:v>4.4520148150774144E-4</c:v>
                </c:pt>
                <c:pt idx="180">
                  <c:v>4.4596429134944839E-4</c:v>
                </c:pt>
                <c:pt idx="181">
                  <c:v>4.4825167187874902E-4</c:v>
                </c:pt>
                <c:pt idx="182">
                  <c:v>4.4901295099264904E-4</c:v>
                </c:pt>
                <c:pt idx="183">
                  <c:v>4.4977322388665129E-4</c:v>
                </c:pt>
                <c:pt idx="184">
                  <c:v>4.5053224115348408E-4</c:v>
                </c:pt>
                <c:pt idx="185">
                  <c:v>4.5128975338951409E-4</c:v>
                </c:pt>
                <c:pt idx="186">
                  <c:v>4.5355076593339315E-4</c:v>
                </c:pt>
                <c:pt idx="187">
                  <c:v>4.5429976408428653E-4</c:v>
                </c:pt>
                <c:pt idx="188">
                  <c:v>4.5504601024153046E-4</c:v>
                </c:pt>
                <c:pt idx="189">
                  <c:v>4.5578925502278328E-4</c:v>
                </c:pt>
                <c:pt idx="190">
                  <c:v>4.5652924904863871E-4</c:v>
                </c:pt>
                <c:pt idx="191">
                  <c:v>4.6375859752245891E-4</c:v>
                </c:pt>
                <c:pt idx="192">
                  <c:v>4.5945172440165643E-4</c:v>
                </c:pt>
                <c:pt idx="193">
                  <c:v>4.5512432335731537E-4</c:v>
                </c:pt>
                <c:pt idx="194">
                  <c:v>4.5583174495087125E-4</c:v>
                </c:pt>
                <c:pt idx="195">
                  <c:v>4.5653422181094876E-4</c:v>
                </c:pt>
                <c:pt idx="196">
                  <c:v>4.6369544621235767E-4</c:v>
                </c:pt>
                <c:pt idx="197">
                  <c:v>4.5928973849118811E-4</c:v>
                </c:pt>
                <c:pt idx="198">
                  <c:v>4.599637841093498E-4</c:v>
                </c:pt>
                <c:pt idx="199">
                  <c:v>4.6063140196040802E-4</c:v>
                </c:pt>
                <c:pt idx="200">
                  <c:v>4.6129234487066358E-4</c:v>
                </c:pt>
                <c:pt idx="201">
                  <c:v>4.6836969953609268E-4</c:v>
                </c:pt>
                <c:pt idx="202">
                  <c:v>4.6386442361011587E-4</c:v>
                </c:pt>
                <c:pt idx="203">
                  <c:v>4.6448828419373071E-4</c:v>
                </c:pt>
                <c:pt idx="204">
                  <c:v>4.6510398678474742E-4</c:v>
                </c:pt>
                <c:pt idx="205">
                  <c:v>4.6571128420787121E-4</c:v>
                </c:pt>
                <c:pt idx="206">
                  <c:v>4.726642701150876E-4</c:v>
                </c:pt>
                <c:pt idx="207">
                  <c:v>4.6805147869044046E-4</c:v>
                </c:pt>
                <c:pt idx="208">
                  <c:v>4.6861304262681901E-4</c:v>
                </c:pt>
                <c:pt idx="209">
                  <c:v>4.6916471833703932E-4</c:v>
                </c:pt>
                <c:pt idx="210">
                  <c:v>4.6970625864498354E-4</c:v>
                </c:pt>
                <c:pt idx="211">
                  <c:v>4.8171902866414633E-4</c:v>
                </c:pt>
                <c:pt idx="212">
                  <c:v>4.8222856787251612E-4</c:v>
                </c:pt>
                <c:pt idx="213">
                  <c:v>4.8272648345535967E-4</c:v>
                </c:pt>
                <c:pt idx="214">
                  <c:v>4.8321252253999094E-4</c:v>
                </c:pt>
                <c:pt idx="215">
                  <c:v>4.941793657013663E-4</c:v>
                </c:pt>
                <c:pt idx="216">
                  <c:v>4.8503285645728746E-4</c:v>
                </c:pt>
                <c:pt idx="217">
                  <c:v>4.8545571997563519E-4</c:v>
                </c:pt>
                <c:pt idx="218">
                  <c:v>4.8586518976989829E-4</c:v>
                </c:pt>
                <c:pt idx="219">
                  <c:v>4.8626101297302233E-4</c:v>
                </c:pt>
                <c:pt idx="220">
                  <c:v>4.9719970121267889E-4</c:v>
                </c:pt>
                <c:pt idx="221">
                  <c:v>4.8770278257560644E-4</c:v>
                </c:pt>
                <c:pt idx="222">
                  <c:v>4.8802657986750077E-4</c:v>
                </c:pt>
                <c:pt idx="223">
                  <c:v>4.8833521340145569E-4</c:v>
                </c:pt>
                <c:pt idx="224">
                  <c:v>4.8863162145503121E-4</c:v>
                </c:pt>
                <c:pt idx="225">
                  <c:v>4.9952485403300805E-4</c:v>
                </c:pt>
                <c:pt idx="226">
                  <c:v>4.8972865298684367E-4</c:v>
                </c:pt>
                <c:pt idx="227">
                  <c:v>4.8998153638249832E-4</c:v>
                </c:pt>
                <c:pt idx="228">
                  <c:v>4.9022618024988258E-4</c:v>
                </c:pt>
                <c:pt idx="229">
                  <c:v>4.904627397203492E-4</c:v>
                </c:pt>
                <c:pt idx="230">
                  <c:v>4.9152970057803221E-4</c:v>
                </c:pt>
                <c:pt idx="231">
                  <c:v>4.9172101132435332E-4</c:v>
                </c:pt>
                <c:pt idx="232">
                  <c:v>4.8656988072737396E-4</c:v>
                </c:pt>
                <c:pt idx="233">
                  <c:v>4.8674544473154159E-4</c:v>
                </c:pt>
                <c:pt idx="234">
                  <c:v>4.8723307296800561E-4</c:v>
                </c:pt>
                <c:pt idx="235">
                  <c:v>4.8738311164610743E-4</c:v>
                </c:pt>
                <c:pt idx="236">
                  <c:v>4.8752715688895124E-4</c:v>
                </c:pt>
                <c:pt idx="237">
                  <c:v>4.8766536385527173E-4</c:v>
                </c:pt>
                <c:pt idx="238">
                  <c:v>4.8779788770538917E-4</c:v>
                </c:pt>
                <c:pt idx="239">
                  <c:v>4.8816291215573489E-4</c:v>
                </c:pt>
                <c:pt idx="240">
                  <c:v>4.882742551378681E-4</c:v>
                </c:pt>
                <c:pt idx="241">
                  <c:v>4.8838069080063659E-4</c:v>
                </c:pt>
                <c:pt idx="242">
                  <c:v>4.8848237430229114E-4</c:v>
                </c:pt>
                <c:pt idx="243">
                  <c:v>4.8857946080006222E-4</c:v>
                </c:pt>
                <c:pt idx="244">
                  <c:v>4.888446898283392E-4</c:v>
                </c:pt>
                <c:pt idx="245">
                  <c:v>4.889249398631727E-4</c:v>
                </c:pt>
                <c:pt idx="246">
                  <c:v>4.8900136866410985E-4</c:v>
                </c:pt>
                <c:pt idx="247">
                  <c:v>4.8907413138151671E-4</c:v>
                </c:pt>
                <c:pt idx="248">
                  <c:v>4.8914338316389725E-4</c:v>
                </c:pt>
                <c:pt idx="249">
                  <c:v>4.8933162436076737E-4</c:v>
                </c:pt>
                <c:pt idx="250">
                  <c:v>4.8938838385458071E-4</c:v>
                </c:pt>
                <c:pt idx="251">
                  <c:v>4.8944240812969571E-4</c:v>
                </c:pt>
                <c:pt idx="252">
                  <c:v>4.8949385232443989E-4</c:v>
                </c:pt>
                <c:pt idx="253">
                  <c:v>4.8954287157420282E-4</c:v>
                </c:pt>
                <c:pt idx="254">
                  <c:v>4.9508711666941465E-4</c:v>
                </c:pt>
                <c:pt idx="255">
                  <c:v>4.9512673901252688E-4</c:v>
                </c:pt>
                <c:pt idx="256">
                  <c:v>4.9516484555372033E-4</c:v>
                </c:pt>
                <c:pt idx="257">
                  <c:v>5.0594176380159856E-4</c:v>
                </c:pt>
                <c:pt idx="258">
                  <c:v>4.9530522903001482E-4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818752"/>
        <c:axId val="640091264"/>
      </c:scatterChart>
      <c:valAx>
        <c:axId val="63981875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40091264"/>
        <c:crosses val="autoZero"/>
        <c:crossBetween val="midCat"/>
      </c:valAx>
      <c:valAx>
        <c:axId val="640091264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63981875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1646056364166597"/>
          <c:y val="0.38825534739192086"/>
          <c:w val="0.14399406134839204"/>
          <c:h val="0.3102948607717138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3M'!$F$4</c:f>
              <c:numCache>
                <c:formatCode>ddd\,\ dd\-mmm\-yyyy</c:formatCode>
                <c:ptCount val="1"/>
                <c:pt idx="0">
                  <c:v>42124</c:v>
                </c:pt>
              </c:numCache>
            </c:numRef>
          </c:xVal>
          <c:yVal>
            <c:numRef>
              <c:f>'Delta 3M'!$M$4</c:f>
              <c:numCache>
                <c:formatCode>0.0000%</c:formatCode>
                <c:ptCount val="1"/>
                <c:pt idx="0">
                  <c:v>1.1560832956510076E-3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3M'!$F$5:$F$7</c:f>
              <c:numCache>
                <c:formatCode>ddd\,\ dd\-mmm\-yyyy</c:formatCode>
                <c:ptCount val="3"/>
                <c:pt idx="0">
                  <c:v>42153</c:v>
                </c:pt>
                <c:pt idx="1">
                  <c:v>42185</c:v>
                </c:pt>
                <c:pt idx="2">
                  <c:v>42215</c:v>
                </c:pt>
              </c:numCache>
            </c:numRef>
          </c:xVal>
          <c:yVal>
            <c:numRef>
              <c:f>'Delta 3M'!$M$5:$M$7</c:f>
              <c:numCache>
                <c:formatCode>0.0000%</c:formatCode>
                <c:ptCount val="3"/>
                <c:pt idx="0">
                  <c:v>1.3385859370535196E-3</c:v>
                </c:pt>
                <c:pt idx="1">
                  <c:v>1.4659382783932503E-3</c:v>
                </c:pt>
                <c:pt idx="2">
                  <c:v>1.5558051498667505E-3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3M'!$F$8:$F$12</c:f>
              <c:numCache>
                <c:formatCode>ddd\,\ dd\-mmm\-yyyy</c:formatCode>
                <c:ptCount val="5"/>
                <c:pt idx="0">
                  <c:v>42172</c:v>
                </c:pt>
                <c:pt idx="1">
                  <c:v>42263</c:v>
                </c:pt>
                <c:pt idx="2">
                  <c:v>42354</c:v>
                </c:pt>
                <c:pt idx="3">
                  <c:v>42445</c:v>
                </c:pt>
                <c:pt idx="4">
                  <c:v>42536</c:v>
                </c:pt>
              </c:numCache>
            </c:numRef>
          </c:xVal>
          <c:yVal>
            <c:numRef>
              <c:f>'Delta 3M'!$M$8:$M$12</c:f>
              <c:numCache>
                <c:formatCode>0.0000%</c:formatCode>
                <c:ptCount val="5"/>
                <c:pt idx="0">
                  <c:v>1.427928498807106E-3</c:v>
                </c:pt>
                <c:pt idx="1">
                  <c:v>1.5582783475708434E-3</c:v>
                </c:pt>
                <c:pt idx="2">
                  <c:v>1.7042492351423341E-3</c:v>
                </c:pt>
                <c:pt idx="3">
                  <c:v>1.941166970182308E-3</c:v>
                </c:pt>
                <c:pt idx="4">
                  <c:v>1.9776156319599343E-3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3M'!$S$3:$S$261</c:f>
              <c:numCache>
                <c:formatCode>ddd\,\ dd\-mmm\-yyyy</c:formatCode>
                <c:ptCount val="259"/>
                <c:pt idx="0">
                  <c:v>42124</c:v>
                </c:pt>
                <c:pt idx="1">
                  <c:v>42125</c:v>
                </c:pt>
                <c:pt idx="2">
                  <c:v>42129</c:v>
                </c:pt>
                <c:pt idx="3">
                  <c:v>42130</c:v>
                </c:pt>
                <c:pt idx="4">
                  <c:v>42131</c:v>
                </c:pt>
                <c:pt idx="5">
                  <c:v>42132</c:v>
                </c:pt>
                <c:pt idx="6">
                  <c:v>42135</c:v>
                </c:pt>
                <c:pt idx="7">
                  <c:v>42136</c:v>
                </c:pt>
                <c:pt idx="8">
                  <c:v>42137</c:v>
                </c:pt>
                <c:pt idx="9">
                  <c:v>42138</c:v>
                </c:pt>
                <c:pt idx="10">
                  <c:v>42139</c:v>
                </c:pt>
                <c:pt idx="11">
                  <c:v>42142</c:v>
                </c:pt>
                <c:pt idx="12">
                  <c:v>42143</c:v>
                </c:pt>
                <c:pt idx="13">
                  <c:v>42144</c:v>
                </c:pt>
                <c:pt idx="14">
                  <c:v>42145</c:v>
                </c:pt>
                <c:pt idx="15">
                  <c:v>42146</c:v>
                </c:pt>
                <c:pt idx="16">
                  <c:v>42150</c:v>
                </c:pt>
                <c:pt idx="17">
                  <c:v>42151</c:v>
                </c:pt>
                <c:pt idx="18">
                  <c:v>42152</c:v>
                </c:pt>
                <c:pt idx="19">
                  <c:v>42153</c:v>
                </c:pt>
                <c:pt idx="20">
                  <c:v>42156</c:v>
                </c:pt>
                <c:pt idx="21">
                  <c:v>42157</c:v>
                </c:pt>
                <c:pt idx="22">
                  <c:v>42158</c:v>
                </c:pt>
                <c:pt idx="23">
                  <c:v>42159</c:v>
                </c:pt>
                <c:pt idx="24">
                  <c:v>42160</c:v>
                </c:pt>
                <c:pt idx="25">
                  <c:v>42163</c:v>
                </c:pt>
                <c:pt idx="26">
                  <c:v>42164</c:v>
                </c:pt>
                <c:pt idx="27">
                  <c:v>42165</c:v>
                </c:pt>
                <c:pt idx="28">
                  <c:v>42166</c:v>
                </c:pt>
                <c:pt idx="29">
                  <c:v>42167</c:v>
                </c:pt>
                <c:pt idx="30">
                  <c:v>42170</c:v>
                </c:pt>
                <c:pt idx="31">
                  <c:v>42171</c:v>
                </c:pt>
                <c:pt idx="32">
                  <c:v>42172</c:v>
                </c:pt>
                <c:pt idx="33">
                  <c:v>42173</c:v>
                </c:pt>
                <c:pt idx="34">
                  <c:v>42174</c:v>
                </c:pt>
                <c:pt idx="35">
                  <c:v>42177</c:v>
                </c:pt>
                <c:pt idx="36">
                  <c:v>42178</c:v>
                </c:pt>
                <c:pt idx="37">
                  <c:v>42179</c:v>
                </c:pt>
                <c:pt idx="38">
                  <c:v>42180</c:v>
                </c:pt>
                <c:pt idx="39">
                  <c:v>42181</c:v>
                </c:pt>
                <c:pt idx="40">
                  <c:v>42184</c:v>
                </c:pt>
                <c:pt idx="41">
                  <c:v>42185</c:v>
                </c:pt>
                <c:pt idx="42">
                  <c:v>42186</c:v>
                </c:pt>
                <c:pt idx="43">
                  <c:v>42187</c:v>
                </c:pt>
                <c:pt idx="44">
                  <c:v>42188</c:v>
                </c:pt>
                <c:pt idx="45">
                  <c:v>42191</c:v>
                </c:pt>
                <c:pt idx="46">
                  <c:v>42192</c:v>
                </c:pt>
                <c:pt idx="47">
                  <c:v>42193</c:v>
                </c:pt>
                <c:pt idx="48">
                  <c:v>42194</c:v>
                </c:pt>
                <c:pt idx="49">
                  <c:v>42195</c:v>
                </c:pt>
                <c:pt idx="50">
                  <c:v>42198</c:v>
                </c:pt>
                <c:pt idx="51">
                  <c:v>42199</c:v>
                </c:pt>
                <c:pt idx="52">
                  <c:v>42200</c:v>
                </c:pt>
                <c:pt idx="53">
                  <c:v>42201</c:v>
                </c:pt>
                <c:pt idx="54">
                  <c:v>42202</c:v>
                </c:pt>
                <c:pt idx="55">
                  <c:v>42205</c:v>
                </c:pt>
                <c:pt idx="56">
                  <c:v>42206</c:v>
                </c:pt>
                <c:pt idx="57">
                  <c:v>42207</c:v>
                </c:pt>
                <c:pt idx="58">
                  <c:v>42208</c:v>
                </c:pt>
                <c:pt idx="59">
                  <c:v>42209</c:v>
                </c:pt>
                <c:pt idx="60">
                  <c:v>42212</c:v>
                </c:pt>
                <c:pt idx="61">
                  <c:v>42213</c:v>
                </c:pt>
                <c:pt idx="62">
                  <c:v>42214</c:v>
                </c:pt>
                <c:pt idx="63">
                  <c:v>42215</c:v>
                </c:pt>
                <c:pt idx="64">
                  <c:v>42216</c:v>
                </c:pt>
                <c:pt idx="65">
                  <c:v>42219</c:v>
                </c:pt>
                <c:pt idx="66">
                  <c:v>42220</c:v>
                </c:pt>
                <c:pt idx="67">
                  <c:v>42221</c:v>
                </c:pt>
                <c:pt idx="68">
                  <c:v>42222</c:v>
                </c:pt>
                <c:pt idx="69">
                  <c:v>42223</c:v>
                </c:pt>
                <c:pt idx="70">
                  <c:v>42226</c:v>
                </c:pt>
                <c:pt idx="71">
                  <c:v>42227</c:v>
                </c:pt>
                <c:pt idx="72">
                  <c:v>42228</c:v>
                </c:pt>
                <c:pt idx="73">
                  <c:v>42229</c:v>
                </c:pt>
                <c:pt idx="74">
                  <c:v>42230</c:v>
                </c:pt>
                <c:pt idx="75">
                  <c:v>42233</c:v>
                </c:pt>
                <c:pt idx="76">
                  <c:v>42234</c:v>
                </c:pt>
                <c:pt idx="77">
                  <c:v>42235</c:v>
                </c:pt>
                <c:pt idx="78">
                  <c:v>42236</c:v>
                </c:pt>
                <c:pt idx="79">
                  <c:v>42237</c:v>
                </c:pt>
                <c:pt idx="80">
                  <c:v>42240</c:v>
                </c:pt>
                <c:pt idx="81">
                  <c:v>42241</c:v>
                </c:pt>
                <c:pt idx="82">
                  <c:v>42242</c:v>
                </c:pt>
                <c:pt idx="83">
                  <c:v>42243</c:v>
                </c:pt>
                <c:pt idx="84">
                  <c:v>42244</c:v>
                </c:pt>
                <c:pt idx="85">
                  <c:v>42248</c:v>
                </c:pt>
                <c:pt idx="86">
                  <c:v>42249</c:v>
                </c:pt>
                <c:pt idx="87">
                  <c:v>42250</c:v>
                </c:pt>
                <c:pt idx="88">
                  <c:v>42251</c:v>
                </c:pt>
                <c:pt idx="89">
                  <c:v>42254</c:v>
                </c:pt>
                <c:pt idx="90">
                  <c:v>42255</c:v>
                </c:pt>
                <c:pt idx="91">
                  <c:v>42256</c:v>
                </c:pt>
                <c:pt idx="92">
                  <c:v>42257</c:v>
                </c:pt>
                <c:pt idx="93">
                  <c:v>42258</c:v>
                </c:pt>
                <c:pt idx="94">
                  <c:v>42261</c:v>
                </c:pt>
                <c:pt idx="95">
                  <c:v>42262</c:v>
                </c:pt>
                <c:pt idx="96">
                  <c:v>42263</c:v>
                </c:pt>
                <c:pt idx="97">
                  <c:v>42264</c:v>
                </c:pt>
                <c:pt idx="98">
                  <c:v>42265</c:v>
                </c:pt>
                <c:pt idx="99">
                  <c:v>42268</c:v>
                </c:pt>
                <c:pt idx="100">
                  <c:v>42269</c:v>
                </c:pt>
                <c:pt idx="101">
                  <c:v>42270</c:v>
                </c:pt>
                <c:pt idx="102">
                  <c:v>42271</c:v>
                </c:pt>
                <c:pt idx="103">
                  <c:v>42272</c:v>
                </c:pt>
                <c:pt idx="104">
                  <c:v>42275</c:v>
                </c:pt>
                <c:pt idx="105">
                  <c:v>42276</c:v>
                </c:pt>
                <c:pt idx="106">
                  <c:v>42277</c:v>
                </c:pt>
                <c:pt idx="107">
                  <c:v>42278</c:v>
                </c:pt>
                <c:pt idx="108">
                  <c:v>42279</c:v>
                </c:pt>
                <c:pt idx="109">
                  <c:v>42282</c:v>
                </c:pt>
                <c:pt idx="110">
                  <c:v>42283</c:v>
                </c:pt>
                <c:pt idx="111">
                  <c:v>42284</c:v>
                </c:pt>
                <c:pt idx="112">
                  <c:v>42285</c:v>
                </c:pt>
                <c:pt idx="113">
                  <c:v>42286</c:v>
                </c:pt>
                <c:pt idx="114">
                  <c:v>42289</c:v>
                </c:pt>
                <c:pt idx="115">
                  <c:v>42290</c:v>
                </c:pt>
                <c:pt idx="116">
                  <c:v>42291</c:v>
                </c:pt>
                <c:pt idx="117">
                  <c:v>42292</c:v>
                </c:pt>
                <c:pt idx="118">
                  <c:v>42293</c:v>
                </c:pt>
                <c:pt idx="119">
                  <c:v>42296</c:v>
                </c:pt>
                <c:pt idx="120">
                  <c:v>42297</c:v>
                </c:pt>
                <c:pt idx="121">
                  <c:v>42298</c:v>
                </c:pt>
                <c:pt idx="122">
                  <c:v>42299</c:v>
                </c:pt>
                <c:pt idx="123">
                  <c:v>42300</c:v>
                </c:pt>
                <c:pt idx="124">
                  <c:v>42303</c:v>
                </c:pt>
                <c:pt idx="125">
                  <c:v>42304</c:v>
                </c:pt>
                <c:pt idx="126">
                  <c:v>42305</c:v>
                </c:pt>
                <c:pt idx="127">
                  <c:v>42306</c:v>
                </c:pt>
                <c:pt idx="128">
                  <c:v>42307</c:v>
                </c:pt>
                <c:pt idx="129">
                  <c:v>42310</c:v>
                </c:pt>
                <c:pt idx="130">
                  <c:v>42311</c:v>
                </c:pt>
                <c:pt idx="131">
                  <c:v>42312</c:v>
                </c:pt>
                <c:pt idx="132">
                  <c:v>42313</c:v>
                </c:pt>
                <c:pt idx="133">
                  <c:v>42314</c:v>
                </c:pt>
                <c:pt idx="134">
                  <c:v>42317</c:v>
                </c:pt>
                <c:pt idx="135">
                  <c:v>42318</c:v>
                </c:pt>
                <c:pt idx="136">
                  <c:v>42319</c:v>
                </c:pt>
                <c:pt idx="137">
                  <c:v>42320</c:v>
                </c:pt>
                <c:pt idx="138">
                  <c:v>42321</c:v>
                </c:pt>
                <c:pt idx="139">
                  <c:v>42324</c:v>
                </c:pt>
                <c:pt idx="140">
                  <c:v>42325</c:v>
                </c:pt>
                <c:pt idx="141">
                  <c:v>42326</c:v>
                </c:pt>
                <c:pt idx="142">
                  <c:v>42327</c:v>
                </c:pt>
                <c:pt idx="143">
                  <c:v>42328</c:v>
                </c:pt>
                <c:pt idx="144">
                  <c:v>42331</c:v>
                </c:pt>
                <c:pt idx="145">
                  <c:v>42332</c:v>
                </c:pt>
                <c:pt idx="146">
                  <c:v>42333</c:v>
                </c:pt>
                <c:pt idx="147">
                  <c:v>42334</c:v>
                </c:pt>
                <c:pt idx="148">
                  <c:v>42335</c:v>
                </c:pt>
                <c:pt idx="149">
                  <c:v>42338</c:v>
                </c:pt>
                <c:pt idx="150">
                  <c:v>42339</c:v>
                </c:pt>
                <c:pt idx="151">
                  <c:v>42340</c:v>
                </c:pt>
                <c:pt idx="152">
                  <c:v>42341</c:v>
                </c:pt>
                <c:pt idx="153">
                  <c:v>42342</c:v>
                </c:pt>
                <c:pt idx="154">
                  <c:v>42345</c:v>
                </c:pt>
                <c:pt idx="155">
                  <c:v>42346</c:v>
                </c:pt>
                <c:pt idx="156">
                  <c:v>42347</c:v>
                </c:pt>
                <c:pt idx="157">
                  <c:v>42348</c:v>
                </c:pt>
                <c:pt idx="158">
                  <c:v>42349</c:v>
                </c:pt>
                <c:pt idx="159">
                  <c:v>42352</c:v>
                </c:pt>
                <c:pt idx="160">
                  <c:v>42353</c:v>
                </c:pt>
                <c:pt idx="161">
                  <c:v>42354</c:v>
                </c:pt>
                <c:pt idx="162">
                  <c:v>42355</c:v>
                </c:pt>
                <c:pt idx="163">
                  <c:v>42356</c:v>
                </c:pt>
                <c:pt idx="164">
                  <c:v>42359</c:v>
                </c:pt>
                <c:pt idx="165">
                  <c:v>42360</c:v>
                </c:pt>
                <c:pt idx="166">
                  <c:v>42361</c:v>
                </c:pt>
                <c:pt idx="167">
                  <c:v>42362</c:v>
                </c:pt>
                <c:pt idx="168">
                  <c:v>42367</c:v>
                </c:pt>
                <c:pt idx="169">
                  <c:v>42368</c:v>
                </c:pt>
                <c:pt idx="170">
                  <c:v>42369</c:v>
                </c:pt>
                <c:pt idx="171">
                  <c:v>42373</c:v>
                </c:pt>
                <c:pt idx="172">
                  <c:v>42374</c:v>
                </c:pt>
                <c:pt idx="173">
                  <c:v>42375</c:v>
                </c:pt>
                <c:pt idx="174">
                  <c:v>42376</c:v>
                </c:pt>
                <c:pt idx="175">
                  <c:v>42377</c:v>
                </c:pt>
                <c:pt idx="176">
                  <c:v>42380</c:v>
                </c:pt>
                <c:pt idx="177">
                  <c:v>42381</c:v>
                </c:pt>
                <c:pt idx="178">
                  <c:v>42382</c:v>
                </c:pt>
                <c:pt idx="179">
                  <c:v>42383</c:v>
                </c:pt>
                <c:pt idx="180">
                  <c:v>42384</c:v>
                </c:pt>
                <c:pt idx="181">
                  <c:v>42387</c:v>
                </c:pt>
                <c:pt idx="182">
                  <c:v>42388</c:v>
                </c:pt>
                <c:pt idx="183">
                  <c:v>42389</c:v>
                </c:pt>
                <c:pt idx="184">
                  <c:v>42390</c:v>
                </c:pt>
                <c:pt idx="185">
                  <c:v>42391</c:v>
                </c:pt>
                <c:pt idx="186">
                  <c:v>42394</c:v>
                </c:pt>
                <c:pt idx="187">
                  <c:v>42395</c:v>
                </c:pt>
                <c:pt idx="188">
                  <c:v>42396</c:v>
                </c:pt>
                <c:pt idx="189">
                  <c:v>42397</c:v>
                </c:pt>
                <c:pt idx="190">
                  <c:v>42398</c:v>
                </c:pt>
                <c:pt idx="191">
                  <c:v>42401</c:v>
                </c:pt>
                <c:pt idx="192">
                  <c:v>42402</c:v>
                </c:pt>
                <c:pt idx="193">
                  <c:v>42403</c:v>
                </c:pt>
                <c:pt idx="194">
                  <c:v>42404</c:v>
                </c:pt>
                <c:pt idx="195">
                  <c:v>42405</c:v>
                </c:pt>
                <c:pt idx="196">
                  <c:v>42408</c:v>
                </c:pt>
                <c:pt idx="197">
                  <c:v>42409</c:v>
                </c:pt>
                <c:pt idx="198">
                  <c:v>42410</c:v>
                </c:pt>
                <c:pt idx="199">
                  <c:v>42411</c:v>
                </c:pt>
                <c:pt idx="200">
                  <c:v>42412</c:v>
                </c:pt>
                <c:pt idx="201">
                  <c:v>42415</c:v>
                </c:pt>
                <c:pt idx="202">
                  <c:v>42416</c:v>
                </c:pt>
                <c:pt idx="203">
                  <c:v>42417</c:v>
                </c:pt>
                <c:pt idx="204">
                  <c:v>42418</c:v>
                </c:pt>
                <c:pt idx="205">
                  <c:v>42419</c:v>
                </c:pt>
                <c:pt idx="206">
                  <c:v>42422</c:v>
                </c:pt>
                <c:pt idx="207">
                  <c:v>42423</c:v>
                </c:pt>
                <c:pt idx="208">
                  <c:v>42424</c:v>
                </c:pt>
                <c:pt idx="209">
                  <c:v>42425</c:v>
                </c:pt>
                <c:pt idx="210">
                  <c:v>42426</c:v>
                </c:pt>
                <c:pt idx="211">
                  <c:v>42429</c:v>
                </c:pt>
                <c:pt idx="212">
                  <c:v>42430</c:v>
                </c:pt>
                <c:pt idx="213">
                  <c:v>42431</c:v>
                </c:pt>
                <c:pt idx="214">
                  <c:v>42432</c:v>
                </c:pt>
                <c:pt idx="215">
                  <c:v>42433</c:v>
                </c:pt>
                <c:pt idx="216">
                  <c:v>42436</c:v>
                </c:pt>
                <c:pt idx="217">
                  <c:v>42437</c:v>
                </c:pt>
                <c:pt idx="218">
                  <c:v>42438</c:v>
                </c:pt>
                <c:pt idx="219">
                  <c:v>42439</c:v>
                </c:pt>
                <c:pt idx="220">
                  <c:v>42440</c:v>
                </c:pt>
                <c:pt idx="221">
                  <c:v>42443</c:v>
                </c:pt>
                <c:pt idx="222">
                  <c:v>42444</c:v>
                </c:pt>
                <c:pt idx="223">
                  <c:v>42445</c:v>
                </c:pt>
                <c:pt idx="224">
                  <c:v>42446</c:v>
                </c:pt>
                <c:pt idx="225">
                  <c:v>42447</c:v>
                </c:pt>
                <c:pt idx="226">
                  <c:v>42450</c:v>
                </c:pt>
                <c:pt idx="227">
                  <c:v>42451</c:v>
                </c:pt>
                <c:pt idx="228">
                  <c:v>42452</c:v>
                </c:pt>
                <c:pt idx="229">
                  <c:v>42453</c:v>
                </c:pt>
                <c:pt idx="230">
                  <c:v>42458</c:v>
                </c:pt>
                <c:pt idx="231">
                  <c:v>42459</c:v>
                </c:pt>
                <c:pt idx="232">
                  <c:v>42460</c:v>
                </c:pt>
                <c:pt idx="233">
                  <c:v>42461</c:v>
                </c:pt>
                <c:pt idx="234">
                  <c:v>42464</c:v>
                </c:pt>
                <c:pt idx="235">
                  <c:v>42465</c:v>
                </c:pt>
                <c:pt idx="236">
                  <c:v>42466</c:v>
                </c:pt>
                <c:pt idx="237">
                  <c:v>42467</c:v>
                </c:pt>
                <c:pt idx="238">
                  <c:v>42468</c:v>
                </c:pt>
                <c:pt idx="239">
                  <c:v>42471</c:v>
                </c:pt>
                <c:pt idx="240">
                  <c:v>42472</c:v>
                </c:pt>
                <c:pt idx="241">
                  <c:v>42473</c:v>
                </c:pt>
                <c:pt idx="242">
                  <c:v>42474</c:v>
                </c:pt>
                <c:pt idx="243">
                  <c:v>42475</c:v>
                </c:pt>
                <c:pt idx="244">
                  <c:v>42478</c:v>
                </c:pt>
                <c:pt idx="245">
                  <c:v>42479</c:v>
                </c:pt>
                <c:pt idx="246">
                  <c:v>42480</c:v>
                </c:pt>
                <c:pt idx="247">
                  <c:v>42481</c:v>
                </c:pt>
                <c:pt idx="248">
                  <c:v>42482</c:v>
                </c:pt>
                <c:pt idx="249">
                  <c:v>42485</c:v>
                </c:pt>
                <c:pt idx="250">
                  <c:v>42486</c:v>
                </c:pt>
                <c:pt idx="251">
                  <c:v>42487</c:v>
                </c:pt>
                <c:pt idx="252">
                  <c:v>42488</c:v>
                </c:pt>
                <c:pt idx="253">
                  <c:v>42489</c:v>
                </c:pt>
                <c:pt idx="254">
                  <c:v>42493</c:v>
                </c:pt>
                <c:pt idx="255">
                  <c:v>42494</c:v>
                </c:pt>
                <c:pt idx="256">
                  <c:v>42495</c:v>
                </c:pt>
                <c:pt idx="257">
                  <c:v>42496</c:v>
                </c:pt>
                <c:pt idx="258">
                  <c:v>42499</c:v>
                </c:pt>
              </c:numCache>
            </c:numRef>
          </c:xVal>
          <c:yVal>
            <c:numRef>
              <c:f>'Delta 3M'!$V$3:$V$261</c:f>
              <c:numCache>
                <c:formatCode>0.0000%</c:formatCode>
                <c:ptCount val="259"/>
                <c:pt idx="0">
                  <c:v>1.1560832956510076E-3</c:v>
                </c:pt>
                <c:pt idx="1">
                  <c:v>1.1627703745188094E-3</c:v>
                </c:pt>
                <c:pt idx="2">
                  <c:v>1.189462420799063E-3</c:v>
                </c:pt>
                <c:pt idx="3">
                  <c:v>1.1961072977736491E-3</c:v>
                </c:pt>
                <c:pt idx="4">
                  <c:v>1.2027352939909489E-3</c:v>
                </c:pt>
                <c:pt idx="5">
                  <c:v>1.2093435959914147E-3</c:v>
                </c:pt>
                <c:pt idx="6">
                  <c:v>1.2290222020963305E-3</c:v>
                </c:pt>
                <c:pt idx="7">
                  <c:v>1.235523592633983E-3</c:v>
                </c:pt>
                <c:pt idx="8">
                  <c:v>1.2419912216570627E-3</c:v>
                </c:pt>
                <c:pt idx="9">
                  <c:v>1.2484222757060221E-3</c:v>
                </c:pt>
                <c:pt idx="10">
                  <c:v>1.2548139413213135E-3</c:v>
                </c:pt>
                <c:pt idx="11">
                  <c:v>1.2737244729697015E-3</c:v>
                </c:pt>
                <c:pt idx="12">
                  <c:v>1.2799304502548433E-3</c:v>
                </c:pt>
                <c:pt idx="13">
                  <c:v>1.2860829718085785E-3</c:v>
                </c:pt>
                <c:pt idx="14">
                  <c:v>1.2921792241713591E-3</c:v>
                </c:pt>
                <c:pt idx="15">
                  <c:v>1.2982163938836378E-3</c:v>
                </c:pt>
                <c:pt idx="16">
                  <c:v>1.3217179770367762E-3</c:v>
                </c:pt>
                <c:pt idx="17">
                  <c:v>1.3274175316033284E-3</c:v>
                </c:pt>
                <c:pt idx="18">
                  <c:v>1.333041122762092E-3</c:v>
                </c:pt>
                <c:pt idx="19">
                  <c:v>1.3385859370535196E-3</c:v>
                </c:pt>
                <c:pt idx="20">
                  <c:v>1.3547302148467272E-3</c:v>
                </c:pt>
                <c:pt idx="21">
                  <c:v>1.3599463550948703E-3</c:v>
                </c:pt>
                <c:pt idx="22">
                  <c:v>1.3650791007054225E-3</c:v>
                </c:pt>
                <c:pt idx="23">
                  <c:v>1.370128000600707E-3</c:v>
                </c:pt>
                <c:pt idx="24">
                  <c:v>1.3750926037030468E-3</c:v>
                </c:pt>
                <c:pt idx="25">
                  <c:v>1.3894761214756314E-3</c:v>
                </c:pt>
                <c:pt idx="26">
                  <c:v>1.3940990266294254E-3</c:v>
                </c:pt>
                <c:pt idx="27">
                  <c:v>1.398635379601891E-3</c:v>
                </c:pt>
                <c:pt idx="28">
                  <c:v>1.4030847293153516E-3</c:v>
                </c:pt>
                <c:pt idx="29">
                  <c:v>1.40744662469213E-3</c:v>
                </c:pt>
                <c:pt idx="30">
                  <c:v>1.4200030740256059E-3</c:v>
                </c:pt>
                <c:pt idx="31">
                  <c:v>1.424010641278889E-3</c:v>
                </c:pt>
                <c:pt idx="32">
                  <c:v>1.427928498807106E-3</c:v>
                </c:pt>
                <c:pt idx="33">
                  <c:v>1.4317564713981175E-3</c:v>
                </c:pt>
                <c:pt idx="34">
                  <c:v>1.4354954873019323E-3</c:v>
                </c:pt>
                <c:pt idx="35">
                  <c:v>1.4461908360456494E-3</c:v>
                </c:pt>
                <c:pt idx="36">
                  <c:v>1.4495860663561316E-3</c:v>
                </c:pt>
                <c:pt idx="37">
                  <c:v>1.4528983605571445E-3</c:v>
                </c:pt>
                <c:pt idx="38">
                  <c:v>1.4561289227642338E-3</c:v>
                </c:pt>
                <c:pt idx="39">
                  <c:v>1.4592789570929453E-3</c:v>
                </c:pt>
                <c:pt idx="40">
                  <c:v>1.4682579339642668E-3</c:v>
                </c:pt>
                <c:pt idx="41">
                  <c:v>1.4710978979349215E-3</c:v>
                </c:pt>
                <c:pt idx="42">
                  <c:v>1.4738633546049263E-3</c:v>
                </c:pt>
                <c:pt idx="43">
                  <c:v>1.4765555080898263E-3</c:v>
                </c:pt>
                <c:pt idx="44">
                  <c:v>1.4791755625051673E-3</c:v>
                </c:pt>
                <c:pt idx="45">
                  <c:v>1.4866151724892917E-3</c:v>
                </c:pt>
                <c:pt idx="46">
                  <c:v>1.4889588717818523E-3</c:v>
                </c:pt>
                <c:pt idx="47">
                  <c:v>1.4912364925825814E-3</c:v>
                </c:pt>
                <c:pt idx="48">
                  <c:v>1.4934492390070251E-3</c:v>
                </c:pt>
                <c:pt idx="49">
                  <c:v>1.4955983151707288E-3</c:v>
                </c:pt>
                <c:pt idx="50">
                  <c:v>1.5016755632528548E-3</c:v>
                </c:pt>
                <c:pt idx="51">
                  <c:v>1.5035819995290536E-3</c:v>
                </c:pt>
                <c:pt idx="52">
                  <c:v>1.5054307861222405E-3</c:v>
                </c:pt>
                <c:pt idx="53">
                  <c:v>1.5072231271479606E-3</c:v>
                </c:pt>
                <c:pt idx="54">
                  <c:v>1.5089602267217598E-3</c:v>
                </c:pt>
                <c:pt idx="55">
                  <c:v>1.5138521178870862E-3</c:v>
                </c:pt>
                <c:pt idx="56">
                  <c:v>1.5153802928086564E-3</c:v>
                </c:pt>
                <c:pt idx="57">
                  <c:v>1.5168592468560336E-3</c:v>
                </c:pt>
                <c:pt idx="58">
                  <c:v>1.5182901841447633E-3</c:v>
                </c:pt>
                <c:pt idx="59">
                  <c:v>1.5196743087903905E-3</c:v>
                </c:pt>
                <c:pt idx="60">
                  <c:v>1.523557848024116E-3</c:v>
                </c:pt>
                <c:pt idx="61">
                  <c:v>1.5247667632527907E-3</c:v>
                </c:pt>
                <c:pt idx="62">
                  <c:v>1.5259348864160912E-3</c:v>
                </c:pt>
                <c:pt idx="63">
                  <c:v>1.527063421629563E-3</c:v>
                </c:pt>
                <c:pt idx="64">
                  <c:v>1.5281535730087518E-3</c:v>
                </c:pt>
                <c:pt idx="65">
                  <c:v>1.5312057652960749E-3</c:v>
                </c:pt>
                <c:pt idx="66">
                  <c:v>1.532154422493587E-3</c:v>
                </c:pt>
                <c:pt idx="67">
                  <c:v>1.5330707164345435E-3</c:v>
                </c:pt>
                <c:pt idx="68">
                  <c:v>1.5339558512344905E-3</c:v>
                </c:pt>
                <c:pt idx="69">
                  <c:v>1.5348110310089735E-3</c:v>
                </c:pt>
                <c:pt idx="70">
                  <c:v>1.537208881335093E-3</c:v>
                </c:pt>
                <c:pt idx="71">
                  <c:v>1.537956282163175E-3</c:v>
                </c:pt>
                <c:pt idx="72">
                  <c:v>1.5386797485435208E-3</c:v>
                </c:pt>
                <c:pt idx="73">
                  <c:v>1.5393804845916759E-3</c:v>
                </c:pt>
                <c:pt idx="74">
                  <c:v>1.5400596944231859E-3</c:v>
                </c:pt>
                <c:pt idx="75">
                  <c:v>1.5419802077733006E-3</c:v>
                </c:pt>
                <c:pt idx="76">
                  <c:v>1.5425853538936858E-3</c:v>
                </c:pt>
                <c:pt idx="77">
                  <c:v>1.5431749943751536E-3</c:v>
                </c:pt>
                <c:pt idx="78">
                  <c:v>1.5437503333332497E-3</c:v>
                </c:pt>
                <c:pt idx="79">
                  <c:v>1.5443125748835196E-3</c:v>
                </c:pt>
                <c:pt idx="80">
                  <c:v>1.5459327562428282E-3</c:v>
                </c:pt>
                <c:pt idx="81">
                  <c:v>1.5464546493172491E-3</c:v>
                </c:pt>
                <c:pt idx="82">
                  <c:v>1.5469694655615718E-3</c:v>
                </c:pt>
                <c:pt idx="83">
                  <c:v>1.5474784090913417E-3</c:v>
                </c:pt>
                <c:pt idx="84">
                  <c:v>1.5479826840221046E-3</c:v>
                </c:pt>
                <c:pt idx="85">
                  <c:v>1.5499771800659957E-3</c:v>
                </c:pt>
                <c:pt idx="86">
                  <c:v>1.5504761737349061E-3</c:v>
                </c:pt>
                <c:pt idx="87">
                  <c:v>1.5509777234980829E-3</c:v>
                </c:pt>
                <c:pt idx="88">
                  <c:v>1.5514830334710714E-3</c:v>
                </c:pt>
                <c:pt idx="89">
                  <c:v>1.5530335658043638E-3</c:v>
                </c:pt>
                <c:pt idx="90">
                  <c:v>1.5535659577720553E-3</c:v>
                </c:pt>
                <c:pt idx="91">
                  <c:v>1.5541081305272865E-3</c:v>
                </c:pt>
                <c:pt idx="92">
                  <c:v>1.5546612881856029E-3</c:v>
                </c:pt>
                <c:pt idx="93">
                  <c:v>1.5552266348625502E-3</c:v>
                </c:pt>
                <c:pt idx="94">
                  <c:v>1.5570078501606324E-3</c:v>
                </c:pt>
                <c:pt idx="95">
                  <c:v>1.5576339940675586E-3</c:v>
                </c:pt>
                <c:pt idx="96">
                  <c:v>1.5582783475708434E-3</c:v>
                </c:pt>
                <c:pt idx="97">
                  <c:v>1.5589419221778914E-3</c:v>
                </c:pt>
                <c:pt idx="98">
                  <c:v>1.5596249589635428E-3</c:v>
                </c:pt>
                <c:pt idx="99">
                  <c:v>1.5617913270591088E-3</c:v>
                </c:pt>
                <c:pt idx="100">
                  <c:v>1.5625526972261657E-3</c:v>
                </c:pt>
                <c:pt idx="101">
                  <c:v>1.5633337719053216E-3</c:v>
                </c:pt>
                <c:pt idx="102">
                  <c:v>1.564134599563276E-3</c:v>
                </c:pt>
                <c:pt idx="103">
                  <c:v>1.5649552286667279E-3</c:v>
                </c:pt>
                <c:pt idx="104">
                  <c:v>1.5675364093170616E-3</c:v>
                </c:pt>
                <c:pt idx="105">
                  <c:v>1.5684367288694957E-3</c:v>
                </c:pt>
                <c:pt idx="106">
                  <c:v>1.5693570922009235E-3</c:v>
                </c:pt>
                <c:pt idx="107">
                  <c:v>1.5702975477780439E-3</c:v>
                </c:pt>
                <c:pt idx="108">
                  <c:v>1.5712581440675561E-3</c:v>
                </c:pt>
                <c:pt idx="109">
                  <c:v>1.5742612618774355E-3</c:v>
                </c:pt>
                <c:pt idx="110">
                  <c:v>1.5753029056835069E-3</c:v>
                </c:pt>
                <c:pt idx="111">
                  <c:v>1.576364932535466E-3</c:v>
                </c:pt>
                <c:pt idx="112">
                  <c:v>1.5774473909000118E-3</c:v>
                </c:pt>
                <c:pt idx="113">
                  <c:v>1.578550329243844E-3</c:v>
                </c:pt>
                <c:pt idx="114">
                  <c:v>1.581982508818048E-3</c:v>
                </c:pt>
                <c:pt idx="115">
                  <c:v>1.5831678517460161E-3</c:v>
                </c:pt>
                <c:pt idx="116">
                  <c:v>1.5843739169867658E-3</c:v>
                </c:pt>
                <c:pt idx="117">
                  <c:v>1.585600753006997E-3</c:v>
                </c:pt>
                <c:pt idx="118">
                  <c:v>1.5868484082734082E-3</c:v>
                </c:pt>
                <c:pt idx="119">
                  <c:v>1.5907167742167155E-3</c:v>
                </c:pt>
                <c:pt idx="120">
                  <c:v>1.5920481911348397E-3</c:v>
                </c:pt>
                <c:pt idx="121">
                  <c:v>1.5934006696326402E-3</c:v>
                </c:pt>
                <c:pt idx="122">
                  <c:v>1.5947742581768158E-3</c:v>
                </c:pt>
                <c:pt idx="123">
                  <c:v>1.5961690052340659E-3</c:v>
                </c:pt>
                <c:pt idx="124">
                  <c:v>1.6004806821512552E-3</c:v>
                </c:pt>
                <c:pt idx="125">
                  <c:v>1.6019605479277953E-3</c:v>
                </c:pt>
                <c:pt idx="126">
                  <c:v>1.6034618145509055E-3</c:v>
                </c:pt>
                <c:pt idx="127">
                  <c:v>1.6049845304872854E-3</c:v>
                </c:pt>
                <c:pt idx="128">
                  <c:v>1.6065287442036341E-3</c:v>
                </c:pt>
                <c:pt idx="129">
                  <c:v>1.611290856699484E-3</c:v>
                </c:pt>
                <c:pt idx="130">
                  <c:v>1.6129215462026992E-3</c:v>
                </c:pt>
                <c:pt idx="131">
                  <c:v>1.6145739758193791E-3</c:v>
                </c:pt>
                <c:pt idx="132">
                  <c:v>1.6162481940162226E-3</c:v>
                </c:pt>
                <c:pt idx="133">
                  <c:v>1.6179442492599292E-3</c:v>
                </c:pt>
                <c:pt idx="134">
                  <c:v>1.6231639219392185E-3</c:v>
                </c:pt>
                <c:pt idx="135">
                  <c:v>1.6249478100373686E-3</c:v>
                </c:pt>
                <c:pt idx="136">
                  <c:v>1.6267537775158775E-3</c:v>
                </c:pt>
                <c:pt idx="137">
                  <c:v>1.6285818728414443E-3</c:v>
                </c:pt>
                <c:pt idx="138">
                  <c:v>1.6304321444807685E-3</c:v>
                </c:pt>
                <c:pt idx="139">
                  <c:v>1.6361165019482757E-3</c:v>
                </c:pt>
                <c:pt idx="140">
                  <c:v>1.6380559635096202E-3</c:v>
                </c:pt>
                <c:pt idx="141">
                  <c:v>1.6400178437182178E-3</c:v>
                </c:pt>
                <c:pt idx="142">
                  <c:v>1.6420021910407675E-3</c:v>
                </c:pt>
                <c:pt idx="143">
                  <c:v>1.6440090539439687E-3</c:v>
                </c:pt>
                <c:pt idx="144">
                  <c:v>1.6501652208044725E-3</c:v>
                </c:pt>
                <c:pt idx="145">
                  <c:v>1.6522626306972709E-3</c:v>
                </c:pt>
                <c:pt idx="146">
                  <c:v>1.6543827985042166E-3</c:v>
                </c:pt>
                <c:pt idx="147">
                  <c:v>1.6565257726920087E-3</c:v>
                </c:pt>
                <c:pt idx="148">
                  <c:v>1.6586916017273467E-3</c:v>
                </c:pt>
                <c:pt idx="149">
                  <c:v>1.6653267025856255E-3</c:v>
                </c:pt>
                <c:pt idx="150">
                  <c:v>1.6675844356781376E-3</c:v>
                </c:pt>
                <c:pt idx="151">
                  <c:v>1.6698652659516912E-3</c:v>
                </c:pt>
                <c:pt idx="152">
                  <c:v>1.6721692418729852E-3</c:v>
                </c:pt>
                <c:pt idx="153">
                  <c:v>1.6744964119087193E-3</c:v>
                </c:pt>
                <c:pt idx="154">
                  <c:v>1.681617571369552E-3</c:v>
                </c:pt>
                <c:pt idx="155">
                  <c:v>1.6840380025300371E-3</c:v>
                </c:pt>
                <c:pt idx="156">
                  <c:v>1.6864818701384579E-3</c:v>
                </c:pt>
                <c:pt idx="157">
                  <c:v>1.6889492226615137E-3</c:v>
                </c:pt>
                <c:pt idx="158">
                  <c:v>1.6914401085659034E-3</c:v>
                </c:pt>
                <c:pt idx="159">
                  <c:v>1.6990544512340687E-3</c:v>
                </c:pt>
                <c:pt idx="160">
                  <c:v>1.7016399553307865E-3</c:v>
                </c:pt>
                <c:pt idx="161">
                  <c:v>1.7042492351423341E-3</c:v>
                </c:pt>
                <c:pt idx="162">
                  <c:v>1.7068852683290892E-3</c:v>
                </c:pt>
                <c:pt idx="163">
                  <c:v>1.7095503316277478E-3</c:v>
                </c:pt>
                <c:pt idx="164">
                  <c:v>1.7177096730069158E-3</c:v>
                </c:pt>
                <c:pt idx="165">
                  <c:v>1.7204808275649596E-3</c:v>
                </c:pt>
                <c:pt idx="166">
                  <c:v>1.7232759976407923E-3</c:v>
                </c:pt>
                <c:pt idx="167">
                  <c:v>1.7260941803155913E-3</c:v>
                </c:pt>
                <c:pt idx="168">
                  <c:v>1.7404951805152767E-3</c:v>
                </c:pt>
                <c:pt idx="169">
                  <c:v>1.7434303774885916E-3</c:v>
                </c:pt>
                <c:pt idx="170">
                  <c:v>1.7463815666291123E-3</c:v>
                </c:pt>
                <c:pt idx="171">
                  <c:v>1.7583261864867962E-3</c:v>
                </c:pt>
                <c:pt idx="172">
                  <c:v>1.7613422926810029E-3</c:v>
                </c:pt>
                <c:pt idx="173">
                  <c:v>1.7643683735294781E-3</c:v>
                </c:pt>
                <c:pt idx="174">
                  <c:v>1.7674034261133988E-3</c:v>
                </c:pt>
                <c:pt idx="175">
                  <c:v>1.7704464475139421E-3</c:v>
                </c:pt>
                <c:pt idx="176">
                  <c:v>1.7796132954270795E-3</c:v>
                </c:pt>
                <c:pt idx="177">
                  <c:v>1.7826781629058847E-3</c:v>
                </c:pt>
                <c:pt idx="178">
                  <c:v>1.7857459846071981E-3</c:v>
                </c:pt>
                <c:pt idx="179">
                  <c:v>1.7888157576121967E-3</c:v>
                </c:pt>
                <c:pt idx="180">
                  <c:v>1.7918864790020578E-3</c:v>
                </c:pt>
                <c:pt idx="181">
                  <c:v>1.8010943042925864E-3</c:v>
                </c:pt>
                <c:pt idx="182">
                  <c:v>1.804158790033668E-3</c:v>
                </c:pt>
                <c:pt idx="183">
                  <c:v>1.8072192095654977E-3</c:v>
                </c:pt>
                <c:pt idx="184">
                  <c:v>1.8102745599692523E-3</c:v>
                </c:pt>
                <c:pt idx="185">
                  <c:v>1.813323838326109E-3</c:v>
                </c:pt>
                <c:pt idx="186">
                  <c:v>1.8224252119270631E-3</c:v>
                </c:pt>
                <c:pt idx="187">
                  <c:v>1.8254401729080993E-3</c:v>
                </c:pt>
                <c:pt idx="188">
                  <c:v>1.8284440472481232E-3</c:v>
                </c:pt>
                <c:pt idx="189">
                  <c:v>1.8314358320283117E-3</c:v>
                </c:pt>
                <c:pt idx="190">
                  <c:v>1.8344145243298423E-3</c:v>
                </c:pt>
                <c:pt idx="191">
                  <c:v>1.8432620171742557E-3</c:v>
                </c:pt>
                <c:pt idx="192">
                  <c:v>1.8461783103729246E-3</c:v>
                </c:pt>
                <c:pt idx="193">
                  <c:v>1.8490764964988206E-3</c:v>
                </c:pt>
                <c:pt idx="194">
                  <c:v>1.8519555726331214E-3</c:v>
                </c:pt>
                <c:pt idx="195">
                  <c:v>1.8548145358570035E-3</c:v>
                </c:pt>
                <c:pt idx="196">
                  <c:v>1.8632607188779106E-3</c:v>
                </c:pt>
                <c:pt idx="197">
                  <c:v>1.8660292012718902E-3</c:v>
                </c:pt>
                <c:pt idx="198">
                  <c:v>1.8687725561613365E-3</c:v>
                </c:pt>
                <c:pt idx="199">
                  <c:v>1.8714897806274273E-3</c:v>
                </c:pt>
                <c:pt idx="200">
                  <c:v>1.8741798717513392E-3</c:v>
                </c:pt>
                <c:pt idx="201">
                  <c:v>1.8820773158817741E-3</c:v>
                </c:pt>
                <c:pt idx="202">
                  <c:v>1.8846488444487421E-3</c:v>
                </c:pt>
                <c:pt idx="203">
                  <c:v>1.8871882250794171E-3</c:v>
                </c:pt>
                <c:pt idx="204">
                  <c:v>1.8896944548549759E-3</c:v>
                </c:pt>
                <c:pt idx="205">
                  <c:v>1.8921665308565957E-3</c:v>
                </c:pt>
                <c:pt idx="206">
                  <c:v>1.8993678070295921E-3</c:v>
                </c:pt>
                <c:pt idx="207">
                  <c:v>1.9016932387472267E-3</c:v>
                </c:pt>
                <c:pt idx="208">
                  <c:v>1.9039795020968082E-3</c:v>
                </c:pt>
                <c:pt idx="209">
                  <c:v>1.9062255941595131E-3</c:v>
                </c:pt>
                <c:pt idx="210">
                  <c:v>1.9084305120165188E-3</c:v>
                </c:pt>
                <c:pt idx="211">
                  <c:v>1.914788191165111E-3</c:v>
                </c:pt>
                <c:pt idx="212">
                  <c:v>1.9168183830110905E-3</c:v>
                </c:pt>
                <c:pt idx="213">
                  <c:v>1.9188023860572563E-3</c:v>
                </c:pt>
                <c:pt idx="214">
                  <c:v>1.9207391973847852E-3</c:v>
                </c:pt>
                <c:pt idx="215">
                  <c:v>1.9226278140748549E-3</c:v>
                </c:pt>
                <c:pt idx="216">
                  <c:v>1.9279944671320771E-3</c:v>
                </c:pt>
                <c:pt idx="217">
                  <c:v>1.9296802760840792E-3</c:v>
                </c:pt>
                <c:pt idx="218">
                  <c:v>1.9313128758045076E-3</c:v>
                </c:pt>
                <c:pt idx="219">
                  <c:v>1.9328912633745387E-3</c:v>
                </c:pt>
                <c:pt idx="220">
                  <c:v>1.9344144358753503E-3</c:v>
                </c:pt>
                <c:pt idx="221">
                  <c:v>1.9386426337742364E-3</c:v>
                </c:pt>
                <c:pt idx="222">
                  <c:v>1.9399349168099393E-3</c:v>
                </c:pt>
                <c:pt idx="223">
                  <c:v>1.941166970182308E-3</c:v>
                </c:pt>
                <c:pt idx="224">
                  <c:v>1.9423504790727463E-3</c:v>
                </c:pt>
                <c:pt idx="225">
                  <c:v>1.9434982102699879E-3</c:v>
                </c:pt>
                <c:pt idx="226">
                  <c:v>1.9467329326242398E-3</c:v>
                </c:pt>
                <c:pt idx="227">
                  <c:v>1.9477437479704029E-3</c:v>
                </c:pt>
                <c:pt idx="228">
                  <c:v>1.9487218830842238E-3</c:v>
                </c:pt>
                <c:pt idx="229">
                  <c:v>1.9496679574578736E-3</c:v>
                </c:pt>
                <c:pt idx="230">
                  <c:v>1.9539391004495376E-3</c:v>
                </c:pt>
                <c:pt idx="231">
                  <c:v>1.95470581971775E-3</c:v>
                </c:pt>
                <c:pt idx="232">
                  <c:v>1.955444814690988E-3</c:v>
                </c:pt>
                <c:pt idx="233">
                  <c:v>1.9561567048614228E-3</c:v>
                </c:pt>
                <c:pt idx="234">
                  <c:v>1.9581359414776152E-3</c:v>
                </c:pt>
                <c:pt idx="235">
                  <c:v>1.9587456073585454E-3</c:v>
                </c:pt>
                <c:pt idx="236">
                  <c:v>1.959331265897527E-3</c:v>
                </c:pt>
                <c:pt idx="237">
                  <c:v>1.9598935365867307E-3</c:v>
                </c:pt>
                <c:pt idx="238">
                  <c:v>1.9604330389183279E-3</c:v>
                </c:pt>
                <c:pt idx="239">
                  <c:v>1.9619211306891875E-3</c:v>
                </c:pt>
                <c:pt idx="240">
                  <c:v>1.9623757545120671E-3</c:v>
                </c:pt>
                <c:pt idx="241">
                  <c:v>1.9628107074381946E-3</c:v>
                </c:pt>
                <c:pt idx="242">
                  <c:v>1.9632266089597413E-3</c:v>
                </c:pt>
                <c:pt idx="243">
                  <c:v>1.9636240785688777E-3</c:v>
                </c:pt>
                <c:pt idx="244">
                  <c:v>1.9647120908435367E-3</c:v>
                </c:pt>
                <c:pt idx="245">
                  <c:v>1.9650420277247428E-3</c:v>
                </c:pt>
                <c:pt idx="246">
                  <c:v>1.9653566301543936E-3</c:v>
                </c:pt>
                <c:pt idx="247">
                  <c:v>1.9656565176246602E-3</c:v>
                </c:pt>
                <c:pt idx="248">
                  <c:v>1.9659423096277133E-3</c:v>
                </c:pt>
                <c:pt idx="249">
                  <c:v>1.9667213077553028E-3</c:v>
                </c:pt>
                <c:pt idx="250">
                  <c:v>1.9669569128112126E-3</c:v>
                </c:pt>
                <c:pt idx="251">
                  <c:v>1.9671815198607639E-3</c:v>
                </c:pt>
                <c:pt idx="252">
                  <c:v>1.9673957483961274E-3</c:v>
                </c:pt>
                <c:pt idx="253">
                  <c:v>1.9676002179094747E-3</c:v>
                </c:pt>
                <c:pt idx="254">
                  <c:v>1.9683328955861171E-3</c:v>
                </c:pt>
                <c:pt idx="255">
                  <c:v>1.968497862371946E-3</c:v>
                </c:pt>
                <c:pt idx="256">
                  <c:v>1.968656787088784E-3</c:v>
                </c:pt>
                <c:pt idx="257">
                  <c:v>1.968810289228802E-3</c:v>
                </c:pt>
                <c:pt idx="258">
                  <c:v>1.9692444551096472E-3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146816"/>
        <c:axId val="640145280"/>
      </c:scatterChart>
      <c:valAx>
        <c:axId val="64014681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40145280"/>
        <c:crosses val="autoZero"/>
        <c:crossBetween val="midCat"/>
      </c:valAx>
      <c:valAx>
        <c:axId val="640145280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64014681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7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'Delta 6M '!$E$4</c:f>
              <c:numCache>
                <c:formatCode>ddd\,\ dd\-mmm\-yyyy</c:formatCode>
                <c:ptCount val="1"/>
                <c:pt idx="0">
                  <c:v>42124</c:v>
                </c:pt>
              </c:numCache>
            </c:numRef>
          </c:xVal>
          <c:yVal>
            <c:numRef>
              <c:f>'Delta 6M '!$P$4</c:f>
              <c:numCache>
                <c:formatCode>0.00000</c:formatCode>
                <c:ptCount val="1"/>
                <c:pt idx="0">
                  <c:v>1.2154595236039446E-3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70C0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'Delta 6M '!$E$5:$E$16</c:f>
              <c:numCache>
                <c:formatCode>ddd\,\ dd\-mmm\-yyyy</c:formatCode>
                <c:ptCount val="12"/>
                <c:pt idx="0">
                  <c:v>42153</c:v>
                </c:pt>
                <c:pt idx="1">
                  <c:v>42185</c:v>
                </c:pt>
                <c:pt idx="2">
                  <c:v>42215</c:v>
                </c:pt>
                <c:pt idx="3">
                  <c:v>42247</c:v>
                </c:pt>
                <c:pt idx="4">
                  <c:v>42277</c:v>
                </c:pt>
                <c:pt idx="5">
                  <c:v>42307</c:v>
                </c:pt>
                <c:pt idx="6">
                  <c:v>42338</c:v>
                </c:pt>
                <c:pt idx="7">
                  <c:v>42368</c:v>
                </c:pt>
                <c:pt idx="8">
                  <c:v>42398</c:v>
                </c:pt>
                <c:pt idx="9">
                  <c:v>42429</c:v>
                </c:pt>
                <c:pt idx="10">
                  <c:v>42459</c:v>
                </c:pt>
                <c:pt idx="11">
                  <c:v>42489</c:v>
                </c:pt>
              </c:numCache>
            </c:numRef>
          </c:xVal>
          <c:yVal>
            <c:numRef>
              <c:f>'Delta 6M '!$P$5:$P$16</c:f>
              <c:numCache>
                <c:formatCode>0.00000</c:formatCode>
                <c:ptCount val="12"/>
                <c:pt idx="0">
                  <c:v>1.2898239033542172E-3</c:v>
                </c:pt>
                <c:pt idx="1">
                  <c:v>1.267547822010044E-3</c:v>
                </c:pt>
                <c:pt idx="2">
                  <c:v>1.3183033858829183E-3</c:v>
                </c:pt>
                <c:pt idx="3">
                  <c:v>1.3091764284772283E-3</c:v>
                </c:pt>
                <c:pt idx="4">
                  <c:v>1.3353518634800011E-3</c:v>
                </c:pt>
                <c:pt idx="5">
                  <c:v>1.3402407111811072E-3</c:v>
                </c:pt>
                <c:pt idx="6">
                  <c:v>0</c:v>
                </c:pt>
                <c:pt idx="7">
                  <c:v>0</c:v>
                </c:pt>
                <c:pt idx="8">
                  <c:v>1.4232360229114399E-3</c:v>
                </c:pt>
                <c:pt idx="9">
                  <c:v>0</c:v>
                </c:pt>
                <c:pt idx="10">
                  <c:v>0</c:v>
                </c:pt>
                <c:pt idx="11">
                  <c:v>1.5131426320759082E-3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'Delta 6M '!$Y$2</c:f>
              <c:strCache>
                <c:ptCount val="1"/>
                <c:pt idx="0">
                  <c:v>Delta Interp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42124</c:v>
                </c:pt>
                <c:pt idx="1">
                  <c:v>42125</c:v>
                </c:pt>
                <c:pt idx="2">
                  <c:v>42129</c:v>
                </c:pt>
                <c:pt idx="3">
                  <c:v>42130</c:v>
                </c:pt>
                <c:pt idx="4">
                  <c:v>42131</c:v>
                </c:pt>
                <c:pt idx="5">
                  <c:v>42132</c:v>
                </c:pt>
                <c:pt idx="6">
                  <c:v>42135</c:v>
                </c:pt>
                <c:pt idx="7">
                  <c:v>42136</c:v>
                </c:pt>
                <c:pt idx="8">
                  <c:v>42137</c:v>
                </c:pt>
                <c:pt idx="9">
                  <c:v>42138</c:v>
                </c:pt>
                <c:pt idx="10">
                  <c:v>42139</c:v>
                </c:pt>
                <c:pt idx="11">
                  <c:v>42142</c:v>
                </c:pt>
                <c:pt idx="12">
                  <c:v>42143</c:v>
                </c:pt>
                <c:pt idx="13">
                  <c:v>42144</c:v>
                </c:pt>
                <c:pt idx="14">
                  <c:v>42145</c:v>
                </c:pt>
                <c:pt idx="15">
                  <c:v>42146</c:v>
                </c:pt>
                <c:pt idx="16">
                  <c:v>42150</c:v>
                </c:pt>
                <c:pt idx="17">
                  <c:v>42151</c:v>
                </c:pt>
                <c:pt idx="18">
                  <c:v>42152</c:v>
                </c:pt>
                <c:pt idx="19">
                  <c:v>42153</c:v>
                </c:pt>
                <c:pt idx="20">
                  <c:v>42156</c:v>
                </c:pt>
                <c:pt idx="21">
                  <c:v>42157</c:v>
                </c:pt>
                <c:pt idx="22">
                  <c:v>42158</c:v>
                </c:pt>
                <c:pt idx="23">
                  <c:v>42159</c:v>
                </c:pt>
                <c:pt idx="24">
                  <c:v>42160</c:v>
                </c:pt>
                <c:pt idx="25">
                  <c:v>42163</c:v>
                </c:pt>
                <c:pt idx="26">
                  <c:v>42164</c:v>
                </c:pt>
                <c:pt idx="27">
                  <c:v>42165</c:v>
                </c:pt>
                <c:pt idx="28">
                  <c:v>42166</c:v>
                </c:pt>
                <c:pt idx="29">
                  <c:v>42167</c:v>
                </c:pt>
                <c:pt idx="30">
                  <c:v>42170</c:v>
                </c:pt>
                <c:pt idx="31">
                  <c:v>42171</c:v>
                </c:pt>
                <c:pt idx="32">
                  <c:v>42172</c:v>
                </c:pt>
                <c:pt idx="33">
                  <c:v>42173</c:v>
                </c:pt>
                <c:pt idx="34">
                  <c:v>42174</c:v>
                </c:pt>
                <c:pt idx="35">
                  <c:v>42177</c:v>
                </c:pt>
                <c:pt idx="36">
                  <c:v>42178</c:v>
                </c:pt>
                <c:pt idx="37">
                  <c:v>42179</c:v>
                </c:pt>
                <c:pt idx="38">
                  <c:v>42180</c:v>
                </c:pt>
                <c:pt idx="39">
                  <c:v>42181</c:v>
                </c:pt>
                <c:pt idx="40">
                  <c:v>42184</c:v>
                </c:pt>
                <c:pt idx="41">
                  <c:v>42185</c:v>
                </c:pt>
                <c:pt idx="42">
                  <c:v>42186</c:v>
                </c:pt>
                <c:pt idx="43">
                  <c:v>42187</c:v>
                </c:pt>
                <c:pt idx="44">
                  <c:v>42188</c:v>
                </c:pt>
                <c:pt idx="45">
                  <c:v>42191</c:v>
                </c:pt>
                <c:pt idx="46">
                  <c:v>42192</c:v>
                </c:pt>
                <c:pt idx="47">
                  <c:v>42193</c:v>
                </c:pt>
                <c:pt idx="48">
                  <c:v>42194</c:v>
                </c:pt>
                <c:pt idx="49">
                  <c:v>42195</c:v>
                </c:pt>
                <c:pt idx="50">
                  <c:v>42198</c:v>
                </c:pt>
                <c:pt idx="51">
                  <c:v>42199</c:v>
                </c:pt>
                <c:pt idx="52">
                  <c:v>42200</c:v>
                </c:pt>
                <c:pt idx="53">
                  <c:v>42201</c:v>
                </c:pt>
                <c:pt idx="54">
                  <c:v>42202</c:v>
                </c:pt>
                <c:pt idx="55">
                  <c:v>42205</c:v>
                </c:pt>
                <c:pt idx="56">
                  <c:v>42206</c:v>
                </c:pt>
                <c:pt idx="57">
                  <c:v>42207</c:v>
                </c:pt>
                <c:pt idx="58">
                  <c:v>42208</c:v>
                </c:pt>
                <c:pt idx="59">
                  <c:v>42209</c:v>
                </c:pt>
                <c:pt idx="60">
                  <c:v>42212</c:v>
                </c:pt>
                <c:pt idx="61">
                  <c:v>42213</c:v>
                </c:pt>
                <c:pt idx="62">
                  <c:v>42214</c:v>
                </c:pt>
                <c:pt idx="63">
                  <c:v>42215</c:v>
                </c:pt>
                <c:pt idx="64">
                  <c:v>42216</c:v>
                </c:pt>
                <c:pt idx="65">
                  <c:v>42219</c:v>
                </c:pt>
                <c:pt idx="66">
                  <c:v>42220</c:v>
                </c:pt>
                <c:pt idx="67">
                  <c:v>42221</c:v>
                </c:pt>
                <c:pt idx="68">
                  <c:v>42222</c:v>
                </c:pt>
                <c:pt idx="69">
                  <c:v>42223</c:v>
                </c:pt>
                <c:pt idx="70">
                  <c:v>42226</c:v>
                </c:pt>
                <c:pt idx="71">
                  <c:v>42227</c:v>
                </c:pt>
                <c:pt idx="72">
                  <c:v>42228</c:v>
                </c:pt>
                <c:pt idx="73">
                  <c:v>42229</c:v>
                </c:pt>
                <c:pt idx="74">
                  <c:v>42230</c:v>
                </c:pt>
                <c:pt idx="75">
                  <c:v>42233</c:v>
                </c:pt>
                <c:pt idx="76">
                  <c:v>42234</c:v>
                </c:pt>
                <c:pt idx="77">
                  <c:v>42235</c:v>
                </c:pt>
                <c:pt idx="78">
                  <c:v>42236</c:v>
                </c:pt>
                <c:pt idx="79">
                  <c:v>42237</c:v>
                </c:pt>
                <c:pt idx="80">
                  <c:v>42240</c:v>
                </c:pt>
                <c:pt idx="81">
                  <c:v>42241</c:v>
                </c:pt>
                <c:pt idx="82">
                  <c:v>42242</c:v>
                </c:pt>
                <c:pt idx="83">
                  <c:v>42243</c:v>
                </c:pt>
                <c:pt idx="84">
                  <c:v>42244</c:v>
                </c:pt>
                <c:pt idx="85">
                  <c:v>42248</c:v>
                </c:pt>
                <c:pt idx="86">
                  <c:v>42249</c:v>
                </c:pt>
                <c:pt idx="87">
                  <c:v>42250</c:v>
                </c:pt>
                <c:pt idx="88">
                  <c:v>42251</c:v>
                </c:pt>
                <c:pt idx="89">
                  <c:v>42254</c:v>
                </c:pt>
                <c:pt idx="90">
                  <c:v>42255</c:v>
                </c:pt>
                <c:pt idx="91">
                  <c:v>42256</c:v>
                </c:pt>
                <c:pt idx="92">
                  <c:v>42257</c:v>
                </c:pt>
                <c:pt idx="93">
                  <c:v>42258</c:v>
                </c:pt>
                <c:pt idx="94">
                  <c:v>42261</c:v>
                </c:pt>
                <c:pt idx="95">
                  <c:v>42262</c:v>
                </c:pt>
                <c:pt idx="96">
                  <c:v>42263</c:v>
                </c:pt>
                <c:pt idx="97">
                  <c:v>42264</c:v>
                </c:pt>
                <c:pt idx="98">
                  <c:v>42265</c:v>
                </c:pt>
                <c:pt idx="99">
                  <c:v>42268</c:v>
                </c:pt>
                <c:pt idx="100">
                  <c:v>42269</c:v>
                </c:pt>
                <c:pt idx="101">
                  <c:v>42270</c:v>
                </c:pt>
                <c:pt idx="102">
                  <c:v>42271</c:v>
                </c:pt>
                <c:pt idx="103">
                  <c:v>42272</c:v>
                </c:pt>
                <c:pt idx="104">
                  <c:v>42275</c:v>
                </c:pt>
                <c:pt idx="105">
                  <c:v>42276</c:v>
                </c:pt>
                <c:pt idx="106">
                  <c:v>42277</c:v>
                </c:pt>
                <c:pt idx="107">
                  <c:v>42278</c:v>
                </c:pt>
                <c:pt idx="108">
                  <c:v>42279</c:v>
                </c:pt>
                <c:pt idx="109">
                  <c:v>42282</c:v>
                </c:pt>
                <c:pt idx="110">
                  <c:v>42283</c:v>
                </c:pt>
                <c:pt idx="111">
                  <c:v>42284</c:v>
                </c:pt>
                <c:pt idx="112">
                  <c:v>42285</c:v>
                </c:pt>
                <c:pt idx="113">
                  <c:v>42286</c:v>
                </c:pt>
                <c:pt idx="114">
                  <c:v>42289</c:v>
                </c:pt>
                <c:pt idx="115">
                  <c:v>42290</c:v>
                </c:pt>
                <c:pt idx="116">
                  <c:v>42291</c:v>
                </c:pt>
                <c:pt idx="117">
                  <c:v>42292</c:v>
                </c:pt>
                <c:pt idx="118">
                  <c:v>42293</c:v>
                </c:pt>
                <c:pt idx="119">
                  <c:v>42296</c:v>
                </c:pt>
                <c:pt idx="120">
                  <c:v>42297</c:v>
                </c:pt>
                <c:pt idx="121">
                  <c:v>42298</c:v>
                </c:pt>
                <c:pt idx="122">
                  <c:v>42299</c:v>
                </c:pt>
                <c:pt idx="123">
                  <c:v>42300</c:v>
                </c:pt>
                <c:pt idx="124">
                  <c:v>42303</c:v>
                </c:pt>
                <c:pt idx="125">
                  <c:v>42304</c:v>
                </c:pt>
                <c:pt idx="126">
                  <c:v>42305</c:v>
                </c:pt>
                <c:pt idx="127">
                  <c:v>42306</c:v>
                </c:pt>
                <c:pt idx="128">
                  <c:v>42307</c:v>
                </c:pt>
                <c:pt idx="129">
                  <c:v>42310</c:v>
                </c:pt>
                <c:pt idx="130">
                  <c:v>42311</c:v>
                </c:pt>
                <c:pt idx="131">
                  <c:v>42312</c:v>
                </c:pt>
                <c:pt idx="132">
                  <c:v>42313</c:v>
                </c:pt>
                <c:pt idx="133">
                  <c:v>42314</c:v>
                </c:pt>
                <c:pt idx="134">
                  <c:v>42317</c:v>
                </c:pt>
                <c:pt idx="135">
                  <c:v>42318</c:v>
                </c:pt>
                <c:pt idx="136">
                  <c:v>42319</c:v>
                </c:pt>
                <c:pt idx="137">
                  <c:v>42320</c:v>
                </c:pt>
                <c:pt idx="138">
                  <c:v>42321</c:v>
                </c:pt>
                <c:pt idx="139">
                  <c:v>42324</c:v>
                </c:pt>
                <c:pt idx="140">
                  <c:v>42325</c:v>
                </c:pt>
                <c:pt idx="141">
                  <c:v>42326</c:v>
                </c:pt>
                <c:pt idx="142">
                  <c:v>42327</c:v>
                </c:pt>
                <c:pt idx="143">
                  <c:v>42328</c:v>
                </c:pt>
                <c:pt idx="144">
                  <c:v>42331</c:v>
                </c:pt>
                <c:pt idx="145">
                  <c:v>42332</c:v>
                </c:pt>
                <c:pt idx="146">
                  <c:v>42333</c:v>
                </c:pt>
                <c:pt idx="147">
                  <c:v>42334</c:v>
                </c:pt>
                <c:pt idx="148">
                  <c:v>42335</c:v>
                </c:pt>
                <c:pt idx="149">
                  <c:v>42338</c:v>
                </c:pt>
                <c:pt idx="150">
                  <c:v>42339</c:v>
                </c:pt>
                <c:pt idx="151">
                  <c:v>42340</c:v>
                </c:pt>
                <c:pt idx="152">
                  <c:v>42341</c:v>
                </c:pt>
                <c:pt idx="153">
                  <c:v>42342</c:v>
                </c:pt>
                <c:pt idx="154">
                  <c:v>42345</c:v>
                </c:pt>
                <c:pt idx="155">
                  <c:v>42346</c:v>
                </c:pt>
                <c:pt idx="156">
                  <c:v>42347</c:v>
                </c:pt>
                <c:pt idx="157">
                  <c:v>42348</c:v>
                </c:pt>
                <c:pt idx="158">
                  <c:v>42349</c:v>
                </c:pt>
                <c:pt idx="159">
                  <c:v>42352</c:v>
                </c:pt>
                <c:pt idx="160">
                  <c:v>42353</c:v>
                </c:pt>
                <c:pt idx="161">
                  <c:v>42354</c:v>
                </c:pt>
                <c:pt idx="162">
                  <c:v>42355</c:v>
                </c:pt>
                <c:pt idx="163">
                  <c:v>42356</c:v>
                </c:pt>
                <c:pt idx="164">
                  <c:v>42359</c:v>
                </c:pt>
                <c:pt idx="165">
                  <c:v>42360</c:v>
                </c:pt>
                <c:pt idx="166">
                  <c:v>42361</c:v>
                </c:pt>
                <c:pt idx="167">
                  <c:v>42362</c:v>
                </c:pt>
                <c:pt idx="168">
                  <c:v>42367</c:v>
                </c:pt>
                <c:pt idx="169">
                  <c:v>42368</c:v>
                </c:pt>
                <c:pt idx="170">
                  <c:v>42369</c:v>
                </c:pt>
                <c:pt idx="171">
                  <c:v>42373</c:v>
                </c:pt>
                <c:pt idx="172">
                  <c:v>42374</c:v>
                </c:pt>
                <c:pt idx="173">
                  <c:v>42375</c:v>
                </c:pt>
                <c:pt idx="174">
                  <c:v>42376</c:v>
                </c:pt>
                <c:pt idx="175">
                  <c:v>42377</c:v>
                </c:pt>
                <c:pt idx="176">
                  <c:v>42380</c:v>
                </c:pt>
                <c:pt idx="177">
                  <c:v>42381</c:v>
                </c:pt>
                <c:pt idx="178">
                  <c:v>42382</c:v>
                </c:pt>
                <c:pt idx="179">
                  <c:v>42383</c:v>
                </c:pt>
                <c:pt idx="180">
                  <c:v>42384</c:v>
                </c:pt>
                <c:pt idx="181">
                  <c:v>42387</c:v>
                </c:pt>
                <c:pt idx="182">
                  <c:v>42388</c:v>
                </c:pt>
                <c:pt idx="183">
                  <c:v>42389</c:v>
                </c:pt>
                <c:pt idx="184">
                  <c:v>42390</c:v>
                </c:pt>
                <c:pt idx="185">
                  <c:v>42391</c:v>
                </c:pt>
                <c:pt idx="186">
                  <c:v>42394</c:v>
                </c:pt>
                <c:pt idx="187">
                  <c:v>42395</c:v>
                </c:pt>
                <c:pt idx="188">
                  <c:v>42396</c:v>
                </c:pt>
                <c:pt idx="189">
                  <c:v>42397</c:v>
                </c:pt>
                <c:pt idx="190">
                  <c:v>42398</c:v>
                </c:pt>
                <c:pt idx="191">
                  <c:v>42401</c:v>
                </c:pt>
                <c:pt idx="192">
                  <c:v>42402</c:v>
                </c:pt>
                <c:pt idx="193">
                  <c:v>42403</c:v>
                </c:pt>
                <c:pt idx="194">
                  <c:v>42404</c:v>
                </c:pt>
                <c:pt idx="195">
                  <c:v>42405</c:v>
                </c:pt>
                <c:pt idx="196">
                  <c:v>42408</c:v>
                </c:pt>
                <c:pt idx="197">
                  <c:v>42409</c:v>
                </c:pt>
                <c:pt idx="198">
                  <c:v>42410</c:v>
                </c:pt>
                <c:pt idx="199">
                  <c:v>42411</c:v>
                </c:pt>
                <c:pt idx="200">
                  <c:v>42412</c:v>
                </c:pt>
                <c:pt idx="201">
                  <c:v>42415</c:v>
                </c:pt>
                <c:pt idx="202">
                  <c:v>42416</c:v>
                </c:pt>
                <c:pt idx="203">
                  <c:v>42417</c:v>
                </c:pt>
                <c:pt idx="204">
                  <c:v>42418</c:v>
                </c:pt>
                <c:pt idx="205">
                  <c:v>42419</c:v>
                </c:pt>
                <c:pt idx="206">
                  <c:v>42422</c:v>
                </c:pt>
                <c:pt idx="207">
                  <c:v>42423</c:v>
                </c:pt>
                <c:pt idx="208">
                  <c:v>42424</c:v>
                </c:pt>
                <c:pt idx="209">
                  <c:v>42425</c:v>
                </c:pt>
                <c:pt idx="210">
                  <c:v>42426</c:v>
                </c:pt>
                <c:pt idx="211">
                  <c:v>42429</c:v>
                </c:pt>
                <c:pt idx="212">
                  <c:v>42430</c:v>
                </c:pt>
                <c:pt idx="213">
                  <c:v>42431</c:v>
                </c:pt>
                <c:pt idx="214">
                  <c:v>42432</c:v>
                </c:pt>
                <c:pt idx="215">
                  <c:v>42433</c:v>
                </c:pt>
                <c:pt idx="216">
                  <c:v>42436</c:v>
                </c:pt>
                <c:pt idx="217">
                  <c:v>42437</c:v>
                </c:pt>
                <c:pt idx="218">
                  <c:v>42438</c:v>
                </c:pt>
                <c:pt idx="219">
                  <c:v>42439</c:v>
                </c:pt>
                <c:pt idx="220">
                  <c:v>42440</c:v>
                </c:pt>
                <c:pt idx="221">
                  <c:v>42443</c:v>
                </c:pt>
                <c:pt idx="222">
                  <c:v>42444</c:v>
                </c:pt>
                <c:pt idx="223">
                  <c:v>42445</c:v>
                </c:pt>
                <c:pt idx="224">
                  <c:v>42446</c:v>
                </c:pt>
                <c:pt idx="225">
                  <c:v>42447</c:v>
                </c:pt>
                <c:pt idx="226">
                  <c:v>42450</c:v>
                </c:pt>
                <c:pt idx="227">
                  <c:v>42451</c:v>
                </c:pt>
                <c:pt idx="228">
                  <c:v>42452</c:v>
                </c:pt>
                <c:pt idx="229">
                  <c:v>42453</c:v>
                </c:pt>
                <c:pt idx="230">
                  <c:v>42458</c:v>
                </c:pt>
                <c:pt idx="231">
                  <c:v>42459</c:v>
                </c:pt>
                <c:pt idx="232">
                  <c:v>42460</c:v>
                </c:pt>
                <c:pt idx="233">
                  <c:v>42461</c:v>
                </c:pt>
                <c:pt idx="234">
                  <c:v>42464</c:v>
                </c:pt>
                <c:pt idx="235">
                  <c:v>42465</c:v>
                </c:pt>
                <c:pt idx="236">
                  <c:v>42466</c:v>
                </c:pt>
                <c:pt idx="237">
                  <c:v>42467</c:v>
                </c:pt>
                <c:pt idx="238">
                  <c:v>42468</c:v>
                </c:pt>
                <c:pt idx="239">
                  <c:v>42471</c:v>
                </c:pt>
                <c:pt idx="240">
                  <c:v>42472</c:v>
                </c:pt>
                <c:pt idx="241">
                  <c:v>42473</c:v>
                </c:pt>
                <c:pt idx="242">
                  <c:v>42474</c:v>
                </c:pt>
                <c:pt idx="243">
                  <c:v>42475</c:v>
                </c:pt>
                <c:pt idx="244">
                  <c:v>42478</c:v>
                </c:pt>
                <c:pt idx="245">
                  <c:v>42479</c:v>
                </c:pt>
                <c:pt idx="246">
                  <c:v>42480</c:v>
                </c:pt>
                <c:pt idx="247">
                  <c:v>42481</c:v>
                </c:pt>
                <c:pt idx="248">
                  <c:v>42482</c:v>
                </c:pt>
                <c:pt idx="249">
                  <c:v>42485</c:v>
                </c:pt>
                <c:pt idx="250">
                  <c:v>42486</c:v>
                </c:pt>
                <c:pt idx="251">
                  <c:v>42487</c:v>
                </c:pt>
                <c:pt idx="252">
                  <c:v>42488</c:v>
                </c:pt>
                <c:pt idx="253">
                  <c:v>42489</c:v>
                </c:pt>
                <c:pt idx="254">
                  <c:v>42493</c:v>
                </c:pt>
                <c:pt idx="255">
                  <c:v>42494</c:v>
                </c:pt>
                <c:pt idx="256">
                  <c:v>42495</c:v>
                </c:pt>
                <c:pt idx="257">
                  <c:v>42496</c:v>
                </c:pt>
                <c:pt idx="258">
                  <c:v>42499</c:v>
                </c:pt>
                <c:pt idx="259">
                  <c:v>42500</c:v>
                </c:pt>
              </c:numCache>
            </c:numRef>
          </c:xVal>
          <c:yVal>
            <c:numRef>
              <c:f>'Delta 6M '!$Y$3:$Y$262</c:f>
              <c:numCache>
                <c:formatCode>General</c:formatCode>
                <c:ptCount val="260"/>
                <c:pt idx="0">
                  <c:v>1.2154595236039446E-3</c:v>
                </c:pt>
                <c:pt idx="1">
                  <c:v>1.2315952361249272E-3</c:v>
                </c:pt>
                <c:pt idx="2">
                  <c:v>1.2363563305167725E-3</c:v>
                </c:pt>
                <c:pt idx="3">
                  <c:v>1.2391498778632621E-3</c:v>
                </c:pt>
                <c:pt idx="4">
                  <c:v>1.2553660180941203E-3</c:v>
                </c:pt>
                <c:pt idx="5">
                  <c:v>1.2513737523639924E-3</c:v>
                </c:pt>
                <c:pt idx="6">
                  <c:v>1.2525035501117527E-3</c:v>
                </c:pt>
                <c:pt idx="7">
                  <c:v>1.2550124580840848E-3</c:v>
                </c:pt>
                <c:pt idx="8">
                  <c:v>1.257454419080459E-3</c:v>
                </c:pt>
                <c:pt idx="9">
                  <c:v>1.2734733561709987E-3</c:v>
                </c:pt>
                <c:pt idx="10">
                  <c:v>1.2689524619528946E-3</c:v>
                </c:pt>
                <c:pt idx="11">
                  <c:v>1.2684649773807663E-3</c:v>
                </c:pt>
                <c:pt idx="12">
                  <c:v>1.2703882400630375E-3</c:v>
                </c:pt>
                <c:pt idx="13">
                  <c:v>1.272205554319469E-3</c:v>
                </c:pt>
                <c:pt idx="14">
                  <c:v>1.2877129813897441E-3</c:v>
                </c:pt>
                <c:pt idx="15">
                  <c:v>1.2824095819287463E-3</c:v>
                </c:pt>
                <c:pt idx="16">
                  <c:v>1.2805725661104463E-3</c:v>
                </c:pt>
                <c:pt idx="17">
                  <c:v>1.2814922640848705E-3</c:v>
                </c:pt>
                <c:pt idx="18">
                  <c:v>1.2961532781738097E-3</c:v>
                </c:pt>
                <c:pt idx="19">
                  <c:v>1.2898239033542172E-3</c:v>
                </c:pt>
                <c:pt idx="20">
                  <c:v>1.2768393643896754E-3</c:v>
                </c:pt>
                <c:pt idx="21">
                  <c:v>1.2768713005342168E-3</c:v>
                </c:pt>
                <c:pt idx="22">
                  <c:v>1.276784188474481E-3</c:v>
                </c:pt>
                <c:pt idx="23">
                  <c:v>1.2765884599534986E-3</c:v>
                </c:pt>
                <c:pt idx="24">
                  <c:v>1.2901974340036972E-3</c:v>
                </c:pt>
                <c:pt idx="25">
                  <c:v>1.2749280128459223E-3</c:v>
                </c:pt>
                <c:pt idx="26">
                  <c:v>1.2743456750128428E-3</c:v>
                </c:pt>
                <c:pt idx="27">
                  <c:v>1.2737173093987433E-3</c:v>
                </c:pt>
                <c:pt idx="28">
                  <c:v>1.2730533472193769E-3</c:v>
                </c:pt>
                <c:pt idx="29">
                  <c:v>1.2862242181090784E-3</c:v>
                </c:pt>
                <c:pt idx="30">
                  <c:v>1.2702501553433594E-3</c:v>
                </c:pt>
                <c:pt idx="31">
                  <c:v>1.2695646767652907E-3</c:v>
                </c:pt>
                <c:pt idx="32">
                  <c:v>1.2689061878356559E-3</c:v>
                </c:pt>
                <c:pt idx="33">
                  <c:v>1.2682851194054014E-3</c:v>
                </c:pt>
                <c:pt idx="34">
                  <c:v>1.2815211415821031E-3</c:v>
                </c:pt>
                <c:pt idx="35">
                  <c:v>1.2663836654280836E-3</c:v>
                </c:pt>
                <c:pt idx="36">
                  <c:v>1.2661061599059721E-3</c:v>
                </c:pt>
                <c:pt idx="37">
                  <c:v>1.2659286584800462E-3</c:v>
                </c:pt>
                <c:pt idx="38">
                  <c:v>1.2934385526987666E-3</c:v>
                </c:pt>
                <c:pt idx="39">
                  <c:v>1.2865993430770952E-3</c:v>
                </c:pt>
                <c:pt idx="40">
                  <c:v>1.2669062678393565E-3</c:v>
                </c:pt>
                <c:pt idx="41">
                  <c:v>1.267547822010044E-3</c:v>
                </c:pt>
                <c:pt idx="42">
                  <c:v>1.2960183639541957E-3</c:v>
                </c:pt>
                <c:pt idx="43">
                  <c:v>1.2901808639032119E-3</c:v>
                </c:pt>
                <c:pt idx="44">
                  <c:v>1.2845311984893343E-3</c:v>
                </c:pt>
                <c:pt idx="45">
                  <c:v>1.2824053237258035E-3</c:v>
                </c:pt>
                <c:pt idx="46">
                  <c:v>1.284289000213785E-3</c:v>
                </c:pt>
                <c:pt idx="47">
                  <c:v>1.2862875387190649E-3</c:v>
                </c:pt>
                <c:pt idx="48">
                  <c:v>1.3023413436292779E-3</c:v>
                </c:pt>
                <c:pt idx="49">
                  <c:v>1.297552790229792E-3</c:v>
                </c:pt>
                <c:pt idx="50">
                  <c:v>1.2974180531102838E-3</c:v>
                </c:pt>
                <c:pt idx="51">
                  <c:v>1.2997547021724985E-3</c:v>
                </c:pt>
                <c:pt idx="52">
                  <c:v>1.3020891951747732E-3</c:v>
                </c:pt>
                <c:pt idx="53">
                  <c:v>1.3185347007825009E-3</c:v>
                </c:pt>
                <c:pt idx="54">
                  <c:v>1.31376223469816E-3</c:v>
                </c:pt>
                <c:pt idx="55">
                  <c:v>1.3131442784611212E-3</c:v>
                </c:pt>
                <c:pt idx="56">
                  <c:v>1.3151148148669242E-3</c:v>
                </c:pt>
                <c:pt idx="57">
                  <c:v>1.3169661912949351E-3</c:v>
                </c:pt>
                <c:pt idx="58">
                  <c:v>1.3329651661970433E-3</c:v>
                </c:pt>
                <c:pt idx="59">
                  <c:v>1.3273948998669485E-3</c:v>
                </c:pt>
                <c:pt idx="60">
                  <c:v>1.3238507052899882E-3</c:v>
                </c:pt>
                <c:pt idx="61">
                  <c:v>1.3246361443477335E-3</c:v>
                </c:pt>
                <c:pt idx="62">
                  <c:v>1.3251854331786021E-3</c:v>
                </c:pt>
                <c:pt idx="63">
                  <c:v>1.3183033858829183E-3</c:v>
                </c:pt>
                <c:pt idx="64">
                  <c:v>1.3112668998557166E-3</c:v>
                </c:pt>
                <c:pt idx="65">
                  <c:v>1.3258295150390248E-3</c:v>
                </c:pt>
                <c:pt idx="66">
                  <c:v>1.3258305311470641E-3</c:v>
                </c:pt>
                <c:pt idx="67">
                  <c:v>1.3258024653470543E-3</c:v>
                </c:pt>
                <c:pt idx="68">
                  <c:v>1.3401054879169849E-3</c:v>
                </c:pt>
                <c:pt idx="69">
                  <c:v>1.3328480856289019E-3</c:v>
                </c:pt>
                <c:pt idx="70">
                  <c:v>1.3253182542480165E-3</c:v>
                </c:pt>
                <c:pt idx="71">
                  <c:v>1.3251711044551821E-3</c:v>
                </c:pt>
                <c:pt idx="72">
                  <c:v>1.3250133415906552E-3</c:v>
                </c:pt>
                <c:pt idx="73">
                  <c:v>1.3391943382394381E-3</c:v>
                </c:pt>
                <c:pt idx="74">
                  <c:v>1.331849080483445E-3</c:v>
                </c:pt>
                <c:pt idx="75">
                  <c:v>1.3241576689849664E-3</c:v>
                </c:pt>
                <c:pt idx="76">
                  <c:v>1.3239916297875674E-3</c:v>
                </c:pt>
                <c:pt idx="77">
                  <c:v>1.323833444488753E-3</c:v>
                </c:pt>
                <c:pt idx="78">
                  <c:v>1.3380190027326559E-3</c:v>
                </c:pt>
                <c:pt idx="79">
                  <c:v>1.3307172018915498E-3</c:v>
                </c:pt>
                <c:pt idx="80">
                  <c:v>1.3232526534350327E-3</c:v>
                </c:pt>
                <c:pt idx="81">
                  <c:v>1.3231969870062597E-3</c:v>
                </c:pt>
                <c:pt idx="82">
                  <c:v>1.3231676391596665E-3</c:v>
                </c:pt>
                <c:pt idx="83">
                  <c:v>1.3374941224107962E-3</c:v>
                </c:pt>
                <c:pt idx="84">
                  <c:v>1.3303621796425362E-3</c:v>
                </c:pt>
                <c:pt idx="85">
                  <c:v>1.3093958170698151E-3</c:v>
                </c:pt>
                <c:pt idx="86">
                  <c:v>1.309727627202658E-3</c:v>
                </c:pt>
                <c:pt idx="87">
                  <c:v>1.3101646388249744E-3</c:v>
                </c:pt>
                <c:pt idx="88">
                  <c:v>1.3106996319849076E-3</c:v>
                </c:pt>
                <c:pt idx="89">
                  <c:v>1.3128203028914659E-3</c:v>
                </c:pt>
                <c:pt idx="90">
                  <c:v>1.3136750250386151E-3</c:v>
                </c:pt>
                <c:pt idx="91">
                  <c:v>1.3145916308070671E-3</c:v>
                </c:pt>
                <c:pt idx="92">
                  <c:v>1.3155629010408176E-3</c:v>
                </c:pt>
                <c:pt idx="93">
                  <c:v>1.3165816167420292E-3</c:v>
                </c:pt>
                <c:pt idx="94">
                  <c:v>1.3198502491655207E-3</c:v>
                </c:pt>
                <c:pt idx="95">
                  <c:v>1.3209865601131791E-3</c:v>
                </c:pt>
                <c:pt idx="96">
                  <c:v>1.3221342240906367E-3</c:v>
                </c:pt>
                <c:pt idx="97">
                  <c:v>1.3232860231441193E-3</c:v>
                </c:pt>
                <c:pt idx="98">
                  <c:v>1.324434739502848E-3</c:v>
                </c:pt>
                <c:pt idx="99">
                  <c:v>1.3277902174538626E-3</c:v>
                </c:pt>
                <c:pt idx="100">
                  <c:v>1.3288544289888967E-3</c:v>
                </c:pt>
                <c:pt idx="101">
                  <c:v>1.3298794717132455E-3</c:v>
                </c:pt>
                <c:pt idx="102">
                  <c:v>1.330858128940636E-3</c:v>
                </c:pt>
                <c:pt idx="103">
                  <c:v>1.3609376957632773E-3</c:v>
                </c:pt>
                <c:pt idx="104">
                  <c:v>1.3414667052380404E-3</c:v>
                </c:pt>
                <c:pt idx="105">
                  <c:v>1.3348030603672976E-3</c:v>
                </c:pt>
                <c:pt idx="106">
                  <c:v>1.3353518634800011E-3</c:v>
                </c:pt>
                <c:pt idx="107">
                  <c:v>1.3431434879735652E-3</c:v>
                </c:pt>
                <c:pt idx="108">
                  <c:v>1.3582116768990466E-3</c:v>
                </c:pt>
                <c:pt idx="109">
                  <c:v>1.3446830213417907E-3</c:v>
                </c:pt>
                <c:pt idx="110">
                  <c:v>1.3449801510838082E-3</c:v>
                </c:pt>
                <c:pt idx="111">
                  <c:v>1.3452463141096556E-3</c:v>
                </c:pt>
                <c:pt idx="112">
                  <c:v>1.3454835776966557E-3</c:v>
                </c:pt>
                <c:pt idx="113">
                  <c:v>1.3603434549182623E-3</c:v>
                </c:pt>
                <c:pt idx="114">
                  <c:v>1.346184981572923E-3</c:v>
                </c:pt>
                <c:pt idx="115">
                  <c:v>1.3463087555088233E-3</c:v>
                </c:pt>
                <c:pt idx="116">
                  <c:v>1.3464160327108453E-3</c:v>
                </c:pt>
                <c:pt idx="117">
                  <c:v>1.3465088801442875E-3</c:v>
                </c:pt>
                <c:pt idx="118">
                  <c:v>1.361248272480753E-3</c:v>
                </c:pt>
                <c:pt idx="119">
                  <c:v>1.3467773100180865E-3</c:v>
                </c:pt>
                <c:pt idx="120">
                  <c:v>1.346829011619225E-3</c:v>
                </c:pt>
                <c:pt idx="121">
                  <c:v>1.3468786843703533E-3</c:v>
                </c:pt>
                <c:pt idx="122">
                  <c:v>1.3469283949495005E-3</c:v>
                </c:pt>
                <c:pt idx="123">
                  <c:v>1.3616428269877577E-3</c:v>
                </c:pt>
                <c:pt idx="124">
                  <c:v>1.347168947715868E-3</c:v>
                </c:pt>
                <c:pt idx="125">
                  <c:v>1.3472498462143085E-3</c:v>
                </c:pt>
                <c:pt idx="126">
                  <c:v>1.3473431817732869E-3</c:v>
                </c:pt>
                <c:pt idx="127">
                  <c:v>1.3474510207927772E-3</c:v>
                </c:pt>
                <c:pt idx="128">
                  <c:v>1.3402407111811072E-3</c:v>
                </c:pt>
                <c:pt idx="129">
                  <c:v>1.3481147814932942E-3</c:v>
                </c:pt>
                <c:pt idx="130">
                  <c:v>1.3410164645719974E-3</c:v>
                </c:pt>
                <c:pt idx="131">
                  <c:v>1.3412849865079828E-3</c:v>
                </c:pt>
                <c:pt idx="132">
                  <c:v>1.341582410432584E-3</c:v>
                </c:pt>
                <c:pt idx="133">
                  <c:v>1.3419082706310234E-3</c:v>
                </c:pt>
                <c:pt idx="134">
                  <c:v>1.3430518117911587E-3</c:v>
                </c:pt>
                <c:pt idx="135">
                  <c:v>1.3434867600270659E-3</c:v>
                </c:pt>
                <c:pt idx="136">
                  <c:v>1.3439478160285291E-3</c:v>
                </c:pt>
                <c:pt idx="137">
                  <c:v>1.3444345141044433E-3</c:v>
                </c:pt>
                <c:pt idx="138">
                  <c:v>1.344946388568156E-3</c:v>
                </c:pt>
                <c:pt idx="139">
                  <c:v>1.346628413456242E-3</c:v>
                </c:pt>
                <c:pt idx="140">
                  <c:v>1.3472363366569947E-3</c:v>
                </c:pt>
                <c:pt idx="141">
                  <c:v>1.3478671078523321E-3</c:v>
                </c:pt>
                <c:pt idx="142">
                  <c:v>1.3485202613714273E-3</c:v>
                </c:pt>
                <c:pt idx="143">
                  <c:v>1.3491953315455856E-3</c:v>
                </c:pt>
                <c:pt idx="144">
                  <c:v>1.3513473853416266E-3</c:v>
                </c:pt>
                <c:pt idx="145">
                  <c:v>1.3521054654893015E-3</c:v>
                </c:pt>
                <c:pt idx="146">
                  <c:v>1.3528831339780893E-3</c:v>
                </c:pt>
                <c:pt idx="147">
                  <c:v>1.3536799251512924E-3</c:v>
                </c:pt>
                <c:pt idx="148">
                  <c:v>1.3544953733528051E-3</c:v>
                </c:pt>
                <c:pt idx="149">
                  <c:v>1.3644737906681431E-3</c:v>
                </c:pt>
                <c:pt idx="150">
                  <c:v>1.3653639939191446E-3</c:v>
                </c:pt>
                <c:pt idx="151">
                  <c:v>1.3662706174174713E-3</c:v>
                </c:pt>
                <c:pt idx="152">
                  <c:v>1.3671931951294793E-3</c:v>
                </c:pt>
                <c:pt idx="153">
                  <c:v>1.383018935557194E-3</c:v>
                </c:pt>
                <c:pt idx="154">
                  <c:v>1.3710337277169351E-3</c:v>
                </c:pt>
                <c:pt idx="155">
                  <c:v>1.3720290862736099E-3</c:v>
                </c:pt>
                <c:pt idx="156">
                  <c:v>1.373037603015134E-3</c:v>
                </c:pt>
                <c:pt idx="157">
                  <c:v>1.3740588119684652E-3</c:v>
                </c:pt>
                <c:pt idx="158">
                  <c:v>1.3900548051983316E-3</c:v>
                </c:pt>
                <c:pt idx="159">
                  <c:v>1.3782612507806358E-3</c:v>
                </c:pt>
                <c:pt idx="160">
                  <c:v>1.3793389315435425E-3</c:v>
                </c:pt>
                <c:pt idx="161">
                  <c:v>1.380426508891798E-3</c:v>
                </c:pt>
                <c:pt idx="162">
                  <c:v>1.3815235169252228E-3</c:v>
                </c:pt>
                <c:pt idx="163">
                  <c:v>1.397673200211286E-3</c:v>
                </c:pt>
                <c:pt idx="164">
                  <c:v>1.3859965383090781E-3</c:v>
                </c:pt>
                <c:pt idx="165">
                  <c:v>1.3871337116713785E-3</c:v>
                </c:pt>
                <c:pt idx="166">
                  <c:v>1.3882775205641034E-3</c:v>
                </c:pt>
                <c:pt idx="167">
                  <c:v>1.3894274991716746E-3</c:v>
                </c:pt>
                <c:pt idx="168">
                  <c:v>1.3952536352715684E-3</c:v>
                </c:pt>
                <c:pt idx="169">
                  <c:v>1.3964308507595086E-3</c:v>
                </c:pt>
                <c:pt idx="170">
                  <c:v>1.3900077701866026E-3</c:v>
                </c:pt>
                <c:pt idx="171">
                  <c:v>1.3947225310333477E-3</c:v>
                </c:pt>
                <c:pt idx="172">
                  <c:v>1.3959038451188659E-3</c:v>
                </c:pt>
                <c:pt idx="173">
                  <c:v>1.3970852883158854E-3</c:v>
                </c:pt>
                <c:pt idx="174">
                  <c:v>1.3982664004482405E-3</c:v>
                </c:pt>
                <c:pt idx="175">
                  <c:v>1.3994467213649998E-3</c:v>
                </c:pt>
                <c:pt idx="176">
                  <c:v>1.4029783356755299E-3</c:v>
                </c:pt>
                <c:pt idx="177">
                  <c:v>1.4041508907085061E-3</c:v>
                </c:pt>
                <c:pt idx="178">
                  <c:v>1.4053203541398167E-3</c:v>
                </c:pt>
                <c:pt idx="179">
                  <c:v>1.4064862659660345E-3</c:v>
                </c:pt>
                <c:pt idx="180">
                  <c:v>1.4076481662091255E-3</c:v>
                </c:pt>
                <c:pt idx="181">
                  <c:v>1.4111051980224979E-3</c:v>
                </c:pt>
                <c:pt idx="182">
                  <c:v>1.4122464526379736E-3</c:v>
                </c:pt>
                <c:pt idx="183">
                  <c:v>1.4133813961441615E-3</c:v>
                </c:pt>
                <c:pt idx="184">
                  <c:v>1.4145095687074006E-3</c:v>
                </c:pt>
                <c:pt idx="185">
                  <c:v>1.4156305105181466E-3</c:v>
                </c:pt>
                <c:pt idx="186">
                  <c:v>1.4189453536846296E-3</c:v>
                </c:pt>
                <c:pt idx="187">
                  <c:v>1.4200327748482781E-3</c:v>
                </c:pt>
                <c:pt idx="188">
                  <c:v>1.4211106665538529E-3</c:v>
                </c:pt>
                <c:pt idx="189">
                  <c:v>1.4221785691257787E-3</c:v>
                </c:pt>
                <c:pt idx="190">
                  <c:v>1.4232360229114399E-3</c:v>
                </c:pt>
                <c:pt idx="191">
                  <c:v>1.4263436992876643E-3</c:v>
                </c:pt>
                <c:pt idx="192">
                  <c:v>1.4273583301188722E-3</c:v>
                </c:pt>
                <c:pt idx="193">
                  <c:v>1.4283625286851656E-3</c:v>
                </c:pt>
                <c:pt idx="194">
                  <c:v>1.4293564140004694E-3</c:v>
                </c:pt>
                <c:pt idx="195">
                  <c:v>1.4303401050690448E-3</c:v>
                </c:pt>
                <c:pt idx="196">
                  <c:v>1.4332312027011806E-3</c:v>
                </c:pt>
                <c:pt idx="197">
                  <c:v>1.434175306642582E-3</c:v>
                </c:pt>
                <c:pt idx="198">
                  <c:v>1.43510981122068E-3</c:v>
                </c:pt>
                <c:pt idx="199">
                  <c:v>1.436034835385775E-3</c:v>
                </c:pt>
                <c:pt idx="200">
                  <c:v>1.4369504980783646E-3</c:v>
                </c:pt>
                <c:pt idx="201">
                  <c:v>1.4396425066085369E-3</c:v>
                </c:pt>
                <c:pt idx="202">
                  <c:v>1.4405219126556697E-3</c:v>
                </c:pt>
                <c:pt idx="203">
                  <c:v>1.4413925518111873E-3</c:v>
                </c:pt>
                <c:pt idx="204">
                  <c:v>1.442254542967201E-3</c:v>
                </c:pt>
                <c:pt idx="205">
                  <c:v>1.4431080050076475E-3</c:v>
                </c:pt>
                <c:pt idx="206">
                  <c:v>1.4456184051651786E-3</c:v>
                </c:pt>
                <c:pt idx="207">
                  <c:v>1.4464389394353218E-3</c:v>
                </c:pt>
                <c:pt idx="208">
                  <c:v>1.4472515388986179E-3</c:v>
                </c:pt>
                <c:pt idx="209">
                  <c:v>1.4480563223954854E-3</c:v>
                </c:pt>
                <c:pt idx="210">
                  <c:v>1.4488534087584582E-3</c:v>
                </c:pt>
                <c:pt idx="211">
                  <c:v>1.4591340579439361E-3</c:v>
                </c:pt>
                <c:pt idx="212">
                  <c:v>1.4678437275509181E-3</c:v>
                </c:pt>
                <c:pt idx="213">
                  <c:v>1.468612311744868E-3</c:v>
                </c:pt>
                <c:pt idx="214">
                  <c:v>1.4852647945392383E-3</c:v>
                </c:pt>
                <c:pt idx="215">
                  <c:v>1.4780781603444739E-3</c:v>
                </c:pt>
                <c:pt idx="216">
                  <c:v>1.4723516912081656E-3</c:v>
                </c:pt>
                <c:pt idx="217">
                  <c:v>1.4730796945421672E-3</c:v>
                </c:pt>
                <c:pt idx="218">
                  <c:v>1.4738013522357985E-3</c:v>
                </c:pt>
                <c:pt idx="219">
                  <c:v>1.4904625722066038E-3</c:v>
                </c:pt>
                <c:pt idx="220">
                  <c:v>1.4832030270530644E-3</c:v>
                </c:pt>
                <c:pt idx="221">
                  <c:v>1.4773186335242656E-3</c:v>
                </c:pt>
                <c:pt idx="222">
                  <c:v>1.4780047237322935E-3</c:v>
                </c:pt>
                <c:pt idx="223">
                  <c:v>1.478685303687214E-3</c:v>
                </c:pt>
                <c:pt idx="224">
                  <c:v>1.4953578748765142E-3</c:v>
                </c:pt>
                <c:pt idx="225">
                  <c:v>1.4880329155902081E-3</c:v>
                </c:pt>
                <c:pt idx="226">
                  <c:v>1.4820097254015186E-3</c:v>
                </c:pt>
                <c:pt idx="227">
                  <c:v>1.4826597491885236E-3</c:v>
                </c:pt>
                <c:pt idx="228">
                  <c:v>1.4833050977785876E-3</c:v>
                </c:pt>
                <c:pt idx="229">
                  <c:v>1.4999920746576834E-3</c:v>
                </c:pt>
                <c:pt idx="230">
                  <c:v>1.4870856887403217E-3</c:v>
                </c:pt>
                <c:pt idx="231">
                  <c:v>1.4877016500978882E-3</c:v>
                </c:pt>
                <c:pt idx="232">
                  <c:v>1.480266812723901E-3</c:v>
                </c:pt>
                <c:pt idx="233">
                  <c:v>1.4969723365117434E-3</c:v>
                </c:pt>
                <c:pt idx="234">
                  <c:v>1.4826681664701486E-3</c:v>
                </c:pt>
                <c:pt idx="235">
                  <c:v>1.4832604770199059E-3</c:v>
                </c:pt>
                <c:pt idx="236">
                  <c:v>1.483849824022869E-3</c:v>
                </c:pt>
                <c:pt idx="237">
                  <c:v>1.484436331285632E-3</c:v>
                </c:pt>
                <c:pt idx="238">
                  <c:v>1.5011645688244866E-3</c:v>
                </c:pt>
                <c:pt idx="239">
                  <c:v>1.4867564391389666E-3</c:v>
                </c:pt>
                <c:pt idx="240">
                  <c:v>1.4873306048665447E-3</c:v>
                </c:pt>
                <c:pt idx="241">
                  <c:v>1.4879026737304366E-3</c:v>
                </c:pt>
                <c:pt idx="242">
                  <c:v>1.4884727695481772E-3</c:v>
                </c:pt>
                <c:pt idx="243">
                  <c:v>1.5052284081704683E-3</c:v>
                </c:pt>
                <c:pt idx="244">
                  <c:v>1.4907358987463939E-3</c:v>
                </c:pt>
                <c:pt idx="245">
                  <c:v>1.491297986634503E-3</c:v>
                </c:pt>
                <c:pt idx="246">
                  <c:v>1.4918588444041622E-3</c:v>
                </c:pt>
                <c:pt idx="247">
                  <c:v>1.4924185958804228E-3</c:v>
                </c:pt>
                <c:pt idx="248">
                  <c:v>1.5092067849315465E-3</c:v>
                </c:pt>
                <c:pt idx="249">
                  <c:v>1.4946490153697283E-3</c:v>
                </c:pt>
                <c:pt idx="250">
                  <c:v>1.4952050927762204E-3</c:v>
                </c:pt>
                <c:pt idx="251">
                  <c:v>1.4957608068545949E-3</c:v>
                </c:pt>
                <c:pt idx="252">
                  <c:v>1.4963162814341643E-3</c:v>
                </c:pt>
                <c:pt idx="253">
                  <c:v>1.5131426320759082E-3</c:v>
                </c:pt>
                <c:pt idx="254">
                  <c:v>1.5072419877175233E-3</c:v>
                </c:pt>
                <c:pt idx="255">
                  <c:v>1.5078015658077568E-3</c:v>
                </c:pt>
                <c:pt idx="256">
                  <c:v>1.524667306533777E-3</c:v>
                </c:pt>
                <c:pt idx="257">
                  <c:v>1.5170787070063021E-3</c:v>
                </c:pt>
                <c:pt idx="258">
                  <c:v>1.510611113154012E-3</c:v>
                </c:pt>
                <c:pt idx="259">
                  <c:v>1.5111762037732341E-3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170240"/>
        <c:axId val="640176512"/>
      </c:scatterChart>
      <c:valAx>
        <c:axId val="64017024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40176512"/>
        <c:crosses val="autoZero"/>
        <c:crossBetween val="midCat"/>
      </c:valAx>
      <c:valAx>
        <c:axId val="640176512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640170240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8.8410403245048896E-2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</c:f>
              <c:numCache>
                <c:formatCode>ddd\,\ dd\-mmm\-yyyy</c:formatCode>
                <c:ptCount val="1"/>
                <c:pt idx="0">
                  <c:v>42124</c:v>
                </c:pt>
              </c:numCache>
            </c:numRef>
          </c:xVal>
          <c:yVal>
            <c:numRef>
              <c:f>'Delta 6M '!$L$4</c:f>
              <c:numCache>
                <c:formatCode>0.0000%</c:formatCode>
                <c:ptCount val="1"/>
                <c:pt idx="0">
                  <c:v>2.4313000000119617E-3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'!$E$5:$E$16</c:f>
              <c:numCache>
                <c:formatCode>ddd\,\ dd\-mmm\-yyyy</c:formatCode>
                <c:ptCount val="12"/>
                <c:pt idx="0">
                  <c:v>42153</c:v>
                </c:pt>
                <c:pt idx="1">
                  <c:v>42185</c:v>
                </c:pt>
                <c:pt idx="2">
                  <c:v>42215</c:v>
                </c:pt>
                <c:pt idx="3">
                  <c:v>42247</c:v>
                </c:pt>
                <c:pt idx="4">
                  <c:v>42277</c:v>
                </c:pt>
                <c:pt idx="5">
                  <c:v>42307</c:v>
                </c:pt>
                <c:pt idx="6">
                  <c:v>42338</c:v>
                </c:pt>
                <c:pt idx="7">
                  <c:v>42368</c:v>
                </c:pt>
                <c:pt idx="8">
                  <c:v>42398</c:v>
                </c:pt>
                <c:pt idx="9">
                  <c:v>42429</c:v>
                </c:pt>
                <c:pt idx="10">
                  <c:v>42459</c:v>
                </c:pt>
                <c:pt idx="11">
                  <c:v>42489</c:v>
                </c:pt>
              </c:numCache>
            </c:numRef>
          </c:xVal>
          <c:yVal>
            <c:numRef>
              <c:f>'Delta 6M '!$L$5:$L$22</c:f>
              <c:numCache>
                <c:formatCode>0.0000%</c:formatCode>
                <c:ptCount val="18"/>
                <c:pt idx="0">
                  <c:v>2.552427988139868E-3</c:v>
                </c:pt>
                <c:pt idx="1">
                  <c:v>2.5358147795199078E-3</c:v>
                </c:pt>
                <c:pt idx="2">
                  <c:v>2.637617146884718E-3</c:v>
                </c:pt>
                <c:pt idx="3">
                  <c:v>2.6340331269201133E-3</c:v>
                </c:pt>
                <c:pt idx="4">
                  <c:v>2.6871294118649717E-3</c:v>
                </c:pt>
                <c:pt idx="5">
                  <c:v>2.6973624550753706E-3</c:v>
                </c:pt>
                <c:pt idx="6">
                  <c:v>0</c:v>
                </c:pt>
                <c:pt idx="7">
                  <c:v>0</c:v>
                </c:pt>
                <c:pt idx="8">
                  <c:v>2.8659862803550968E-3</c:v>
                </c:pt>
                <c:pt idx="9">
                  <c:v>0</c:v>
                </c:pt>
                <c:pt idx="10">
                  <c:v>0</c:v>
                </c:pt>
                <c:pt idx="11">
                  <c:v>2.9996883786352849E-3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42124</c:v>
                </c:pt>
                <c:pt idx="1">
                  <c:v>42125</c:v>
                </c:pt>
                <c:pt idx="2">
                  <c:v>42129</c:v>
                </c:pt>
                <c:pt idx="3">
                  <c:v>42130</c:v>
                </c:pt>
                <c:pt idx="4">
                  <c:v>42131</c:v>
                </c:pt>
                <c:pt idx="5">
                  <c:v>42132</c:v>
                </c:pt>
                <c:pt idx="6">
                  <c:v>42135</c:v>
                </c:pt>
                <c:pt idx="7">
                  <c:v>42136</c:v>
                </c:pt>
                <c:pt idx="8">
                  <c:v>42137</c:v>
                </c:pt>
                <c:pt idx="9">
                  <c:v>42138</c:v>
                </c:pt>
                <c:pt idx="10">
                  <c:v>42139</c:v>
                </c:pt>
                <c:pt idx="11">
                  <c:v>42142</c:v>
                </c:pt>
                <c:pt idx="12">
                  <c:v>42143</c:v>
                </c:pt>
                <c:pt idx="13">
                  <c:v>42144</c:v>
                </c:pt>
                <c:pt idx="14">
                  <c:v>42145</c:v>
                </c:pt>
                <c:pt idx="15">
                  <c:v>42146</c:v>
                </c:pt>
                <c:pt idx="16">
                  <c:v>42150</c:v>
                </c:pt>
                <c:pt idx="17">
                  <c:v>42151</c:v>
                </c:pt>
                <c:pt idx="18">
                  <c:v>42152</c:v>
                </c:pt>
                <c:pt idx="19">
                  <c:v>42153</c:v>
                </c:pt>
                <c:pt idx="20">
                  <c:v>42156</c:v>
                </c:pt>
                <c:pt idx="21">
                  <c:v>42157</c:v>
                </c:pt>
                <c:pt idx="22">
                  <c:v>42158</c:v>
                </c:pt>
                <c:pt idx="23">
                  <c:v>42159</c:v>
                </c:pt>
                <c:pt idx="24">
                  <c:v>42160</c:v>
                </c:pt>
                <c:pt idx="25">
                  <c:v>42163</c:v>
                </c:pt>
                <c:pt idx="26">
                  <c:v>42164</c:v>
                </c:pt>
                <c:pt idx="27">
                  <c:v>42165</c:v>
                </c:pt>
                <c:pt idx="28">
                  <c:v>42166</c:v>
                </c:pt>
                <c:pt idx="29">
                  <c:v>42167</c:v>
                </c:pt>
                <c:pt idx="30">
                  <c:v>42170</c:v>
                </c:pt>
                <c:pt idx="31">
                  <c:v>42171</c:v>
                </c:pt>
                <c:pt idx="32">
                  <c:v>42172</c:v>
                </c:pt>
                <c:pt idx="33">
                  <c:v>42173</c:v>
                </c:pt>
                <c:pt idx="34">
                  <c:v>42174</c:v>
                </c:pt>
                <c:pt idx="35">
                  <c:v>42177</c:v>
                </c:pt>
                <c:pt idx="36">
                  <c:v>42178</c:v>
                </c:pt>
                <c:pt idx="37">
                  <c:v>42179</c:v>
                </c:pt>
                <c:pt idx="38">
                  <c:v>42180</c:v>
                </c:pt>
                <c:pt idx="39">
                  <c:v>42181</c:v>
                </c:pt>
                <c:pt idx="40">
                  <c:v>42184</c:v>
                </c:pt>
                <c:pt idx="41">
                  <c:v>42185</c:v>
                </c:pt>
                <c:pt idx="42">
                  <c:v>42186</c:v>
                </c:pt>
                <c:pt idx="43">
                  <c:v>42187</c:v>
                </c:pt>
                <c:pt idx="44">
                  <c:v>42188</c:v>
                </c:pt>
                <c:pt idx="45">
                  <c:v>42191</c:v>
                </c:pt>
                <c:pt idx="46">
                  <c:v>42192</c:v>
                </c:pt>
                <c:pt idx="47">
                  <c:v>42193</c:v>
                </c:pt>
                <c:pt idx="48">
                  <c:v>42194</c:v>
                </c:pt>
                <c:pt idx="49">
                  <c:v>42195</c:v>
                </c:pt>
                <c:pt idx="50">
                  <c:v>42198</c:v>
                </c:pt>
                <c:pt idx="51">
                  <c:v>42199</c:v>
                </c:pt>
                <c:pt idx="52">
                  <c:v>42200</c:v>
                </c:pt>
                <c:pt idx="53">
                  <c:v>42201</c:v>
                </c:pt>
                <c:pt idx="54">
                  <c:v>42202</c:v>
                </c:pt>
                <c:pt idx="55">
                  <c:v>42205</c:v>
                </c:pt>
                <c:pt idx="56">
                  <c:v>42206</c:v>
                </c:pt>
                <c:pt idx="57">
                  <c:v>42207</c:v>
                </c:pt>
                <c:pt idx="58">
                  <c:v>42208</c:v>
                </c:pt>
                <c:pt idx="59">
                  <c:v>42209</c:v>
                </c:pt>
                <c:pt idx="60">
                  <c:v>42212</c:v>
                </c:pt>
                <c:pt idx="61">
                  <c:v>42213</c:v>
                </c:pt>
                <c:pt idx="62">
                  <c:v>42214</c:v>
                </c:pt>
                <c:pt idx="63">
                  <c:v>42215</c:v>
                </c:pt>
                <c:pt idx="64">
                  <c:v>42216</c:v>
                </c:pt>
                <c:pt idx="65">
                  <c:v>42219</c:v>
                </c:pt>
                <c:pt idx="66">
                  <c:v>42220</c:v>
                </c:pt>
                <c:pt idx="67">
                  <c:v>42221</c:v>
                </c:pt>
                <c:pt idx="68">
                  <c:v>42222</c:v>
                </c:pt>
                <c:pt idx="69">
                  <c:v>42223</c:v>
                </c:pt>
                <c:pt idx="70">
                  <c:v>42226</c:v>
                </c:pt>
                <c:pt idx="71">
                  <c:v>42227</c:v>
                </c:pt>
                <c:pt idx="72">
                  <c:v>42228</c:v>
                </c:pt>
                <c:pt idx="73">
                  <c:v>42229</c:v>
                </c:pt>
                <c:pt idx="74">
                  <c:v>42230</c:v>
                </c:pt>
                <c:pt idx="75">
                  <c:v>42233</c:v>
                </c:pt>
                <c:pt idx="76">
                  <c:v>42234</c:v>
                </c:pt>
                <c:pt idx="77">
                  <c:v>42235</c:v>
                </c:pt>
                <c:pt idx="78">
                  <c:v>42236</c:v>
                </c:pt>
                <c:pt idx="79">
                  <c:v>42237</c:v>
                </c:pt>
                <c:pt idx="80">
                  <c:v>42240</c:v>
                </c:pt>
                <c:pt idx="81">
                  <c:v>42241</c:v>
                </c:pt>
                <c:pt idx="82">
                  <c:v>42242</c:v>
                </c:pt>
                <c:pt idx="83">
                  <c:v>42243</c:v>
                </c:pt>
                <c:pt idx="84">
                  <c:v>42244</c:v>
                </c:pt>
                <c:pt idx="85">
                  <c:v>42248</c:v>
                </c:pt>
                <c:pt idx="86">
                  <c:v>42249</c:v>
                </c:pt>
                <c:pt idx="87">
                  <c:v>42250</c:v>
                </c:pt>
                <c:pt idx="88">
                  <c:v>42251</c:v>
                </c:pt>
                <c:pt idx="89">
                  <c:v>42254</c:v>
                </c:pt>
                <c:pt idx="90">
                  <c:v>42255</c:v>
                </c:pt>
                <c:pt idx="91">
                  <c:v>42256</c:v>
                </c:pt>
                <c:pt idx="92">
                  <c:v>42257</c:v>
                </c:pt>
                <c:pt idx="93">
                  <c:v>42258</c:v>
                </c:pt>
                <c:pt idx="94">
                  <c:v>42261</c:v>
                </c:pt>
                <c:pt idx="95">
                  <c:v>42262</c:v>
                </c:pt>
                <c:pt idx="96">
                  <c:v>42263</c:v>
                </c:pt>
                <c:pt idx="97">
                  <c:v>42264</c:v>
                </c:pt>
                <c:pt idx="98">
                  <c:v>42265</c:v>
                </c:pt>
                <c:pt idx="99">
                  <c:v>42268</c:v>
                </c:pt>
                <c:pt idx="100">
                  <c:v>42269</c:v>
                </c:pt>
                <c:pt idx="101">
                  <c:v>42270</c:v>
                </c:pt>
                <c:pt idx="102">
                  <c:v>42271</c:v>
                </c:pt>
                <c:pt idx="103">
                  <c:v>42272</c:v>
                </c:pt>
                <c:pt idx="104">
                  <c:v>42275</c:v>
                </c:pt>
                <c:pt idx="105">
                  <c:v>42276</c:v>
                </c:pt>
                <c:pt idx="106">
                  <c:v>42277</c:v>
                </c:pt>
                <c:pt idx="107">
                  <c:v>42278</c:v>
                </c:pt>
                <c:pt idx="108">
                  <c:v>42279</c:v>
                </c:pt>
                <c:pt idx="109">
                  <c:v>42282</c:v>
                </c:pt>
                <c:pt idx="110">
                  <c:v>42283</c:v>
                </c:pt>
                <c:pt idx="111">
                  <c:v>42284</c:v>
                </c:pt>
                <c:pt idx="112">
                  <c:v>42285</c:v>
                </c:pt>
                <c:pt idx="113">
                  <c:v>42286</c:v>
                </c:pt>
                <c:pt idx="114">
                  <c:v>42289</c:v>
                </c:pt>
                <c:pt idx="115">
                  <c:v>42290</c:v>
                </c:pt>
                <c:pt idx="116">
                  <c:v>42291</c:v>
                </c:pt>
                <c:pt idx="117">
                  <c:v>42292</c:v>
                </c:pt>
                <c:pt idx="118">
                  <c:v>42293</c:v>
                </c:pt>
                <c:pt idx="119">
                  <c:v>42296</c:v>
                </c:pt>
                <c:pt idx="120">
                  <c:v>42297</c:v>
                </c:pt>
                <c:pt idx="121">
                  <c:v>42298</c:v>
                </c:pt>
                <c:pt idx="122">
                  <c:v>42299</c:v>
                </c:pt>
                <c:pt idx="123">
                  <c:v>42300</c:v>
                </c:pt>
                <c:pt idx="124">
                  <c:v>42303</c:v>
                </c:pt>
                <c:pt idx="125">
                  <c:v>42304</c:v>
                </c:pt>
                <c:pt idx="126">
                  <c:v>42305</c:v>
                </c:pt>
                <c:pt idx="127">
                  <c:v>42306</c:v>
                </c:pt>
                <c:pt idx="128">
                  <c:v>42307</c:v>
                </c:pt>
                <c:pt idx="129">
                  <c:v>42310</c:v>
                </c:pt>
                <c:pt idx="130">
                  <c:v>42311</c:v>
                </c:pt>
                <c:pt idx="131">
                  <c:v>42312</c:v>
                </c:pt>
                <c:pt idx="132">
                  <c:v>42313</c:v>
                </c:pt>
                <c:pt idx="133">
                  <c:v>42314</c:v>
                </c:pt>
                <c:pt idx="134">
                  <c:v>42317</c:v>
                </c:pt>
                <c:pt idx="135">
                  <c:v>42318</c:v>
                </c:pt>
                <c:pt idx="136">
                  <c:v>42319</c:v>
                </c:pt>
                <c:pt idx="137">
                  <c:v>42320</c:v>
                </c:pt>
                <c:pt idx="138">
                  <c:v>42321</c:v>
                </c:pt>
                <c:pt idx="139">
                  <c:v>42324</c:v>
                </c:pt>
                <c:pt idx="140">
                  <c:v>42325</c:v>
                </c:pt>
                <c:pt idx="141">
                  <c:v>42326</c:v>
                </c:pt>
                <c:pt idx="142">
                  <c:v>42327</c:v>
                </c:pt>
                <c:pt idx="143">
                  <c:v>42328</c:v>
                </c:pt>
                <c:pt idx="144">
                  <c:v>42331</c:v>
                </c:pt>
                <c:pt idx="145">
                  <c:v>42332</c:v>
                </c:pt>
                <c:pt idx="146">
                  <c:v>42333</c:v>
                </c:pt>
                <c:pt idx="147">
                  <c:v>42334</c:v>
                </c:pt>
                <c:pt idx="148">
                  <c:v>42335</c:v>
                </c:pt>
                <c:pt idx="149">
                  <c:v>42338</c:v>
                </c:pt>
                <c:pt idx="150">
                  <c:v>42339</c:v>
                </c:pt>
                <c:pt idx="151">
                  <c:v>42340</c:v>
                </c:pt>
                <c:pt idx="152">
                  <c:v>42341</c:v>
                </c:pt>
                <c:pt idx="153">
                  <c:v>42342</c:v>
                </c:pt>
                <c:pt idx="154">
                  <c:v>42345</c:v>
                </c:pt>
                <c:pt idx="155">
                  <c:v>42346</c:v>
                </c:pt>
                <c:pt idx="156">
                  <c:v>42347</c:v>
                </c:pt>
                <c:pt idx="157">
                  <c:v>42348</c:v>
                </c:pt>
                <c:pt idx="158">
                  <c:v>42349</c:v>
                </c:pt>
                <c:pt idx="159">
                  <c:v>42352</c:v>
                </c:pt>
                <c:pt idx="160">
                  <c:v>42353</c:v>
                </c:pt>
                <c:pt idx="161">
                  <c:v>42354</c:v>
                </c:pt>
                <c:pt idx="162">
                  <c:v>42355</c:v>
                </c:pt>
                <c:pt idx="163">
                  <c:v>42356</c:v>
                </c:pt>
                <c:pt idx="164">
                  <c:v>42359</c:v>
                </c:pt>
                <c:pt idx="165">
                  <c:v>42360</c:v>
                </c:pt>
                <c:pt idx="166">
                  <c:v>42361</c:v>
                </c:pt>
                <c:pt idx="167">
                  <c:v>42362</c:v>
                </c:pt>
                <c:pt idx="168">
                  <c:v>42367</c:v>
                </c:pt>
                <c:pt idx="169">
                  <c:v>42368</c:v>
                </c:pt>
                <c:pt idx="170">
                  <c:v>42369</c:v>
                </c:pt>
                <c:pt idx="171">
                  <c:v>42373</c:v>
                </c:pt>
                <c:pt idx="172">
                  <c:v>42374</c:v>
                </c:pt>
                <c:pt idx="173">
                  <c:v>42375</c:v>
                </c:pt>
                <c:pt idx="174">
                  <c:v>42376</c:v>
                </c:pt>
                <c:pt idx="175">
                  <c:v>42377</c:v>
                </c:pt>
                <c:pt idx="176">
                  <c:v>42380</c:v>
                </c:pt>
                <c:pt idx="177">
                  <c:v>42381</c:v>
                </c:pt>
                <c:pt idx="178">
                  <c:v>42382</c:v>
                </c:pt>
                <c:pt idx="179">
                  <c:v>42383</c:v>
                </c:pt>
                <c:pt idx="180">
                  <c:v>42384</c:v>
                </c:pt>
                <c:pt idx="181">
                  <c:v>42387</c:v>
                </c:pt>
                <c:pt idx="182">
                  <c:v>42388</c:v>
                </c:pt>
                <c:pt idx="183">
                  <c:v>42389</c:v>
                </c:pt>
                <c:pt idx="184">
                  <c:v>42390</c:v>
                </c:pt>
                <c:pt idx="185">
                  <c:v>42391</c:v>
                </c:pt>
                <c:pt idx="186">
                  <c:v>42394</c:v>
                </c:pt>
                <c:pt idx="187">
                  <c:v>42395</c:v>
                </c:pt>
                <c:pt idx="188">
                  <c:v>42396</c:v>
                </c:pt>
                <c:pt idx="189">
                  <c:v>42397</c:v>
                </c:pt>
                <c:pt idx="190">
                  <c:v>42398</c:v>
                </c:pt>
                <c:pt idx="191">
                  <c:v>42401</c:v>
                </c:pt>
                <c:pt idx="192">
                  <c:v>42402</c:v>
                </c:pt>
                <c:pt idx="193">
                  <c:v>42403</c:v>
                </c:pt>
                <c:pt idx="194">
                  <c:v>42404</c:v>
                </c:pt>
                <c:pt idx="195">
                  <c:v>42405</c:v>
                </c:pt>
                <c:pt idx="196">
                  <c:v>42408</c:v>
                </c:pt>
                <c:pt idx="197">
                  <c:v>42409</c:v>
                </c:pt>
                <c:pt idx="198">
                  <c:v>42410</c:v>
                </c:pt>
                <c:pt idx="199">
                  <c:v>42411</c:v>
                </c:pt>
                <c:pt idx="200">
                  <c:v>42412</c:v>
                </c:pt>
                <c:pt idx="201">
                  <c:v>42415</c:v>
                </c:pt>
                <c:pt idx="202">
                  <c:v>42416</c:v>
                </c:pt>
                <c:pt idx="203">
                  <c:v>42417</c:v>
                </c:pt>
                <c:pt idx="204">
                  <c:v>42418</c:v>
                </c:pt>
                <c:pt idx="205">
                  <c:v>42419</c:v>
                </c:pt>
                <c:pt idx="206">
                  <c:v>42422</c:v>
                </c:pt>
                <c:pt idx="207">
                  <c:v>42423</c:v>
                </c:pt>
                <c:pt idx="208">
                  <c:v>42424</c:v>
                </c:pt>
                <c:pt idx="209">
                  <c:v>42425</c:v>
                </c:pt>
                <c:pt idx="210">
                  <c:v>42426</c:v>
                </c:pt>
                <c:pt idx="211">
                  <c:v>42429</c:v>
                </c:pt>
                <c:pt idx="212">
                  <c:v>42430</c:v>
                </c:pt>
                <c:pt idx="213">
                  <c:v>42431</c:v>
                </c:pt>
                <c:pt idx="214">
                  <c:v>42432</c:v>
                </c:pt>
                <c:pt idx="215">
                  <c:v>42433</c:v>
                </c:pt>
                <c:pt idx="216">
                  <c:v>42436</c:v>
                </c:pt>
                <c:pt idx="217">
                  <c:v>42437</c:v>
                </c:pt>
                <c:pt idx="218">
                  <c:v>42438</c:v>
                </c:pt>
                <c:pt idx="219">
                  <c:v>42439</c:v>
                </c:pt>
                <c:pt idx="220">
                  <c:v>42440</c:v>
                </c:pt>
                <c:pt idx="221">
                  <c:v>42443</c:v>
                </c:pt>
                <c:pt idx="222">
                  <c:v>42444</c:v>
                </c:pt>
                <c:pt idx="223">
                  <c:v>42445</c:v>
                </c:pt>
                <c:pt idx="224">
                  <c:v>42446</c:v>
                </c:pt>
                <c:pt idx="225">
                  <c:v>42447</c:v>
                </c:pt>
                <c:pt idx="226">
                  <c:v>42450</c:v>
                </c:pt>
                <c:pt idx="227">
                  <c:v>42451</c:v>
                </c:pt>
                <c:pt idx="228">
                  <c:v>42452</c:v>
                </c:pt>
                <c:pt idx="229">
                  <c:v>42453</c:v>
                </c:pt>
                <c:pt idx="230">
                  <c:v>42458</c:v>
                </c:pt>
                <c:pt idx="231">
                  <c:v>42459</c:v>
                </c:pt>
                <c:pt idx="232">
                  <c:v>42460</c:v>
                </c:pt>
                <c:pt idx="233">
                  <c:v>42461</c:v>
                </c:pt>
                <c:pt idx="234">
                  <c:v>42464</c:v>
                </c:pt>
                <c:pt idx="235">
                  <c:v>42465</c:v>
                </c:pt>
                <c:pt idx="236">
                  <c:v>42466</c:v>
                </c:pt>
                <c:pt idx="237">
                  <c:v>42467</c:v>
                </c:pt>
                <c:pt idx="238">
                  <c:v>42468</c:v>
                </c:pt>
                <c:pt idx="239">
                  <c:v>42471</c:v>
                </c:pt>
                <c:pt idx="240">
                  <c:v>42472</c:v>
                </c:pt>
                <c:pt idx="241">
                  <c:v>42473</c:v>
                </c:pt>
                <c:pt idx="242">
                  <c:v>42474</c:v>
                </c:pt>
                <c:pt idx="243">
                  <c:v>42475</c:v>
                </c:pt>
                <c:pt idx="244">
                  <c:v>42478</c:v>
                </c:pt>
                <c:pt idx="245">
                  <c:v>42479</c:v>
                </c:pt>
                <c:pt idx="246">
                  <c:v>42480</c:v>
                </c:pt>
                <c:pt idx="247">
                  <c:v>42481</c:v>
                </c:pt>
                <c:pt idx="248">
                  <c:v>42482</c:v>
                </c:pt>
                <c:pt idx="249">
                  <c:v>42485</c:v>
                </c:pt>
                <c:pt idx="250">
                  <c:v>42486</c:v>
                </c:pt>
                <c:pt idx="251">
                  <c:v>42487</c:v>
                </c:pt>
                <c:pt idx="252">
                  <c:v>42488</c:v>
                </c:pt>
                <c:pt idx="253">
                  <c:v>42489</c:v>
                </c:pt>
                <c:pt idx="254">
                  <c:v>42493</c:v>
                </c:pt>
                <c:pt idx="255">
                  <c:v>42494</c:v>
                </c:pt>
                <c:pt idx="256">
                  <c:v>42495</c:v>
                </c:pt>
                <c:pt idx="257">
                  <c:v>42496</c:v>
                </c:pt>
                <c:pt idx="258">
                  <c:v>42499</c:v>
                </c:pt>
                <c:pt idx="259">
                  <c:v>42500</c:v>
                </c:pt>
              </c:numCache>
            </c:numRef>
          </c:xVal>
          <c:yVal>
            <c:numRef>
              <c:f>'Delta 6M '!$U$3:$U$262</c:f>
              <c:numCache>
                <c:formatCode>General</c:formatCode>
                <c:ptCount val="260"/>
                <c:pt idx="0">
                  <c:v>2.4313000000119617E-3</c:v>
                </c:pt>
                <c:pt idx="1">
                  <c:v>2.4370303554206683E-3</c:v>
                </c:pt>
                <c:pt idx="2">
                  <c:v>2.4597298444509396E-3</c:v>
                </c:pt>
                <c:pt idx="3">
                  <c:v>2.4652937504062301E-3</c:v>
                </c:pt>
                <c:pt idx="4">
                  <c:v>2.4707910765801545E-3</c:v>
                </c:pt>
                <c:pt idx="5">
                  <c:v>2.4762107263424844E-3</c:v>
                </c:pt>
                <c:pt idx="6">
                  <c:v>2.4918926508576329E-3</c:v>
                </c:pt>
                <c:pt idx="7">
                  <c:v>2.4968906286713093E-3</c:v>
                </c:pt>
                <c:pt idx="8">
                  <c:v>2.5017554469222527E-3</c:v>
                </c:pt>
                <c:pt idx="9">
                  <c:v>2.5064760089802359E-3</c:v>
                </c:pt>
                <c:pt idx="10">
                  <c:v>2.511041218215031E-3</c:v>
                </c:pt>
                <c:pt idx="11">
                  <c:v>2.5236937626780089E-3</c:v>
                </c:pt>
                <c:pt idx="12">
                  <c:v>2.5275265943177738E-3</c:v>
                </c:pt>
                <c:pt idx="13">
                  <c:v>2.5311485899832116E-3</c:v>
                </c:pt>
                <c:pt idx="14">
                  <c:v>2.5345486530440947E-3</c:v>
                </c:pt>
                <c:pt idx="15">
                  <c:v>2.5377156868701956E-3</c:v>
                </c:pt>
                <c:pt idx="16">
                  <c:v>2.5478315972222217E-3</c:v>
                </c:pt>
                <c:pt idx="17">
                  <c:v>2.5496670354209949E-3</c:v>
                </c:pt>
                <c:pt idx="18">
                  <c:v>2.5512028646036198E-3</c:v>
                </c:pt>
                <c:pt idx="19">
                  <c:v>2.552427988139868E-3</c:v>
                </c:pt>
                <c:pt idx="20">
                  <c:v>2.5542720555614645E-3</c:v>
                </c:pt>
                <c:pt idx="21">
                  <c:v>2.554340582386053E-3</c:v>
                </c:pt>
                <c:pt idx="22">
                  <c:v>2.5541708288516931E-3</c:v>
                </c:pt>
                <c:pt idx="23">
                  <c:v>2.553783675437799E-3</c:v>
                </c:pt>
                <c:pt idx="24">
                  <c:v>2.5532000026237838E-3</c:v>
                </c:pt>
                <c:pt idx="25">
                  <c:v>2.5504786725751541E-3</c:v>
                </c:pt>
                <c:pt idx="26">
                  <c:v>2.549317726954796E-3</c:v>
                </c:pt>
                <c:pt idx="27">
                  <c:v>2.5480646643313864E-3</c:v>
                </c:pt>
                <c:pt idx="28">
                  <c:v>2.5467403651843398E-3</c:v>
                </c:pt>
                <c:pt idx="29">
                  <c:v>2.5453657099930699E-3</c:v>
                </c:pt>
                <c:pt idx="30">
                  <c:v>2.5411484129480603E-3</c:v>
                </c:pt>
                <c:pt idx="31">
                  <c:v>2.5397811383740367E-3</c:v>
                </c:pt>
                <c:pt idx="32">
                  <c:v>2.5384679101528593E-3</c:v>
                </c:pt>
                <c:pt idx="33">
                  <c:v>2.5372296087639427E-3</c:v>
                </c:pt>
                <c:pt idx="34">
                  <c:v>2.5360871146866996E-3</c:v>
                </c:pt>
                <c:pt idx="35">
                  <c:v>2.533443281119156E-3</c:v>
                </c:pt>
                <c:pt idx="36">
                  <c:v>2.5328928210827492E-3</c:v>
                </c:pt>
                <c:pt idx="37">
                  <c:v>2.5325425707550865E-3</c:v>
                </c:pt>
                <c:pt idx="38">
                  <c:v>2.5324134106155813E-3</c:v>
                </c:pt>
                <c:pt idx="39">
                  <c:v>2.5325262211436475E-3</c:v>
                </c:pt>
                <c:pt idx="40">
                  <c:v>2.5345252815274157E-3</c:v>
                </c:pt>
                <c:pt idx="41">
                  <c:v>2.5358147795199078E-3</c:v>
                </c:pt>
                <c:pt idx="42">
                  <c:v>2.5374992985882348E-3</c:v>
                </c:pt>
                <c:pt idx="43">
                  <c:v>2.5396122619337309E-3</c:v>
                </c:pt>
                <c:pt idx="44">
                  <c:v>2.5421203921019006E-3</c:v>
                </c:pt>
                <c:pt idx="45">
                  <c:v>2.5516830089974893E-3</c:v>
                </c:pt>
                <c:pt idx="46">
                  <c:v>2.5554390319113924E-3</c:v>
                </c:pt>
                <c:pt idx="47">
                  <c:v>2.5594238343754892E-3</c:v>
                </c:pt>
                <c:pt idx="48">
                  <c:v>2.5636041389352831E-3</c:v>
                </c:pt>
                <c:pt idx="49">
                  <c:v>2.5679466681362787E-3</c:v>
                </c:pt>
                <c:pt idx="50">
                  <c:v>2.581614829041515E-3</c:v>
                </c:pt>
                <c:pt idx="51">
                  <c:v>2.5862734822623568E-3</c:v>
                </c:pt>
                <c:pt idx="52">
                  <c:v>2.5909279728519204E-3</c:v>
                </c:pt>
                <c:pt idx="53">
                  <c:v>2.59554502335571E-3</c:v>
                </c:pt>
                <c:pt idx="54">
                  <c:v>2.600091356319229E-3</c:v>
                </c:pt>
                <c:pt idx="55">
                  <c:v>2.6129732754232048E-3</c:v>
                </c:pt>
                <c:pt idx="56">
                  <c:v>2.6169039636806833E-3</c:v>
                </c:pt>
                <c:pt idx="57">
                  <c:v>2.6205975471254115E-3</c:v>
                </c:pt>
                <c:pt idx="58">
                  <c:v>2.624020748302894E-3</c:v>
                </c:pt>
                <c:pt idx="59">
                  <c:v>2.6271402897586342E-3</c:v>
                </c:pt>
                <c:pt idx="60">
                  <c:v>2.6343441812504424E-3</c:v>
                </c:pt>
                <c:pt idx="61">
                  <c:v>2.6359163092742549E-3</c:v>
                </c:pt>
                <c:pt idx="62">
                  <c:v>2.6370183903038453E-3</c:v>
                </c:pt>
                <c:pt idx="63">
                  <c:v>2.637617146884718E-3</c:v>
                </c:pt>
                <c:pt idx="64">
                  <c:v>2.6379120235273138E-3</c:v>
                </c:pt>
                <c:pt idx="65">
                  <c:v>2.6383451509400285E-3</c:v>
                </c:pt>
                <c:pt idx="66">
                  <c:v>2.6383565260033924E-3</c:v>
                </c:pt>
                <c:pt idx="67">
                  <c:v>2.6383101507450614E-3</c:v>
                </c:pt>
                <c:pt idx="68">
                  <c:v>2.6382112751942802E-3</c:v>
                </c:pt>
                <c:pt idx="69">
                  <c:v>2.6380651493802935E-3</c:v>
                </c:pt>
                <c:pt idx="70">
                  <c:v>2.6373957706515528E-3</c:v>
                </c:pt>
                <c:pt idx="71">
                  <c:v>2.6371131440771954E-3</c:v>
                </c:pt>
                <c:pt idx="72">
                  <c:v>2.6368095173858581E-3</c:v>
                </c:pt>
                <c:pt idx="73">
                  <c:v>2.6364901406067858E-3</c:v>
                </c:pt>
                <c:pt idx="74">
                  <c:v>2.6361602637692233E-3</c:v>
                </c:pt>
                <c:pt idx="75">
                  <c:v>2.6351601331980456E-3</c:v>
                </c:pt>
                <c:pt idx="76">
                  <c:v>2.6348407564189733E-3</c:v>
                </c:pt>
                <c:pt idx="77">
                  <c:v>2.6345371297276359E-3</c:v>
                </c:pt>
                <c:pt idx="78">
                  <c:v>2.6342545031532785E-3</c:v>
                </c:pt>
                <c:pt idx="79">
                  <c:v>2.6339981267251467E-3</c:v>
                </c:pt>
                <c:pt idx="80">
                  <c:v>2.6334389986105511E-3</c:v>
                </c:pt>
                <c:pt idx="81">
                  <c:v>2.6333401230597699E-3</c:v>
                </c:pt>
                <c:pt idx="82">
                  <c:v>2.6332937478014389E-3</c:v>
                </c:pt>
                <c:pt idx="83">
                  <c:v>2.6333051228648028E-3</c:v>
                </c:pt>
                <c:pt idx="84">
                  <c:v>2.6333794982791076E-3</c:v>
                </c:pt>
                <c:pt idx="85">
                  <c:v>2.6344871834215345E-3</c:v>
                </c:pt>
                <c:pt idx="86">
                  <c:v>2.6351676583107149E-3</c:v>
                </c:pt>
                <c:pt idx="87">
                  <c:v>2.6360600152800749E-3</c:v>
                </c:pt>
                <c:pt idx="88">
                  <c:v>2.6371497180220356E-3</c:v>
                </c:pt>
                <c:pt idx="89">
                  <c:v>2.6414575378077214E-3</c:v>
                </c:pt>
                <c:pt idx="90">
                  <c:v>2.6431912605642863E-3</c:v>
                </c:pt>
                <c:pt idx="91">
                  <c:v>2.6450496475555535E-3</c:v>
                </c:pt>
                <c:pt idx="92">
                  <c:v>2.6470181624739437E-3</c:v>
                </c:pt>
                <c:pt idx="93">
                  <c:v>2.6490822690118767E-3</c:v>
                </c:pt>
                <c:pt idx="94">
                  <c:v>2.6557027752671394E-3</c:v>
                </c:pt>
                <c:pt idx="95">
                  <c:v>2.6580038852074494E-3</c:v>
                </c:pt>
                <c:pt idx="96">
                  <c:v>2.6603279052294045E-3</c:v>
                </c:pt>
                <c:pt idx="97">
                  <c:v>2.6626602990254254E-3</c:v>
                </c:pt>
                <c:pt idx="98">
                  <c:v>2.6649865302879323E-3</c:v>
                </c:pt>
                <c:pt idx="99">
                  <c:v>2.6717828857985748E-3</c:v>
                </c:pt>
                <c:pt idx="100">
                  <c:v>2.6739391038512307E-3</c:v>
                </c:pt>
                <c:pt idx="101">
                  <c:v>2.6760164778324748E-3</c:v>
                </c:pt>
                <c:pt idx="102">
                  <c:v>2.6780004714347279E-3</c:v>
                </c:pt>
                <c:pt idx="103">
                  <c:v>2.6798765483504097E-3</c:v>
                </c:pt>
                <c:pt idx="104">
                  <c:v>2.6847119159022349E-3</c:v>
                </c:pt>
                <c:pt idx="105">
                  <c:v>2.6860109629958375E-3</c:v>
                </c:pt>
                <c:pt idx="106">
                  <c:v>2.6871294118649717E-3</c:v>
                </c:pt>
                <c:pt idx="107">
                  <c:v>2.6881099659189366E-3</c:v>
                </c:pt>
                <c:pt idx="108">
                  <c:v>2.6890077794623456E-3</c:v>
                </c:pt>
                <c:pt idx="109">
                  <c:v>2.6912461773831338E-3</c:v>
                </c:pt>
                <c:pt idx="110">
                  <c:v>2.6918544292382175E-3</c:v>
                </c:pt>
                <c:pt idx="111">
                  <c:v>2.6924006407596946E-3</c:v>
                </c:pt>
                <c:pt idx="112">
                  <c:v>2.6928889519829556E-3</c:v>
                </c:pt>
                <c:pt idx="113">
                  <c:v>2.6933235029433906E-3</c:v>
                </c:pt>
                <c:pt idx="114">
                  <c:v>2.6943459946016375E-3</c:v>
                </c:pt>
                <c:pt idx="115">
                  <c:v>2.6946069048646676E-3</c:v>
                </c:pt>
                <c:pt idx="116">
                  <c:v>2.6948347550418213E-3</c:v>
                </c:pt>
                <c:pt idx="117">
                  <c:v>2.6950336851684891E-3</c:v>
                </c:pt>
                <c:pt idx="118">
                  <c:v>2.6952078352800602E-3</c:v>
                </c:pt>
                <c:pt idx="119">
                  <c:v>2.6956230058780978E-3</c:v>
                </c:pt>
                <c:pt idx="120">
                  <c:v>2.6957394362831849E-3</c:v>
                </c:pt>
                <c:pt idx="121">
                  <c:v>2.6958517868501254E-3</c:v>
                </c:pt>
                <c:pt idx="122">
                  <c:v>2.6959641976143102E-3</c:v>
                </c:pt>
                <c:pt idx="123">
                  <c:v>2.696080808611129E-3</c:v>
                </c:pt>
                <c:pt idx="124">
                  <c:v>2.6964972433512887E-3</c:v>
                </c:pt>
                <c:pt idx="125">
                  <c:v>2.6966720556325431E-3</c:v>
                </c:pt>
                <c:pt idx="126">
                  <c:v>2.6968717683233815E-3</c:v>
                </c:pt>
                <c:pt idx="127">
                  <c:v>2.697100521459194E-3</c:v>
                </c:pt>
                <c:pt idx="128">
                  <c:v>2.6973624550753706E-3</c:v>
                </c:pt>
                <c:pt idx="129">
                  <c:v>2.6984809444528151E-3</c:v>
                </c:pt>
                <c:pt idx="130">
                  <c:v>2.6989751866708643E-3</c:v>
                </c:pt>
                <c:pt idx="131">
                  <c:v>2.6995285795974057E-3</c:v>
                </c:pt>
                <c:pt idx="132">
                  <c:v>2.7001401899298637E-3</c:v>
                </c:pt>
                <c:pt idx="133">
                  <c:v>2.7008090843656631E-3</c:v>
                </c:pt>
                <c:pt idx="134">
                  <c:v>2.7031501392673586E-3</c:v>
                </c:pt>
                <c:pt idx="135">
                  <c:v>2.7040388370907719E-3</c:v>
                </c:pt>
                <c:pt idx="136">
                  <c:v>2.7049801525046509E-3</c:v>
                </c:pt>
                <c:pt idx="137">
                  <c:v>2.7059731522064202E-3</c:v>
                </c:pt>
                <c:pt idx="138">
                  <c:v>2.7070169028935043E-3</c:v>
                </c:pt>
                <c:pt idx="139">
                  <c:v>2.7104433278408949E-3</c:v>
                </c:pt>
                <c:pt idx="140">
                  <c:v>2.711680749443487E-3</c:v>
                </c:pt>
                <c:pt idx="141">
                  <c:v>2.7129642555185182E-3</c:v>
                </c:pt>
                <c:pt idx="142">
                  <c:v>2.7142929127634136E-3</c:v>
                </c:pt>
                <c:pt idx="143">
                  <c:v>2.7156657878755971E-3</c:v>
                </c:pt>
                <c:pt idx="144">
                  <c:v>2.7200403873901273E-3</c:v>
                </c:pt>
                <c:pt idx="145">
                  <c:v>2.7215808009457129E-3</c:v>
                </c:pt>
                <c:pt idx="146">
                  <c:v>2.7231607658557114E-3</c:v>
                </c:pt>
                <c:pt idx="147">
                  <c:v>2.724779348817547E-3</c:v>
                </c:pt>
                <c:pt idx="148">
                  <c:v>2.7264356165286447E-3</c:v>
                </c:pt>
                <c:pt idx="149">
                  <c:v>2.7316211951317589E-3</c:v>
                </c:pt>
                <c:pt idx="150">
                  <c:v>2.733418868814153E-3</c:v>
                </c:pt>
                <c:pt idx="151">
                  <c:v>2.7352495607329331E-3</c:v>
                </c:pt>
                <c:pt idx="152">
                  <c:v>2.7371123375855241E-3</c:v>
                </c:pt>
                <c:pt idx="153">
                  <c:v>2.739006266069351E-3</c:v>
                </c:pt>
                <c:pt idx="154">
                  <c:v>2.7448656282824929E-3</c:v>
                </c:pt>
                <c:pt idx="155">
                  <c:v>2.7468748302655103E-3</c:v>
                </c:pt>
                <c:pt idx="156">
                  <c:v>2.748910517366887E-3</c:v>
                </c:pt>
                <c:pt idx="157">
                  <c:v>2.750971756284048E-3</c:v>
                </c:pt>
                <c:pt idx="158">
                  <c:v>2.7530576137144189E-3</c:v>
                </c:pt>
                <c:pt idx="159">
                  <c:v>2.7594535640590328E-3</c:v>
                </c:pt>
                <c:pt idx="160">
                  <c:v>2.7616285625164882E-3</c:v>
                </c:pt>
                <c:pt idx="161">
                  <c:v>2.7638235129742762E-3</c:v>
                </c:pt>
                <c:pt idx="162">
                  <c:v>2.7660374821298224E-3</c:v>
                </c:pt>
                <c:pt idx="163">
                  <c:v>2.7682695366805514E-3</c:v>
                </c:pt>
                <c:pt idx="164">
                  <c:v>2.7750648796780824E-3</c:v>
                </c:pt>
                <c:pt idx="165">
                  <c:v>2.7773599427837899E-3</c:v>
                </c:pt>
                <c:pt idx="166">
                  <c:v>2.7796684247718044E-3</c:v>
                </c:pt>
                <c:pt idx="167">
                  <c:v>2.7819893923395501E-3</c:v>
                </c:pt>
                <c:pt idx="168">
                  <c:v>2.7937488482841191E-3</c:v>
                </c:pt>
                <c:pt idx="169">
                  <c:v>2.7961251299761744E-3</c:v>
                </c:pt>
                <c:pt idx="170">
                  <c:v>2.798507364129935E-3</c:v>
                </c:pt>
                <c:pt idx="171">
                  <c:v>2.8080771593105218E-3</c:v>
                </c:pt>
                <c:pt idx="172">
                  <c:v>2.810475156234179E-3</c:v>
                </c:pt>
                <c:pt idx="173">
                  <c:v>2.81287350580409E-3</c:v>
                </c:pt>
                <c:pt idx="174">
                  <c:v>2.8152712747176794E-3</c:v>
                </c:pt>
                <c:pt idx="175">
                  <c:v>2.8176675296723722E-3</c:v>
                </c:pt>
                <c:pt idx="176">
                  <c:v>2.8248378777573188E-3</c:v>
                </c:pt>
                <c:pt idx="177">
                  <c:v>2.8272187438506727E-3</c:v>
                </c:pt>
                <c:pt idx="178">
                  <c:v>2.8295934294722542E-3</c:v>
                </c:pt>
                <c:pt idx="179">
                  <c:v>2.8319610013194875E-3</c:v>
                </c:pt>
                <c:pt idx="180">
                  <c:v>2.834320526089798E-3</c:v>
                </c:pt>
                <c:pt idx="181">
                  <c:v>2.8413414849134382E-3</c:v>
                </c:pt>
                <c:pt idx="182">
                  <c:v>2.8436594883503039E-3</c:v>
                </c:pt>
                <c:pt idx="183">
                  <c:v>2.8459647781973701E-3</c:v>
                </c:pt>
                <c:pt idx="184">
                  <c:v>2.8482564211520624E-3</c:v>
                </c:pt>
                <c:pt idx="185">
                  <c:v>2.8505334839118049E-3</c:v>
                </c:pt>
                <c:pt idx="186">
                  <c:v>2.8572678579955831E-3</c:v>
                </c:pt>
                <c:pt idx="187">
                  <c:v>2.8594772669497752E-3</c:v>
                </c:pt>
                <c:pt idx="188">
                  <c:v>2.8616674291961418E-3</c:v>
                </c:pt>
                <c:pt idx="189">
                  <c:v>2.8638374114321073E-3</c:v>
                </c:pt>
                <c:pt idx="190">
                  <c:v>2.8659862803550968E-3</c:v>
                </c:pt>
                <c:pt idx="191">
                  <c:v>2.8723021642992983E-3</c:v>
                </c:pt>
                <c:pt idx="192">
                  <c:v>2.874364496311932E-3</c:v>
                </c:pt>
                <c:pt idx="193">
                  <c:v>2.8764057507910169E-3</c:v>
                </c:pt>
                <c:pt idx="194">
                  <c:v>2.878426170007053E-3</c:v>
                </c:pt>
                <c:pt idx="195">
                  <c:v>2.8804259962305419E-3</c:v>
                </c:pt>
                <c:pt idx="196">
                  <c:v>2.8863043396507256E-3</c:v>
                </c:pt>
                <c:pt idx="197">
                  <c:v>2.8882242166090285E-3</c:v>
                </c:pt>
                <c:pt idx="198">
                  <c:v>2.8901247119272858E-3</c:v>
                </c:pt>
                <c:pt idx="199">
                  <c:v>2.892006067875999E-3</c:v>
                </c:pt>
                <c:pt idx="200">
                  <c:v>2.8938685267256678E-3</c:v>
                </c:pt>
                <c:pt idx="201">
                  <c:v>2.8993449433854174E-3</c:v>
                </c:pt>
                <c:pt idx="202">
                  <c:v>2.9011342365439161E-3</c:v>
                </c:pt>
                <c:pt idx="203">
                  <c:v>2.9029058439558743E-3</c:v>
                </c:pt>
                <c:pt idx="204">
                  <c:v>2.9046600078917913E-3</c:v>
                </c:pt>
                <c:pt idx="205">
                  <c:v>2.9063969706221689E-3</c:v>
                </c:pt>
                <c:pt idx="206">
                  <c:v>2.9115070742850662E-3</c:v>
                </c:pt>
                <c:pt idx="207">
                  <c:v>2.9131776548982891E-3</c:v>
                </c:pt>
                <c:pt idx="208">
                  <c:v>2.9148322456584749E-3</c:v>
                </c:pt>
                <c:pt idx="209">
                  <c:v>2.9164710888361241E-3</c:v>
                </c:pt>
                <c:pt idx="210">
                  <c:v>2.9180944267017373E-3</c:v>
                </c:pt>
                <c:pt idx="211">
                  <c:v>2.9228738311313659E-3</c:v>
                </c:pt>
                <c:pt idx="212">
                  <c:v>2.9244375704538402E-3</c:v>
                </c:pt>
                <c:pt idx="213">
                  <c:v>2.9259870158167816E-3</c:v>
                </c:pt>
                <c:pt idx="214">
                  <c:v>2.9275224094906902E-3</c:v>
                </c:pt>
                <c:pt idx="215">
                  <c:v>2.9290439937460669E-3</c:v>
                </c:pt>
                <c:pt idx="216">
                  <c:v>2.933528312706009E-3</c:v>
                </c:pt>
                <c:pt idx="217">
                  <c:v>2.9349970819922628E-3</c:v>
                </c:pt>
                <c:pt idx="218">
                  <c:v>2.9364532532124873E-3</c:v>
                </c:pt>
                <c:pt idx="219">
                  <c:v>2.9378970686371828E-3</c:v>
                </c:pt>
                <c:pt idx="220">
                  <c:v>2.9393287705368506E-3</c:v>
                </c:pt>
                <c:pt idx="221">
                  <c:v>2.9435536177906895E-3</c:v>
                </c:pt>
                <c:pt idx="222">
                  <c:v>2.9449392882952502E-3</c:v>
                </c:pt>
                <c:pt idx="223">
                  <c:v>2.9463140566272851E-3</c:v>
                </c:pt>
                <c:pt idx="224">
                  <c:v>2.9476781650572955E-3</c:v>
                </c:pt>
                <c:pt idx="225">
                  <c:v>2.9490318558557816E-3</c:v>
                </c:pt>
                <c:pt idx="226">
                  <c:v>2.9530328451671003E-3</c:v>
                </c:pt>
                <c:pt idx="227">
                  <c:v>2.9543472881444952E-3</c:v>
                </c:pt>
                <c:pt idx="228">
                  <c:v>2.9556525248428684E-3</c:v>
                </c:pt>
                <c:pt idx="229">
                  <c:v>2.9569487975327209E-3</c:v>
                </c:pt>
                <c:pt idx="230">
                  <c:v>2.9633041803216911E-3</c:v>
                </c:pt>
                <c:pt idx="231">
                  <c:v>2.9645517566409306E-3</c:v>
                </c:pt>
                <c:pt idx="232">
                  <c:v>2.9657920648451528E-3</c:v>
                </c:pt>
                <c:pt idx="233">
                  <c:v>2.9670253472048589E-3</c:v>
                </c:pt>
                <c:pt idx="234">
                  <c:v>2.9706854619218851E-3</c:v>
                </c:pt>
                <c:pt idx="235">
                  <c:v>2.9718930636085314E-3</c:v>
                </c:pt>
                <c:pt idx="236">
                  <c:v>2.9730948508031644E-3</c:v>
                </c:pt>
                <c:pt idx="237">
                  <c:v>2.9742910657762842E-3</c:v>
                </c:pt>
                <c:pt idx="238">
                  <c:v>2.9754819507983917E-3</c:v>
                </c:pt>
                <c:pt idx="239">
                  <c:v>2.9790250488636455E-3</c:v>
                </c:pt>
                <c:pt idx="240">
                  <c:v>2.9801970367867095E-3</c:v>
                </c:pt>
                <c:pt idx="241">
                  <c:v>2.9813649061112635E-3</c:v>
                </c:pt>
                <c:pt idx="242">
                  <c:v>2.9825288991078081E-3</c:v>
                </c:pt>
                <c:pt idx="243">
                  <c:v>2.983689258046845E-3</c:v>
                </c:pt>
                <c:pt idx="244">
                  <c:v>2.9871509532239096E-3</c:v>
                </c:pt>
                <c:pt idx="245">
                  <c:v>2.988299198637918E-3</c:v>
                </c:pt>
                <c:pt idx="246">
                  <c:v>2.9894450213469206E-3</c:v>
                </c:pt>
                <c:pt idx="247">
                  <c:v>2.9905886636214184E-3</c:v>
                </c:pt>
                <c:pt idx="248">
                  <c:v>2.9917303677319115E-3</c:v>
                </c:pt>
                <c:pt idx="249">
                  <c:v>2.9951462737843695E-3</c:v>
                </c:pt>
                <c:pt idx="250">
                  <c:v>2.9962826479438503E-3</c:v>
                </c:pt>
                <c:pt idx="251">
                  <c:v>2.9974182952918296E-3</c:v>
                </c:pt>
                <c:pt idx="252">
                  <c:v>2.9985534580988073E-3</c:v>
                </c:pt>
                <c:pt idx="253">
                  <c:v>2.9996883786352849E-3</c:v>
                </c:pt>
                <c:pt idx="254">
                  <c:v>3.0042304834862E-3</c:v>
                </c:pt>
                <c:pt idx="255">
                  <c:v>3.0053678267276834E-3</c:v>
                </c:pt>
                <c:pt idx="256">
                  <c:v>3.0065063813216691E-3</c:v>
                </c:pt>
                <c:pt idx="257">
                  <c:v>3.0076463895386584E-3</c:v>
                </c:pt>
                <c:pt idx="258">
                  <c:v>3.0110775586326519E-3</c:v>
                </c:pt>
                <c:pt idx="259">
                  <c:v>3.0122258040466603E-3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198528"/>
        <c:axId val="640200064"/>
      </c:scatterChart>
      <c:valAx>
        <c:axId val="64019852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40200064"/>
        <c:crosses val="autoZero"/>
        <c:crossBetween val="midCat"/>
      </c:valAx>
      <c:valAx>
        <c:axId val="64020006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40198528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76199</xdr:rowOff>
    </xdr:from>
    <xdr:to>
      <xdr:col>26</xdr:col>
      <xdr:colOff>66675</xdr:colOff>
      <xdr:row>40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85724</xdr:rowOff>
    </xdr:from>
    <xdr:to>
      <xdr:col>30</xdr:col>
      <xdr:colOff>76200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57149</xdr:rowOff>
    </xdr:from>
    <xdr:to>
      <xdr:col>30</xdr:col>
      <xdr:colOff>76200</xdr:colOff>
      <xdr:row>40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66674</xdr:rowOff>
    </xdr:from>
    <xdr:to>
      <xdr:col>26</xdr:col>
      <xdr:colOff>66675</xdr:colOff>
      <xdr:row>40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45</xdr:row>
      <xdr:rowOff>119062</xdr:rowOff>
    </xdr:from>
    <xdr:to>
      <xdr:col>17</xdr:col>
      <xdr:colOff>542925</xdr:colOff>
      <xdr:row>75</xdr:row>
      <xdr:rowOff>75628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16</xdr:row>
      <xdr:rowOff>19050</xdr:rowOff>
    </xdr:from>
    <xdr:to>
      <xdr:col>17</xdr:col>
      <xdr:colOff>542925</xdr:colOff>
      <xdr:row>45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133350</xdr:rowOff>
    </xdr:from>
    <xdr:to>
      <xdr:col>16</xdr:col>
      <xdr:colOff>542925</xdr:colOff>
      <xdr:row>81</xdr:row>
      <xdr:rowOff>89916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22</xdr:row>
      <xdr:rowOff>9525</xdr:rowOff>
    </xdr:from>
    <xdr:to>
      <xdr:col>16</xdr:col>
      <xdr:colOff>542925</xdr:colOff>
      <xdr:row>51</xdr:row>
      <xdr:rowOff>108966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BP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LiborSwapIsda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SemiAnnual"/>
      <sheetName val="Swap3MAnnual"/>
      <sheetName val="Swap6M"/>
      <sheetName val="1M (2)"/>
      <sheetName val="3M (2)"/>
      <sheetName val="6M (2)"/>
      <sheetName val="IBOR"/>
      <sheetName val="IB365"/>
      <sheetName val="SFIX2"/>
      <sheetName val="SFIX3"/>
      <sheetName val="MPCOIS"/>
      <sheetName val="FwdOIS"/>
      <sheetName val="MxQuotes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196</v>
          </cell>
        </row>
        <row r="7">
          <cell r="D7">
            <v>1</v>
          </cell>
        </row>
      </sheetData>
      <sheetData sheetId="1">
        <row r="6">
          <cell r="D6" t="str">
            <v>Relinkable Handle</v>
          </cell>
        </row>
        <row r="7">
          <cell r="D7" t="str">
            <v>GBPON#0000</v>
          </cell>
        </row>
      </sheetData>
      <sheetData sheetId="2">
        <row r="7">
          <cell r="D7" t="str">
            <v>3M</v>
          </cell>
        </row>
      </sheetData>
      <sheetData sheetId="3">
        <row r="6">
          <cell r="D6" t="str">
            <v>6L</v>
          </cell>
        </row>
        <row r="7">
          <cell r="D7" t="str">
            <v>6L</v>
          </cell>
        </row>
      </sheetData>
      <sheetData sheetId="4">
        <row r="6">
          <cell r="D6" t="str">
            <v>6L</v>
          </cell>
        </row>
        <row r="7">
          <cell r="D7" t="str">
            <v>6L</v>
          </cell>
        </row>
      </sheetData>
      <sheetData sheetId="5">
        <row r="6">
          <cell r="D6" t="str">
            <v>12L</v>
          </cell>
        </row>
        <row r="7">
          <cell r="D7" t="str">
            <v>12L</v>
          </cell>
        </row>
      </sheetData>
      <sheetData sheetId="6">
        <row r="6">
          <cell r="D6" t="str">
            <v>GBPTND_Quote#0000</v>
          </cell>
        </row>
        <row r="7">
          <cell r="D7" t="str">
            <v>GBPSND_Quote#0000</v>
          </cell>
        </row>
      </sheetData>
      <sheetData sheetId="7">
        <row r="6">
          <cell r="D6" t="str">
            <v>GBP2x5F_Quote</v>
          </cell>
        </row>
        <row r="7">
          <cell r="D7" t="str">
            <v>GBP3x6F_Quote</v>
          </cell>
        </row>
      </sheetData>
      <sheetData sheetId="8">
        <row r="6">
          <cell r="D6" t="str">
            <v>N5</v>
          </cell>
        </row>
        <row r="7">
          <cell r="D7" t="str">
            <v>Q5</v>
          </cell>
        </row>
      </sheetData>
      <sheetData sheetId="9">
        <row r="6">
          <cell r="D6" t="str">
            <v>Future Code</v>
          </cell>
        </row>
        <row r="7">
          <cell r="D7" t="str">
            <v>K5</v>
          </cell>
        </row>
      </sheetData>
      <sheetData sheetId="10">
        <row r="6">
          <cell r="D6" t="str">
            <v>M5</v>
          </cell>
        </row>
        <row r="7">
          <cell r="D7" t="str">
            <v>N5</v>
          </cell>
        </row>
      </sheetData>
      <sheetData sheetId="11">
        <row r="6">
          <cell r="D6" t="str">
            <v/>
          </cell>
        </row>
      </sheetData>
      <sheetData sheetId="12">
        <row r="6">
          <cell r="D6" t="str">
            <v>OIS</v>
          </cell>
        </row>
        <row r="7">
          <cell r="D7" t="str">
            <v>OIS</v>
          </cell>
        </row>
      </sheetData>
      <sheetData sheetId="13">
        <row r="6">
          <cell r="D6" t="str">
            <v>X1S</v>
          </cell>
        </row>
        <row r="7">
          <cell r="D7" t="str">
            <v>X1S</v>
          </cell>
        </row>
      </sheetData>
      <sheetData sheetId="14">
        <row r="6">
          <cell r="D6">
            <v>12</v>
          </cell>
        </row>
        <row r="7">
          <cell r="D7">
            <v>12</v>
          </cell>
        </row>
      </sheetData>
      <sheetData sheetId="15">
        <row r="6">
          <cell r="D6" t="str">
            <v>3L</v>
          </cell>
        </row>
        <row r="7">
          <cell r="D7" t="str">
            <v>3L</v>
          </cell>
        </row>
      </sheetData>
      <sheetData sheetId="16">
        <row r="6">
          <cell r="D6" t="str">
            <v>3L</v>
          </cell>
        </row>
        <row r="7">
          <cell r="D7" t="str">
            <v>3L</v>
          </cell>
        </row>
      </sheetData>
      <sheetData sheetId="17">
        <row r="6">
          <cell r="D6" t="str">
            <v>6L</v>
          </cell>
        </row>
        <row r="7">
          <cell r="D7" t="str">
            <v>6L</v>
          </cell>
        </row>
      </sheetData>
      <sheetData sheetId="18">
        <row r="6">
          <cell r="D6" t="str">
            <v>6L</v>
          </cell>
        </row>
        <row r="7">
          <cell r="D7" t="str">
            <v>6L</v>
          </cell>
        </row>
      </sheetData>
      <sheetData sheetId="19">
        <row r="6">
          <cell r="D6" t="str">
            <v>6L</v>
          </cell>
        </row>
        <row r="7">
          <cell r="D7" t="str">
            <v>6L</v>
          </cell>
        </row>
      </sheetData>
      <sheetData sheetId="20">
        <row r="6">
          <cell r="D6" t="str">
            <v>3L</v>
          </cell>
        </row>
        <row r="7">
          <cell r="D7" t="str">
            <v>3L</v>
          </cell>
        </row>
      </sheetData>
      <sheetData sheetId="21">
        <row r="6">
          <cell r="D6" t="str">
            <v>GBP-SND=</v>
          </cell>
        </row>
        <row r="7">
          <cell r="D7" t="str">
            <v>GBP-SWD=</v>
          </cell>
        </row>
      </sheetData>
      <sheetData sheetId="22">
        <row r="6">
          <cell r="D6" t="str">
            <v>GBP-SND=</v>
          </cell>
        </row>
        <row r="7">
          <cell r="D7" t="str">
            <v>GBP-SWD=</v>
          </cell>
        </row>
      </sheetData>
      <sheetData sheetId="23">
        <row r="6">
          <cell r="D6" t="str">
            <v>GBP-3Y=</v>
          </cell>
        </row>
        <row r="7">
          <cell r="D7" t="str">
            <v>GBP-4Y=</v>
          </cell>
        </row>
      </sheetData>
      <sheetData sheetId="24">
        <row r="6">
          <cell r="D6" t="str">
            <v>GBP-3Y=</v>
          </cell>
        </row>
        <row r="7">
          <cell r="D7" t="str">
            <v>GBP-4Y=</v>
          </cell>
        </row>
      </sheetData>
      <sheetData sheetId="25">
        <row r="6">
          <cell r="D6" t="str">
            <v>OIS</v>
          </cell>
        </row>
        <row r="7">
          <cell r="D7" t="str">
            <v>OIS</v>
          </cell>
        </row>
      </sheetData>
      <sheetData sheetId="26">
        <row r="6">
          <cell r="D6" t="str">
            <v>1X</v>
          </cell>
        </row>
        <row r="7">
          <cell r="D7" t="str">
            <v>2X</v>
          </cell>
        </row>
      </sheetData>
      <sheetData sheetId="27">
        <row r="6">
          <cell r="D6" t="str">
            <v>GBPSWD_Mx_Quote#0000</v>
          </cell>
        </row>
        <row r="7">
          <cell r="D7" t="str">
            <v>GBP2WD_Mx_Quote#0000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42"/>
  <sheetViews>
    <sheetView workbookViewId="0"/>
  </sheetViews>
  <sheetFormatPr defaultColWidth="10.6640625" defaultRowHeight="11.25" x14ac:dyDescent="0.2"/>
  <cols>
    <col min="1" max="2" width="2.83203125" style="1" customWidth="1"/>
    <col min="3" max="3" width="24.33203125" style="1" customWidth="1"/>
    <col min="4" max="4" width="35.83203125" style="1" customWidth="1"/>
    <col min="5" max="7" width="2.83203125" style="1" customWidth="1"/>
    <col min="8" max="8" width="27.5" style="1" bestFit="1" customWidth="1"/>
    <col min="9" max="9" width="39.33203125" style="1" bestFit="1" customWidth="1"/>
    <col min="10" max="10" width="2.83203125" style="1" customWidth="1"/>
    <col min="11" max="16384" width="10.6640625" style="1"/>
  </cols>
  <sheetData>
    <row r="1" spans="1:34" ht="12" thickBot="1" x14ac:dyDescent="0.25">
      <c r="B1" s="1" t="str">
        <f>_xll.qlxlVersion(TRUE,EvaluationDate)</f>
        <v>QuantLibXL 1.6.0 - MS VC++ (version unknown) - Multithreaded Dynamic Runtime library - Release Configuration - Apr 24 2015 16:36:54</v>
      </c>
    </row>
    <row r="2" spans="1:34" ht="19.5" thickBot="1" x14ac:dyDescent="0.25">
      <c r="B2" s="147" t="s">
        <v>0</v>
      </c>
      <c r="C2" s="147"/>
      <c r="D2" s="147"/>
      <c r="E2" s="148"/>
      <c r="G2" s="147" t="s">
        <v>136</v>
      </c>
      <c r="H2" s="147"/>
      <c r="I2" s="147"/>
      <c r="J2" s="147"/>
    </row>
    <row r="3" spans="1:34" x14ac:dyDescent="0.2">
      <c r="B3" s="2"/>
      <c r="C3" s="3"/>
      <c r="D3" s="3"/>
      <c r="E3" s="4"/>
      <c r="G3" s="9"/>
      <c r="H3" s="10"/>
      <c r="I3" s="10"/>
      <c r="J3" s="11"/>
    </row>
    <row r="4" spans="1:34" x14ac:dyDescent="0.2">
      <c r="B4" s="2"/>
      <c r="C4" s="5" t="s">
        <v>1</v>
      </c>
      <c r="D4" s="7" t="s">
        <v>156</v>
      </c>
      <c r="E4" s="4"/>
      <c r="G4" s="9"/>
      <c r="H4" s="13" t="s">
        <v>5</v>
      </c>
      <c r="I4" s="14" t="b">
        <v>1</v>
      </c>
      <c r="J4" s="15"/>
    </row>
    <row r="5" spans="1:34" s="8" customFormat="1" x14ac:dyDescent="0.2">
      <c r="A5" s="1"/>
      <c r="B5" s="2"/>
      <c r="C5" s="5" t="s">
        <v>2</v>
      </c>
      <c r="D5" s="7" t="s">
        <v>157</v>
      </c>
      <c r="E5" s="4"/>
      <c r="F5" s="1"/>
      <c r="G5" s="9"/>
      <c r="H5" s="13" t="s">
        <v>6</v>
      </c>
      <c r="I5" s="14" t="b">
        <v>1</v>
      </c>
      <c r="J5" s="1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s="8" customFormat="1" x14ac:dyDescent="0.2">
      <c r="A6" s="1"/>
      <c r="B6" s="2"/>
      <c r="C6" s="5" t="s">
        <v>3</v>
      </c>
      <c r="D6" s="7" t="str">
        <f>IF(UPPER(Currency)&lt;&gt;"EUR","L","")&amp;"ibor"</f>
        <v>Libor</v>
      </c>
      <c r="E6" s="4"/>
      <c r="F6" s="1"/>
      <c r="G6" s="9"/>
      <c r="H6" s="13" t="s">
        <v>8</v>
      </c>
      <c r="I6" s="14" t="b">
        <v>0</v>
      </c>
      <c r="J6" s="1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">
      <c r="B7" s="2"/>
      <c r="C7" s="5" t="s">
        <v>4</v>
      </c>
      <c r="D7" s="12" t="s">
        <v>158</v>
      </c>
      <c r="E7" s="4"/>
      <c r="G7" s="9"/>
      <c r="H7" s="13" t="s">
        <v>9</v>
      </c>
      <c r="I7" s="18"/>
      <c r="J7" s="15"/>
    </row>
    <row r="8" spans="1:34" x14ac:dyDescent="0.2">
      <c r="B8" s="2"/>
      <c r="C8" s="5" t="s">
        <v>115</v>
      </c>
      <c r="D8" s="17" t="str">
        <f>Currency&amp;"ON"</f>
        <v>GBPON</v>
      </c>
      <c r="E8" s="4"/>
      <c r="G8" s="9"/>
      <c r="H8" s="13" t="s">
        <v>11</v>
      </c>
      <c r="I8" s="19" t="b">
        <v>1</v>
      </c>
      <c r="J8" s="15"/>
    </row>
    <row r="9" spans="1:34" x14ac:dyDescent="0.2">
      <c r="B9" s="2"/>
      <c r="C9" s="5" t="s">
        <v>142</v>
      </c>
      <c r="D9" s="17" t="s">
        <v>159</v>
      </c>
      <c r="E9" s="4"/>
      <c r="G9" s="9"/>
      <c r="H9" s="10"/>
      <c r="I9" s="10"/>
      <c r="J9" s="11"/>
    </row>
    <row r="10" spans="1:34" x14ac:dyDescent="0.2">
      <c r="B10" s="60"/>
      <c r="C10" s="351"/>
      <c r="D10" s="351"/>
      <c r="E10" s="4"/>
      <c r="G10" s="9"/>
      <c r="H10" s="13" t="s">
        <v>13</v>
      </c>
      <c r="I10" s="19" t="s">
        <v>14</v>
      </c>
      <c r="J10" s="15"/>
    </row>
    <row r="11" spans="1:34" x14ac:dyDescent="0.2">
      <c r="B11" s="2"/>
      <c r="C11" s="80" t="s">
        <v>18</v>
      </c>
      <c r="D11" s="81">
        <v>41864.862141203703</v>
      </c>
      <c r="E11" s="4"/>
      <c r="G11" s="9"/>
      <c r="H11" s="13" t="s">
        <v>16</v>
      </c>
      <c r="I11" s="20">
        <v>1E-4</v>
      </c>
      <c r="J11" s="15"/>
    </row>
    <row r="12" spans="1:34" x14ac:dyDescent="0.2">
      <c r="B12" s="2"/>
      <c r="C12" s="80" t="s">
        <v>19</v>
      </c>
      <c r="D12" s="145" t="b">
        <v>1</v>
      </c>
      <c r="E12" s="4"/>
      <c r="G12" s="9"/>
      <c r="H12" s="13" t="s">
        <v>17</v>
      </c>
      <c r="I12" s="21">
        <v>-0.01</v>
      </c>
      <c r="J12" s="15"/>
    </row>
    <row r="13" spans="1:34" ht="12" thickBot="1" x14ac:dyDescent="0.25">
      <c r="B13" s="25"/>
      <c r="C13" s="152"/>
      <c r="D13" s="153"/>
      <c r="E13" s="27"/>
      <c r="G13" s="22"/>
      <c r="H13" s="23"/>
      <c r="I13" s="23"/>
      <c r="J13" s="24"/>
    </row>
    <row r="14" spans="1:34" ht="12" thickBot="1" x14ac:dyDescent="0.25">
      <c r="C14" s="28"/>
      <c r="D14" s="28"/>
      <c r="E14" s="28"/>
    </row>
    <row r="15" spans="1:34" ht="19.5" thickBot="1" x14ac:dyDescent="0.25">
      <c r="B15" s="147" t="s">
        <v>91</v>
      </c>
      <c r="C15" s="147"/>
      <c r="D15" s="147"/>
      <c r="E15" s="148"/>
      <c r="G15" s="147" t="s">
        <v>99</v>
      </c>
      <c r="H15" s="147"/>
      <c r="I15" s="147"/>
      <c r="J15" s="148"/>
    </row>
    <row r="16" spans="1:34" x14ac:dyDescent="0.2">
      <c r="B16" s="60"/>
      <c r="C16" s="61"/>
      <c r="D16" s="62"/>
      <c r="E16" s="63"/>
      <c r="G16" s="47"/>
      <c r="H16" s="29"/>
      <c r="I16" s="29"/>
      <c r="J16" s="51"/>
    </row>
    <row r="17" spans="2:10" x14ac:dyDescent="0.2">
      <c r="B17" s="2"/>
      <c r="C17" s="67" t="s">
        <v>7</v>
      </c>
      <c r="D17" s="16">
        <f>_xll.qlCalendarAdvance(Calendar,EvaluationDate,"0D","f")</f>
        <v>42124</v>
      </c>
      <c r="E17" s="4"/>
      <c r="G17" s="47"/>
      <c r="H17" s="5" t="s">
        <v>20</v>
      </c>
      <c r="I17" s="149">
        <v>42124.435891203706</v>
      </c>
      <c r="J17" s="51"/>
    </row>
    <row r="18" spans="2:10" x14ac:dyDescent="0.2">
      <c r="B18" s="2"/>
      <c r="C18" s="67" t="s">
        <v>10</v>
      </c>
      <c r="D18" s="17" t="str">
        <f>_xll.qlDiscountingSwapEngine(,OisCurve,,,,,EvaluationDate)</f>
        <v>obj_00434#0000</v>
      </c>
      <c r="E18" s="4"/>
      <c r="G18" s="47"/>
      <c r="H18" s="5" t="s">
        <v>21</v>
      </c>
      <c r="I18" s="149">
        <f>_xll.qlSettingsEvaluationDate(Trigger)</f>
        <v>42124</v>
      </c>
      <c r="J18" s="51"/>
    </row>
    <row r="19" spans="2:10" x14ac:dyDescent="0.2">
      <c r="B19" s="2"/>
      <c r="C19" s="67" t="s">
        <v>12</v>
      </c>
      <c r="D19" s="65">
        <f>_xll.qlCalendarAdjust(Calendar,DATE(YEAR(SettlementDate),12,31),"Preceding")</f>
        <v>42369</v>
      </c>
      <c r="E19" s="4"/>
      <c r="G19" s="47"/>
      <c r="H19" s="5" t="s">
        <v>22</v>
      </c>
      <c r="I19" s="150">
        <f>[1]!TriggerCounter</f>
        <v>196</v>
      </c>
      <c r="J19" s="51"/>
    </row>
    <row r="20" spans="2:10" x14ac:dyDescent="0.2">
      <c r="B20" s="2"/>
      <c r="C20" s="67" t="s">
        <v>15</v>
      </c>
      <c r="D20" s="65">
        <f>_xll.qlCalendarAdjust(Calendar,DATE(YEAR(SettlementDate)+1,12,31),"Preceding")</f>
        <v>42734</v>
      </c>
      <c r="E20" s="4"/>
      <c r="G20" s="47"/>
      <c r="H20" s="5" t="s">
        <v>23</v>
      </c>
      <c r="I20" s="151">
        <f>[1]!LastFixingsTrigger</f>
        <v>1</v>
      </c>
      <c r="J20" s="51"/>
    </row>
    <row r="21" spans="2:10" x14ac:dyDescent="0.2">
      <c r="B21" s="2"/>
      <c r="C21" s="146"/>
      <c r="D21" s="146"/>
      <c r="E21" s="4"/>
      <c r="G21" s="47"/>
      <c r="H21" s="5" t="s">
        <v>26</v>
      </c>
      <c r="I21" s="6">
        <f>_xll.ohTrigger(Contribution!U16,Contribution!U22,Contribution!U29,Contribution!U39,Contribution!U55)</f>
        <v>0</v>
      </c>
      <c r="J21" s="51"/>
    </row>
    <row r="22" spans="2:10" ht="12" thickBot="1" x14ac:dyDescent="0.25">
      <c r="B22" s="25"/>
      <c r="C22" s="26"/>
      <c r="D22" s="26"/>
      <c r="E22" s="27"/>
      <c r="G22" s="52"/>
      <c r="H22" s="53"/>
      <c r="I22" s="53"/>
      <c r="J22" s="54"/>
    </row>
    <row r="23" spans="2:10" ht="12" thickBot="1" x14ac:dyDescent="0.25"/>
    <row r="24" spans="2:10" ht="19.5" thickBot="1" x14ac:dyDescent="0.25">
      <c r="B24" s="147" t="str">
        <f>IborTenor&amp;" Curve Settings"</f>
        <v>1Y Curve Settings</v>
      </c>
      <c r="C24" s="147"/>
      <c r="D24" s="147"/>
      <c r="E24" s="148"/>
      <c r="G24" s="147" t="str">
        <f>I26&amp;" Curve Settings"</f>
        <v>1M Curve Settings</v>
      </c>
      <c r="H24" s="147"/>
      <c r="I24" s="147"/>
      <c r="J24" s="148"/>
    </row>
    <row r="25" spans="2:10" x14ac:dyDescent="0.2">
      <c r="B25" s="2"/>
      <c r="C25" s="3"/>
      <c r="D25" s="3"/>
      <c r="E25" s="4"/>
      <c r="G25" s="2"/>
      <c r="H25" s="3"/>
      <c r="I25" s="3"/>
      <c r="J25" s="4"/>
    </row>
    <row r="26" spans="2:10" x14ac:dyDescent="0.2">
      <c r="B26" s="2"/>
      <c r="C26" s="67" t="s">
        <v>24</v>
      </c>
      <c r="D26" s="6" t="s">
        <v>25</v>
      </c>
      <c r="E26" s="4"/>
      <c r="G26" s="2"/>
      <c r="H26" s="67" t="s">
        <v>24</v>
      </c>
      <c r="I26" s="6" t="s">
        <v>38</v>
      </c>
      <c r="J26" s="4"/>
    </row>
    <row r="27" spans="2:10" x14ac:dyDescent="0.2">
      <c r="B27" s="2"/>
      <c r="C27" s="67" t="s">
        <v>27</v>
      </c>
      <c r="D27" s="64">
        <v>0</v>
      </c>
      <c r="E27" s="4"/>
      <c r="G27" s="2"/>
      <c r="H27" s="67" t="s">
        <v>27</v>
      </c>
      <c r="I27" s="64">
        <v>0</v>
      </c>
      <c r="J27" s="4"/>
    </row>
    <row r="28" spans="2:10" x14ac:dyDescent="0.2">
      <c r="B28" s="2"/>
      <c r="C28" s="5" t="s">
        <v>93</v>
      </c>
      <c r="D28" s="68" t="str">
        <f>_xll.qlLibor(,Currency,IborTenor,YieldCurve,,Trigger)</f>
        <v>obj_0043e#0000</v>
      </c>
      <c r="E28" s="4"/>
      <c r="G28" s="2"/>
      <c r="H28" s="5" t="s">
        <v>93</v>
      </c>
      <c r="I28" s="272" t="str">
        <f>_xll.qlLibor(,Currency,IborTenor1M,I34,,Trigger)</f>
        <v>obj_0043c#0000</v>
      </c>
      <c r="J28" s="4"/>
    </row>
    <row r="29" spans="2:10" x14ac:dyDescent="0.2">
      <c r="B29" s="60"/>
      <c r="C29" s="351"/>
      <c r="D29" s="351"/>
      <c r="E29" s="63"/>
      <c r="G29" s="60"/>
      <c r="H29" s="351"/>
      <c r="I29" s="351"/>
      <c r="J29" s="63"/>
    </row>
    <row r="30" spans="2:10" x14ac:dyDescent="0.2">
      <c r="B30" s="2"/>
      <c r="C30" s="67" t="s">
        <v>28</v>
      </c>
      <c r="D30" s="7" t="e">
        <v>#N/A</v>
      </c>
      <c r="E30" s="4"/>
      <c r="G30" s="2"/>
      <c r="H30" s="67" t="s">
        <v>28</v>
      </c>
      <c r="I30" s="7" t="e">
        <v>#N/A</v>
      </c>
      <c r="J30" s="4"/>
    </row>
    <row r="31" spans="2:10" x14ac:dyDescent="0.2">
      <c r="B31" s="2"/>
      <c r="C31" s="67" t="s">
        <v>29</v>
      </c>
      <c r="D31" s="12" t="s">
        <v>30</v>
      </c>
      <c r="E31" s="4"/>
      <c r="G31" s="2"/>
      <c r="H31" s="67" t="s">
        <v>29</v>
      </c>
      <c r="I31" s="12" t="s">
        <v>30</v>
      </c>
      <c r="J31" s="4"/>
    </row>
    <row r="32" spans="2:10" x14ac:dyDescent="0.2">
      <c r="B32" s="2"/>
      <c r="C32" s="67" t="s">
        <v>31</v>
      </c>
      <c r="D32" s="17" t="s">
        <v>131</v>
      </c>
      <c r="E32" s="4"/>
      <c r="G32" s="2"/>
      <c r="H32" s="67" t="s">
        <v>31</v>
      </c>
      <c r="I32" s="17" t="s">
        <v>131</v>
      </c>
      <c r="J32" s="4"/>
    </row>
    <row r="33" spans="2:10" x14ac:dyDescent="0.2">
      <c r="B33" s="2"/>
      <c r="C33" s="67" t="s">
        <v>92</v>
      </c>
      <c r="D33" s="66" t="b">
        <f>_xll.qlExtrapolatorEnableExtrapolation(YieldCurve,TRUE)</f>
        <v>1</v>
      </c>
      <c r="E33" s="4"/>
      <c r="G33" s="60"/>
      <c r="H33" s="395"/>
      <c r="I33" s="396"/>
      <c r="J33" s="4"/>
    </row>
    <row r="34" spans="2:10" x14ac:dyDescent="0.2">
      <c r="B34" s="2"/>
      <c r="C34" s="74" t="s">
        <v>97</v>
      </c>
      <c r="D34" s="75" t="str">
        <f>_xll.qlPiecewiseYieldCurve(,NDays,Calendar,_xll.ohPack('Delta 1Y'!L14:L27),DayCounter,,,Accuracy,TraitsID,InterpolatorID)</f>
        <v>obj_0043d#0000</v>
      </c>
      <c r="E34" s="4"/>
      <c r="G34" s="2"/>
      <c r="H34" s="74" t="s">
        <v>97</v>
      </c>
      <c r="I34" s="75" t="str">
        <f>_xll.qlPiecewiseYieldCurve(,NDays,Calendar,_xll.ohPack('Delta 1M'!L13:L21),"actual/365",,,Accuracy,I31,I32,,Trigger)</f>
        <v>obj_0043b#0000</v>
      </c>
      <c r="J34" s="4"/>
    </row>
    <row r="35" spans="2:10" x14ac:dyDescent="0.2">
      <c r="B35" s="2"/>
      <c r="C35" s="76" t="s">
        <v>98</v>
      </c>
      <c r="D35" s="77" t="str">
        <f>_xll.ohRangeRetrieveError(YieldCurve)</f>
        <v/>
      </c>
      <c r="E35" s="4"/>
      <c r="G35" s="2"/>
      <c r="H35" s="76" t="s">
        <v>98</v>
      </c>
      <c r="I35" s="77" t="str">
        <f>_xll.ohRangeRetrieveError(YieldCurve)</f>
        <v/>
      </c>
      <c r="J35" s="394"/>
    </row>
    <row r="36" spans="2:10" x14ac:dyDescent="0.2">
      <c r="B36" s="60"/>
      <c r="C36" s="351"/>
      <c r="D36" s="351"/>
      <c r="E36" s="63"/>
      <c r="G36" s="60"/>
      <c r="H36" s="351"/>
      <c r="I36" s="351"/>
      <c r="J36" s="394"/>
    </row>
    <row r="37" spans="2:10" x14ac:dyDescent="0.2">
      <c r="B37" s="2"/>
      <c r="C37" s="70">
        <f>_xll.qlTermStructureReferenceDate(YieldCurve)</f>
        <v>42124</v>
      </c>
      <c r="D37" s="71" t="e">
        <f>_xll.qlYieldTSDiscount(YieldCurve,C37,,Trigger)</f>
        <v>#NUM!</v>
      </c>
      <c r="E37" s="4"/>
      <c r="G37" s="2"/>
      <c r="H37" s="70">
        <f>_xll.qlTermStructureReferenceDate(I34)</f>
        <v>42124</v>
      </c>
      <c r="I37" s="288">
        <f>_xll.qlYieldTSDiscount(I34,H37,,Trigger)</f>
        <v>1</v>
      </c>
      <c r="J37" s="394"/>
    </row>
    <row r="38" spans="2:10" x14ac:dyDescent="0.2">
      <c r="B38" s="2"/>
      <c r="C38" s="72" t="e">
        <f>_xll.qlTermStructureMaxDate(D34)</f>
        <v>#NUM!</v>
      </c>
      <c r="D38" s="73" t="e">
        <f>_xll.qlYieldTSDiscount(YieldCurve,C38,,Trigger)</f>
        <v>#NUM!</v>
      </c>
      <c r="E38" s="4"/>
      <c r="G38" s="2"/>
      <c r="H38" s="72">
        <f>_xll.qlTermStructureMaxDate(I34)</f>
        <v>42277</v>
      </c>
      <c r="I38" s="289">
        <f>_xll.qlYieldTSDiscount(I34,H38,,Trigger)</f>
        <v>0.99781946514755926</v>
      </c>
      <c r="J38" s="394"/>
    </row>
    <row r="39" spans="2:10" ht="12" thickBot="1" x14ac:dyDescent="0.25">
      <c r="B39" s="60"/>
      <c r="C39" s="351"/>
      <c r="D39" s="351"/>
      <c r="E39" s="63"/>
      <c r="G39" s="25"/>
      <c r="H39" s="26"/>
      <c r="I39" s="26"/>
      <c r="J39" s="27"/>
    </row>
    <row r="40" spans="2:10" x14ac:dyDescent="0.2">
      <c r="B40" s="2"/>
      <c r="C40" s="5" t="s">
        <v>94</v>
      </c>
      <c r="D40" s="66" t="s">
        <v>96</v>
      </c>
      <c r="E40" s="4"/>
    </row>
    <row r="41" spans="2:10" x14ac:dyDescent="0.2">
      <c r="B41" s="2"/>
      <c r="C41" s="5" t="s">
        <v>95</v>
      </c>
      <c r="D41" s="69" t="str">
        <f>_xll.qlInterpolation(,BasisInterpolation,'Delta 1Y'!P31:P36,'Delta 1Y'!X31:X36)</f>
        <v>obj_00627#0185</v>
      </c>
      <c r="E41" s="4"/>
    </row>
    <row r="42" spans="2:10" ht="12" thickBot="1" x14ac:dyDescent="0.25">
      <c r="B42" s="25"/>
      <c r="C42" s="26"/>
      <c r="D42" s="26"/>
      <c r="E42" s="27"/>
    </row>
  </sheetData>
  <conditionalFormatting sqref="D12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32 I32:I33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 I31">
      <formula1>"Discount,ZeroYield,ForwardRate"</formula1>
    </dataValidation>
    <dataValidation type="list" allowBlank="1" showInputMessage="1" showErrorMessage="1" sqref="D40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2"/>
  <sheetViews>
    <sheetView workbookViewId="0"/>
  </sheetViews>
  <sheetFormatPr defaultColWidth="9.5" defaultRowHeight="11.25" x14ac:dyDescent="0.2"/>
  <cols>
    <col min="1" max="2" width="3.5" style="156" customWidth="1"/>
    <col min="3" max="5" width="22.83203125" style="156" customWidth="1"/>
    <col min="6" max="6" width="10.5" style="156" bestFit="1" customWidth="1"/>
    <col min="7" max="8" width="14.1640625" style="156" bestFit="1" customWidth="1"/>
    <col min="9" max="9" width="10.5" style="156" bestFit="1" customWidth="1"/>
    <col min="10" max="11" width="9.33203125" style="156" bestFit="1" customWidth="1"/>
    <col min="12" max="12" width="10.5" style="156" bestFit="1" customWidth="1"/>
    <col min="13" max="13" width="10.83203125" style="156" customWidth="1"/>
    <col min="14" max="14" width="13.1640625" style="156" customWidth="1"/>
    <col min="15" max="17" width="6.83203125" style="156" customWidth="1"/>
    <col min="18" max="18" width="2.33203125" style="156" bestFit="1" customWidth="1"/>
    <col min="19" max="19" width="10.83203125" style="156" customWidth="1"/>
    <col min="20" max="20" width="2.33203125" style="156" bestFit="1" customWidth="1"/>
    <col min="21" max="21" width="10.83203125" style="156" customWidth="1"/>
    <col min="22" max="22" width="12.5" style="156" bestFit="1" customWidth="1"/>
    <col min="23" max="25" width="9.33203125" style="156" bestFit="1" customWidth="1"/>
    <col min="26" max="27" width="9.5" style="156"/>
    <col min="28" max="28" width="20.33203125" style="156" bestFit="1" customWidth="1"/>
    <col min="29" max="29" width="8.1640625" style="156" bestFit="1" customWidth="1"/>
    <col min="30" max="31" width="9.5" style="156" bestFit="1" customWidth="1"/>
    <col min="32" max="32" width="12.1640625" style="156" customWidth="1"/>
    <col min="33" max="16384" width="9.5" style="156"/>
  </cols>
  <sheetData>
    <row r="1" spans="1:32" ht="12" thickBot="1" x14ac:dyDescent="0.25"/>
    <row r="2" spans="1:32" ht="19.5" customHeight="1" x14ac:dyDescent="0.2">
      <c r="C2" s="165" t="s">
        <v>102</v>
      </c>
      <c r="D2" s="166" t="s">
        <v>87</v>
      </c>
      <c r="E2" s="166" t="s">
        <v>88</v>
      </c>
      <c r="F2" s="166" t="s">
        <v>141</v>
      </c>
      <c r="G2" s="166" t="s">
        <v>145</v>
      </c>
      <c r="H2" s="166" t="s">
        <v>146</v>
      </c>
      <c r="I2" s="166" t="s">
        <v>109</v>
      </c>
      <c r="J2" s="180" t="s">
        <v>110</v>
      </c>
      <c r="K2" s="166" t="s">
        <v>111</v>
      </c>
      <c r="L2" s="167" t="s">
        <v>117</v>
      </c>
      <c r="S2" s="206" t="s">
        <v>107</v>
      </c>
      <c r="W2" s="494" t="s">
        <v>106</v>
      </c>
      <c r="X2" s="494"/>
      <c r="Y2" s="494"/>
      <c r="AB2" s="165" t="s">
        <v>87</v>
      </c>
      <c r="AC2" s="165" t="s">
        <v>137</v>
      </c>
      <c r="AD2" s="166" t="s">
        <v>37</v>
      </c>
      <c r="AE2" s="166" t="s">
        <v>100</v>
      </c>
      <c r="AF2" s="167" t="s">
        <v>101</v>
      </c>
    </row>
    <row r="3" spans="1:32" ht="12" customHeight="1" x14ac:dyDescent="0.2">
      <c r="C3" s="329" t="str">
        <f>$D$10&amp;"LastFixing"&amp;QuoteSuffix</f>
        <v>GbpLibor1MLastFixing_Quote</v>
      </c>
      <c r="D3" s="330">
        <f>_xll.qlCalendarAdvance(Calendar,_xll.qlLastFixingQuoteReferenceDate($C$3),_xll.qlInterestRateIndexFixingDays($D$10)&amp;"D","f",,LastFixingsTrigger)</f>
        <v>42123</v>
      </c>
      <c r="E3" s="330">
        <f>_xll.qlInterestRateIndexMaturity($D$10,D3)</f>
        <v>42153</v>
      </c>
      <c r="F3" s="424">
        <f>'Delta 1M'!W26</f>
        <v>4.0751246344092996E-5</v>
      </c>
      <c r="G3" s="350">
        <f>_xll.qlDayCounterYearFraction(DayCounter,SettlementDate,D3,,,Trigger)</f>
        <v>-2.7397260273972603E-3</v>
      </c>
      <c r="H3" s="350">
        <f>_xll.qlDayCounterYearFraction(DayCounter,SettlementDate,E3,,,Trigger)</f>
        <v>7.9452054794520555E-2</v>
      </c>
      <c r="I3" s="350">
        <f>H3-G3</f>
        <v>8.2191780821917818E-2</v>
      </c>
      <c r="J3" s="350">
        <f>(H3^2-G3^2)/2</f>
        <v>3.1525614561831493E-3</v>
      </c>
      <c r="K3" s="350">
        <f>(H3^3-G3^3)/3</f>
        <v>1.6719063691303981E-4</v>
      </c>
      <c r="L3" s="331" t="b">
        <f>IF(D12="fixing",TRUE,FALSE)</f>
        <v>0</v>
      </c>
      <c r="N3" s="495" t="s">
        <v>103</v>
      </c>
      <c r="O3" s="172">
        <f t="array" ref="O3:O5">_xll.ohFilter(K3:K7,L3:L7)</f>
        <v>1.6718378202837752E-4</v>
      </c>
      <c r="P3" s="173">
        <f t="array" ref="P3:P5">_xll.ohFilter(J3:J7,L3:L7)</f>
        <v>3.1563145055357482E-3</v>
      </c>
      <c r="Q3" s="174">
        <f t="array" ref="Q3:Q5">_xll.ohFilter(I3:I7,L3:L7)</f>
        <v>7.9452054794520555E-2</v>
      </c>
      <c r="R3" s="168"/>
      <c r="S3" s="176">
        <f t="array" ref="S3:S5">MMULT(W3:Y5,U3:U5)</f>
        <v>-1.4802698744361131E-3</v>
      </c>
      <c r="T3" s="177"/>
      <c r="U3" s="160">
        <f t="array" ref="U3:U5">_xll.ohFilter(F3:F7,L3:L7)</f>
        <v>4.0751246344092996E-5</v>
      </c>
      <c r="W3" s="172">
        <f t="array" ref="W3:Y5">MINVERSE(O3:Q5)</f>
        <v>831.87530058462301</v>
      </c>
      <c r="X3" s="173">
        <v>-1690.0698197188151</v>
      </c>
      <c r="Y3" s="174">
        <v>857.34551208420601</v>
      </c>
      <c r="AB3" s="185">
        <f>SettlementDate</f>
        <v>42124</v>
      </c>
      <c r="AC3" s="210">
        <f>_xll.qlDayCounterYearFraction(DayCounter,SettlementDate,AB3,,,Trigger)</f>
        <v>0</v>
      </c>
      <c r="AD3" s="186">
        <f t="shared" ref="AD3:AD26" si="0">$S$13</f>
        <v>5.1290361777910141E-4</v>
      </c>
      <c r="AE3" s="186">
        <f t="shared" ref="AE3:AE23" si="1">$S$10+$S$9*AC3</f>
        <v>4.8695348375330574E-4</v>
      </c>
      <c r="AF3" s="187">
        <f t="shared" ref="AF3:AF23" si="2">($S$5+$S$4*AC3+$S$3*AC3^2)</f>
        <v>4.8013562841677616E-4</v>
      </c>
    </row>
    <row r="4" spans="1:32" ht="12" customHeight="1" x14ac:dyDescent="0.2">
      <c r="A4" s="156">
        <v>0</v>
      </c>
      <c r="B4" s="405">
        <f>A4+SUBSTITUTE($D$9,"M","")</f>
        <v>1</v>
      </c>
      <c r="C4" s="158" t="str">
        <f>"Delta("&amp;A4&amp;"M,"&amp;B4&amp;"M)"</f>
        <v>Delta(0M,1M)</v>
      </c>
      <c r="D4" s="159">
        <f>SettlementDate</f>
        <v>42124</v>
      </c>
      <c r="E4" s="159">
        <f>_xll.qlInterestRateIndexMaturity($D$10,D4)</f>
        <v>42153</v>
      </c>
      <c r="F4" s="425">
        <f t="array" ref="F4:F7">Delta1M</f>
        <v>4.0751246344092996E-5</v>
      </c>
      <c r="G4" s="210">
        <f>_xll.qlDayCounterYearFraction(DayCounter,SettlementDate,D4,,,Trigger)</f>
        <v>0</v>
      </c>
      <c r="H4" s="210">
        <f>_xll.qlDayCounterYearFraction(DayCounter,SettlementDate,E4,,,Trigger)</f>
        <v>7.9452054794520555E-2</v>
      </c>
      <c r="I4" s="210">
        <f>H4-G4</f>
        <v>7.9452054794520555E-2</v>
      </c>
      <c r="J4" s="210">
        <f>(H4^2-G4^2)/2</f>
        <v>3.1563145055357482E-3</v>
      </c>
      <c r="K4" s="210">
        <f>(H4^3-G4^3)/3</f>
        <v>1.6718378202837752E-4</v>
      </c>
      <c r="L4" s="192" t="b">
        <f>IF(D12="fixing",FALSE,TRUE)</f>
        <v>1</v>
      </c>
      <c r="N4" s="495"/>
      <c r="O4" s="172">
        <v>1.4090900911785343E-3</v>
      </c>
      <c r="P4" s="173">
        <v>1.058359917432914E-2</v>
      </c>
      <c r="Q4" s="174">
        <v>8.2191780821917804E-2</v>
      </c>
      <c r="R4" s="169" t="s">
        <v>35</v>
      </c>
      <c r="S4" s="176">
        <v>9.032563761793783E-4</v>
      </c>
      <c r="T4" s="169" t="s">
        <v>36</v>
      </c>
      <c r="U4" s="160">
        <v>4.6937072160427009E-5</v>
      </c>
      <c r="W4" s="172">
        <v>-281.86286401667661</v>
      </c>
      <c r="X4" s="173">
        <v>422.10670000224235</v>
      </c>
      <c r="Y4" s="174">
        <v>-144.81219172850473</v>
      </c>
      <c r="AB4" s="188">
        <f>_xll.qlCalendarAdvance(Calendar,AB3,"1d","mf",,Trigger)</f>
        <v>42125</v>
      </c>
      <c r="AC4" s="210">
        <f>_xll.qlDayCounterYearFraction(DayCounter,SettlementDate,AB4,,,Trigger)</f>
        <v>2.7397260273972603E-3</v>
      </c>
      <c r="AD4" s="189">
        <f t="shared" si="0"/>
        <v>5.1290361777910141E-4</v>
      </c>
      <c r="AE4" s="189">
        <f t="shared" si="1"/>
        <v>4.8874314816887781E-4</v>
      </c>
      <c r="AF4" s="161">
        <f t="shared" si="2"/>
        <v>4.825991923682195E-4</v>
      </c>
    </row>
    <row r="5" spans="1:32" ht="12" customHeight="1" x14ac:dyDescent="0.2">
      <c r="A5" s="171">
        <v>1</v>
      </c>
      <c r="B5" s="405">
        <f t="shared" ref="B5:B7" si="3">A5+SUBSTITUTE($D$9,"M","")</f>
        <v>2</v>
      </c>
      <c r="C5" s="158" t="str">
        <f>"Delta("&amp;A5&amp;"M,"&amp;B5&amp;"M)"</f>
        <v>Delta(1M,2M)</v>
      </c>
      <c r="D5" s="159">
        <f>_xll.qlCalendarAdvance(Calendar,SettlementDate,A5&amp;"M","f")</f>
        <v>42156</v>
      </c>
      <c r="E5" s="159">
        <f>_xll.qlInterestRateIndexMaturity($D$10,D5)</f>
        <v>42186</v>
      </c>
      <c r="F5" s="425">
        <v>4.6937072160427009E-5</v>
      </c>
      <c r="G5" s="210">
        <f>_xll.qlDayCounterYearFraction(DayCounter,SettlementDate,D5,,,Trigger)</f>
        <v>8.7671232876712329E-2</v>
      </c>
      <c r="H5" s="210">
        <f>_xll.qlDayCounterYearFraction(DayCounter,SettlementDate,E5,,,Trigger)</f>
        <v>0.16986301369863013</v>
      </c>
      <c r="I5" s="210">
        <f>H5-G5</f>
        <v>8.2191780821917804E-2</v>
      </c>
      <c r="J5" s="210">
        <f>(H5^2-G5^2)/2</f>
        <v>1.058359917432914E-2</v>
      </c>
      <c r="K5" s="210">
        <f>(H5^3-G5^3)/3</f>
        <v>1.4090900911785343E-3</v>
      </c>
      <c r="L5" s="192" t="b">
        <v>1</v>
      </c>
      <c r="N5" s="495"/>
      <c r="O5" s="172">
        <v>3.7818878523732057E-3</v>
      </c>
      <c r="P5" s="173">
        <v>1.7800713079377001E-2</v>
      </c>
      <c r="Q5" s="174">
        <v>8.493150684931508E-2</v>
      </c>
      <c r="R5" s="171"/>
      <c r="S5" s="176">
        <v>4.8013562841677616E-4</v>
      </c>
      <c r="T5" s="169"/>
      <c r="U5" s="160">
        <v>5.1259035346602562E-5</v>
      </c>
      <c r="W5" s="172">
        <v>22.033058702727025</v>
      </c>
      <c r="X5" s="173">
        <v>-13.21236107062508</v>
      </c>
      <c r="Y5" s="174">
        <v>3.9487783786989836</v>
      </c>
      <c r="AB5" s="188">
        <f>_xll.qlCalendarAdvance(Calendar,AB4,"1d","mf",,Trigger)</f>
        <v>42129</v>
      </c>
      <c r="AC5" s="210">
        <f>_xll.qlDayCounterYearFraction(DayCounter,SettlementDate,AB5,,,Trigger)</f>
        <v>1.3698630136986301E-2</v>
      </c>
      <c r="AD5" s="189">
        <f t="shared" si="0"/>
        <v>5.1290361777910141E-4</v>
      </c>
      <c r="AE5" s="189">
        <f t="shared" si="1"/>
        <v>4.9590180583116632E-4</v>
      </c>
      <c r="AF5" s="161">
        <f t="shared" si="2"/>
        <v>4.9223122713823583E-4</v>
      </c>
    </row>
    <row r="6" spans="1:32" ht="12" customHeight="1" x14ac:dyDescent="0.2">
      <c r="A6" s="171">
        <v>2</v>
      </c>
      <c r="B6" s="205">
        <f t="shared" si="3"/>
        <v>3</v>
      </c>
      <c r="C6" s="158" t="str">
        <f>"Delta("&amp;A6&amp;"M,"&amp;B6&amp;"M)"</f>
        <v>Delta(2M,3M)</v>
      </c>
      <c r="D6" s="159">
        <f>_xll.qlCalendarAdvance(Calendar,SettlementDate,A6&amp;"M","f")</f>
        <v>42185</v>
      </c>
      <c r="E6" s="159">
        <f>_xll.qlInterestRateIndexMaturity($D$10,D6)</f>
        <v>42216</v>
      </c>
      <c r="F6" s="425">
        <v>5.1259035346602562E-5</v>
      </c>
      <c r="G6" s="210">
        <f>_xll.qlDayCounterYearFraction(DayCounter,SettlementDate,D6,,,Trigger)</f>
        <v>0.16712328767123288</v>
      </c>
      <c r="H6" s="210">
        <f>_xll.qlDayCounterYearFraction(DayCounter,SettlementDate,E6,,,Trigger)</f>
        <v>0.25205479452054796</v>
      </c>
      <c r="I6" s="210">
        <f>H6-G6</f>
        <v>8.493150684931508E-2</v>
      </c>
      <c r="J6" s="210">
        <f>(H6^2-G6^2)/2</f>
        <v>1.7800713079377001E-2</v>
      </c>
      <c r="K6" s="210">
        <f>(H6^3-G6^3)/3</f>
        <v>3.7818878523732057E-3</v>
      </c>
      <c r="L6" s="192" t="b">
        <v>1</v>
      </c>
      <c r="S6" s="178"/>
      <c r="T6" s="207"/>
      <c r="U6" s="179"/>
      <c r="AB6" s="188">
        <f>_xll.qlCalendarAdvance(Calendar,AB5,"1d","mf",,Trigger)</f>
        <v>42130</v>
      </c>
      <c r="AC6" s="210">
        <f>_xll.qlDayCounterYearFraction(DayCounter,SettlementDate,AB6,,,Trigger)</f>
        <v>1.643835616438356E-2</v>
      </c>
      <c r="AD6" s="189">
        <f t="shared" si="0"/>
        <v>5.1290361777910141E-4</v>
      </c>
      <c r="AE6" s="189">
        <f t="shared" si="1"/>
        <v>4.9769147024673844E-4</v>
      </c>
      <c r="AF6" s="161">
        <f t="shared" si="2"/>
        <v>4.9458368057180067E-4</v>
      </c>
    </row>
    <row r="7" spans="1:32" ht="12" customHeight="1" thickBot="1" x14ac:dyDescent="0.25">
      <c r="A7" s="171">
        <v>3</v>
      </c>
      <c r="B7" s="205">
        <f t="shared" si="3"/>
        <v>4</v>
      </c>
      <c r="C7" s="162" t="str">
        <f>"Delta("&amp;A7&amp;"M,"&amp;B7&amp;"M)"</f>
        <v>Delta(3M,4M)</v>
      </c>
      <c r="D7" s="163">
        <f>_xll.qlCalendarAdvance(Calendar,SettlementDate,A7&amp;"M","f")</f>
        <v>42215</v>
      </c>
      <c r="E7" s="163">
        <f>_xll.qlInterestRateIndexMaturity($D$10,D7)</f>
        <v>42244</v>
      </c>
      <c r="F7" s="426">
        <v>5.4029170279389026E-5</v>
      </c>
      <c r="G7" s="211">
        <f>_xll.qlDayCounterYearFraction(DayCounter,SettlementDate,D7,,,Trigger)</f>
        <v>0.24931506849315069</v>
      </c>
      <c r="H7" s="211">
        <f>_xll.qlDayCounterYearFraction(DayCounter,SettlementDate,E7,,,Trigger)</f>
        <v>0.32876712328767121</v>
      </c>
      <c r="I7" s="211">
        <f>H7-G7</f>
        <v>7.9452054794520527E-2</v>
      </c>
      <c r="J7" s="211">
        <f>(H7^2-G7^2)/2</f>
        <v>2.2964908988553193E-2</v>
      </c>
      <c r="K7" s="211">
        <f>(H7^3-G7^3)/3</f>
        <v>6.679598406582059E-3</v>
      </c>
      <c r="L7" s="193" t="b">
        <v>0</v>
      </c>
      <c r="S7" s="178"/>
      <c r="T7" s="207"/>
      <c r="U7" s="179"/>
      <c r="AB7" s="188">
        <f>_xll.qlCalendarAdvance(Calendar,AB6,"1d","mf",,Trigger)</f>
        <v>42131</v>
      </c>
      <c r="AC7" s="210">
        <f>_xll.qlDayCounterYearFraction(DayCounter,SettlementDate,AB7,,,Trigger)</f>
        <v>1.9178082191780823E-2</v>
      </c>
      <c r="AD7" s="189">
        <f t="shared" si="0"/>
        <v>5.1290361777910141E-4</v>
      </c>
      <c r="AE7" s="189">
        <f t="shared" si="1"/>
        <v>4.9948113466231057E-4</v>
      </c>
      <c r="AF7" s="161">
        <f t="shared" si="2"/>
        <v>4.9691391190178984E-4</v>
      </c>
    </row>
    <row r="8" spans="1:32" ht="12" customHeight="1" thickBot="1" x14ac:dyDescent="0.25">
      <c r="A8" s="171"/>
      <c r="B8" s="400"/>
      <c r="C8" s="400"/>
      <c r="D8" s="401"/>
      <c r="E8" s="401"/>
      <c r="F8" s="402"/>
      <c r="G8" s="403"/>
      <c r="H8" s="403"/>
      <c r="I8" s="403"/>
      <c r="J8" s="403"/>
      <c r="K8" s="403"/>
      <c r="L8" s="404"/>
      <c r="S8" s="208" t="s">
        <v>108</v>
      </c>
      <c r="T8" s="207"/>
      <c r="U8" s="179"/>
      <c r="AB8" s="188">
        <f>_xll.qlCalendarAdvance(Calendar,AB7,"1d","mf",,Trigger)</f>
        <v>42132</v>
      </c>
      <c r="AC8" s="210">
        <f>_xll.qlDayCounterYearFraction(DayCounter,SettlementDate,AB8,,,Trigger)</f>
        <v>2.1917808219178082E-2</v>
      </c>
      <c r="AD8" s="189">
        <f t="shared" si="0"/>
        <v>5.1290361777910141E-4</v>
      </c>
      <c r="AE8" s="189">
        <f t="shared" si="1"/>
        <v>5.012707990778827E-4</v>
      </c>
      <c r="AF8" s="161">
        <f t="shared" si="2"/>
        <v>4.9922192112820322E-4</v>
      </c>
    </row>
    <row r="9" spans="1:32" ht="12" customHeight="1" x14ac:dyDescent="0.2">
      <c r="C9" s="165" t="s">
        <v>153</v>
      </c>
      <c r="D9" s="203" t="s">
        <v>38</v>
      </c>
      <c r="N9" s="494" t="s">
        <v>104</v>
      </c>
      <c r="O9" s="209"/>
      <c r="P9" s="172">
        <f t="array" ref="P9:P10">_xll.ohFilter(J3:J7,L3:L7)</f>
        <v>3.1563145055357482E-3</v>
      </c>
      <c r="Q9" s="174">
        <f t="array" ref="Q9:Q10">_xll.ohFilter(I3:I7,L3:L7)</f>
        <v>7.9452054794520555E-2</v>
      </c>
      <c r="R9" s="496" t="s">
        <v>35</v>
      </c>
      <c r="S9" s="176">
        <f t="array" ref="S9:S10">MMULT(W9:X10,U9:U10)</f>
        <v>6.532275116838222E-4</v>
      </c>
      <c r="T9" s="496" t="s">
        <v>36</v>
      </c>
      <c r="U9" s="160">
        <f t="array" ref="U9:U10">_xll.ohFilter(F3:F7,L3:L7)</f>
        <v>4.0751246344092996E-5</v>
      </c>
      <c r="W9" s="172">
        <f t="array" ref="W9:X10">MINVERSE(P9:Q10)</f>
        <v>-141.35278514588862</v>
      </c>
      <c r="X9" s="174">
        <v>136.64102564102566</v>
      </c>
      <c r="AB9" s="188">
        <f>_xll.qlCalendarAdvance(Calendar,AB8,"1d","mf",,Trigger)</f>
        <v>42135</v>
      </c>
      <c r="AC9" s="210">
        <f>_xll.qlDayCounterYearFraction(DayCounter,SettlementDate,AB9,,,Trigger)</f>
        <v>3.0136986301369864E-2</v>
      </c>
      <c r="AD9" s="189">
        <f t="shared" si="0"/>
        <v>5.1290361777910141E-4</v>
      </c>
      <c r="AE9" s="189">
        <f t="shared" si="1"/>
        <v>5.0663979232459897E-4</v>
      </c>
      <c r="AF9" s="161">
        <f t="shared" si="2"/>
        <v>5.0601261618598941E-4</v>
      </c>
    </row>
    <row r="10" spans="1:32" ht="12" customHeight="1" x14ac:dyDescent="0.2">
      <c r="C10" s="183" t="s">
        <v>116</v>
      </c>
      <c r="D10" s="204" t="str">
        <f>PROPER(Currency)&amp;IborType&amp;D9</f>
        <v>GbpLibor1M</v>
      </c>
      <c r="N10" s="494"/>
      <c r="O10" s="209"/>
      <c r="P10" s="172">
        <v>1.058359917432914E-2</v>
      </c>
      <c r="Q10" s="174">
        <v>8.2191780821917804E-2</v>
      </c>
      <c r="R10" s="496"/>
      <c r="S10" s="176">
        <v>4.8695348375330574E-4</v>
      </c>
      <c r="T10" s="496"/>
      <c r="U10" s="160">
        <v>4.6937072160427009E-5</v>
      </c>
      <c r="W10" s="172">
        <v>18.201591511936339</v>
      </c>
      <c r="X10" s="174">
        <v>-5.4282051282051285</v>
      </c>
      <c r="AB10" s="188">
        <f>_xll.qlCalendarAdvance(Calendar,AB9,"1d","mf",,Trigger)</f>
        <v>42136</v>
      </c>
      <c r="AC10" s="210">
        <f>_xll.qlDayCounterYearFraction(DayCounter,SettlementDate,AB10,,,Trigger)</f>
        <v>3.287671232876712E-2</v>
      </c>
      <c r="AD10" s="189">
        <f t="shared" si="0"/>
        <v>5.1290361777910141E-4</v>
      </c>
      <c r="AE10" s="189">
        <f t="shared" si="1"/>
        <v>5.084294567401711E-4</v>
      </c>
      <c r="AF10" s="161">
        <f t="shared" si="2"/>
        <v>5.0823173699809997E-4</v>
      </c>
    </row>
    <row r="11" spans="1:32" ht="12" customHeight="1" x14ac:dyDescent="0.2">
      <c r="C11" s="183" t="s">
        <v>144</v>
      </c>
      <c r="D11" s="328" t="s">
        <v>96</v>
      </c>
      <c r="S11" s="178"/>
      <c r="T11" s="207"/>
      <c r="U11" s="179"/>
      <c r="AB11" s="188">
        <f>_xll.qlCalendarAdvance(Calendar,AB10,"1d","mf",,Trigger)</f>
        <v>42137</v>
      </c>
      <c r="AC11" s="210">
        <f>_xll.qlDayCounterYearFraction(DayCounter,SettlementDate,AB11,,,Trigger)</f>
        <v>3.5616438356164383E-2</v>
      </c>
      <c r="AD11" s="189">
        <f t="shared" si="0"/>
        <v>5.1290361777910141E-4</v>
      </c>
      <c r="AE11" s="189">
        <f t="shared" si="1"/>
        <v>5.1021912115574322E-4</v>
      </c>
      <c r="AF11" s="161">
        <f t="shared" si="2"/>
        <v>5.1042863570663496E-4</v>
      </c>
    </row>
    <row r="12" spans="1:32" ht="12" customHeight="1" thickBot="1" x14ac:dyDescent="0.25">
      <c r="C12" s="183" t="s">
        <v>143</v>
      </c>
      <c r="D12" s="204" t="s">
        <v>149</v>
      </c>
      <c r="S12" s="206" t="s">
        <v>33</v>
      </c>
      <c r="T12" s="207"/>
      <c r="U12" s="179"/>
      <c r="AB12" s="188">
        <f>_xll.qlCalendarAdvance(Calendar,AB11,"1d","mf",,Trigger)</f>
        <v>42138</v>
      </c>
      <c r="AC12" s="210">
        <f>_xll.qlDayCounterYearFraction(DayCounter,SettlementDate,AB12,,,Trigger)</f>
        <v>3.8356164383561646E-2</v>
      </c>
      <c r="AD12" s="189">
        <f t="shared" si="0"/>
        <v>5.1290361777910141E-4</v>
      </c>
      <c r="AE12" s="189">
        <f t="shared" si="1"/>
        <v>5.1200878557131535E-4</v>
      </c>
      <c r="AF12" s="161">
        <f t="shared" si="2"/>
        <v>5.1260331231159427E-4</v>
      </c>
    </row>
    <row r="13" spans="1:32" ht="12" customHeight="1" thickBot="1" x14ac:dyDescent="0.25">
      <c r="J13" s="363" t="str">
        <f>"Synthetic Deposits "&amp;D9</f>
        <v>Synthetic Deposits 1M</v>
      </c>
      <c r="K13" s="364"/>
      <c r="L13" s="365"/>
      <c r="N13" s="355" t="s">
        <v>105</v>
      </c>
      <c r="Q13" s="175">
        <f t="array" ref="Q13">_xll.ohFilter(I3:I7,L3:L7)</f>
        <v>7.9452054794520555E-2</v>
      </c>
      <c r="R13" s="355" t="s">
        <v>35</v>
      </c>
      <c r="S13" s="176">
        <f>MMULT(W13,U13)</f>
        <v>5.1290361777910141E-4</v>
      </c>
      <c r="T13" s="355" t="s">
        <v>36</v>
      </c>
      <c r="U13" s="160">
        <f t="array" ref="U13">_xll.ohFilter(F3:F7,L3:L7)</f>
        <v>4.0751246344092996E-5</v>
      </c>
      <c r="W13" s="175">
        <f>MINVERSE(Q13)</f>
        <v>12.586206896551722</v>
      </c>
      <c r="AB13" s="188">
        <f>_xll.qlCalendarAdvance(Calendar,AB12,"1d","mf",,Trigger)</f>
        <v>42139</v>
      </c>
      <c r="AC13" s="210">
        <f>_xll.qlDayCounterYearFraction(DayCounter,SettlementDate,AB13,,,Trigger)</f>
        <v>4.1095890410958902E-2</v>
      </c>
      <c r="AD13" s="189">
        <f t="shared" si="0"/>
        <v>5.1290361777910141E-4</v>
      </c>
      <c r="AE13" s="189">
        <f t="shared" si="1"/>
        <v>5.1379844998688748E-4</v>
      </c>
      <c r="AF13" s="161">
        <f t="shared" si="2"/>
        <v>5.1475576681297779E-4</v>
      </c>
    </row>
    <row r="14" spans="1:32" ht="12" customHeight="1" thickBot="1" x14ac:dyDescent="0.25">
      <c r="C14" s="165" t="s">
        <v>112</v>
      </c>
      <c r="D14" s="166" t="s">
        <v>87</v>
      </c>
      <c r="E14" s="166" t="s">
        <v>88</v>
      </c>
      <c r="F14" s="180" t="s">
        <v>137</v>
      </c>
      <c r="G14" s="180" t="s">
        <v>138</v>
      </c>
      <c r="H14" s="166" t="s">
        <v>139</v>
      </c>
      <c r="I14" s="180" t="s">
        <v>140</v>
      </c>
      <c r="J14" s="369" t="s">
        <v>105</v>
      </c>
      <c r="K14" s="369" t="s">
        <v>104</v>
      </c>
      <c r="L14" s="369" t="s">
        <v>130</v>
      </c>
      <c r="AB14" s="188">
        <f>_xll.qlCalendarAdvance(Calendar,AB13,"1d","mf",,Trigger)</f>
        <v>42142</v>
      </c>
      <c r="AC14" s="210">
        <f>_xll.qlDayCounterYearFraction(DayCounter,SettlementDate,AB14,,,Trigger)</f>
        <v>4.9315068493150684E-2</v>
      </c>
      <c r="AD14" s="189">
        <f t="shared" si="0"/>
        <v>5.1290361777910141E-4</v>
      </c>
      <c r="AE14" s="189">
        <f t="shared" si="1"/>
        <v>5.1916744323360386E-4</v>
      </c>
      <c r="AF14" s="161">
        <f t="shared" si="2"/>
        <v>5.2107979769567441E-4</v>
      </c>
    </row>
    <row r="15" spans="1:32" ht="12" customHeight="1" x14ac:dyDescent="0.2">
      <c r="C15" s="200" t="s">
        <v>41</v>
      </c>
      <c r="D15" s="194">
        <f t="shared" ref="D15:D19" si="4">SettlementDate</f>
        <v>42124</v>
      </c>
      <c r="E15" s="195">
        <f>_xll.qlCalendarAdvance(Calendar,SettlementDate,C15,"Following",,Trigger)</f>
        <v>42125</v>
      </c>
      <c r="F15" s="354">
        <f>_xll.qlDayCounterYearFraction(DayCounter,D15,E15,,,Trigger)</f>
        <v>2.7397260273972603E-3</v>
      </c>
      <c r="G15" s="347">
        <f>_xll.qlYieldTSDiscount(Discounting,D15,,AllTriggers)</f>
        <v>1</v>
      </c>
      <c r="H15" s="347">
        <f>_xll.qlYieldTSDiscount(Discounting,E15,,AllTriggers)</f>
        <v>0.99998746836962482</v>
      </c>
      <c r="I15" s="361">
        <f>(G15/H15-1)/F15</f>
        <v>4.5741024078949089E-3</v>
      </c>
      <c r="J15" s="357">
        <f>((1+I15*F15)*EXP($S$13*F15)-1)/F15</f>
        <v>5.0870128136992765E-3</v>
      </c>
      <c r="K15" s="357">
        <f>((1+F15*I15)*EXP($S$10*F15+0.5*$S$9*F15^2)-1)/F15</f>
        <v>5.0619571635057703E-3</v>
      </c>
      <c r="L15" s="357">
        <f>((1+F15*I15)*EXP($S$5*F15+0.5*$S$4*F15^2+1/3*$S$3*F15^3)-1)/F15</f>
        <v>5.0554780199763005E-3</v>
      </c>
      <c r="AB15" s="188">
        <f>_xll.qlCalendarAdvance(Calendar,AB14,"1d","mf",,Trigger)</f>
        <v>42143</v>
      </c>
      <c r="AC15" s="210">
        <f>_xll.qlDayCounterYearFraction(DayCounter,SettlementDate,AB15,,,Trigger)</f>
        <v>5.2054794520547946E-2</v>
      </c>
      <c r="AD15" s="189">
        <f t="shared" si="0"/>
        <v>5.1290361777910141E-4</v>
      </c>
      <c r="AE15" s="189">
        <f t="shared" si="1"/>
        <v>5.2095710764917588E-4</v>
      </c>
      <c r="AF15" s="161">
        <f t="shared" si="2"/>
        <v>5.2314336378275522E-4</v>
      </c>
    </row>
    <row r="16" spans="1:32" ht="12" customHeight="1" x14ac:dyDescent="0.2">
      <c r="C16" s="198" t="s">
        <v>42</v>
      </c>
      <c r="D16" s="159">
        <f>SettlementDate</f>
        <v>42124</v>
      </c>
      <c r="E16" s="196">
        <f>_xll.qlCalendarAdvance(Calendar,SettlementDate,C16,"Following",,Trigger)</f>
        <v>42131</v>
      </c>
      <c r="F16" s="210">
        <f>_xll.qlDayCounterYearFraction(DayCounter,D16,E16,,,Trigger)</f>
        <v>1.9178082191780823E-2</v>
      </c>
      <c r="G16" s="348">
        <f>_xll.qlYieldTSDiscount(Discounting,D16,,AllTriggers)</f>
        <v>1</v>
      </c>
      <c r="H16" s="352">
        <f>_xll.qlYieldTSDiscount(Discounting,E16,,AllTriggers)</f>
        <v>0.99991226797200383</v>
      </c>
      <c r="I16" s="361">
        <f t="shared" ref="I16:I19" si="5">(G16/H16-1)/F16</f>
        <v>4.574999976686739E-3</v>
      </c>
      <c r="J16" s="358">
        <f t="shared" ref="J16:J19" si="6">((1+I16*F16)*EXP($S$13*F16)-1)/F16</f>
        <v>5.087951119304236E-3</v>
      </c>
      <c r="K16" s="358">
        <f t="shared" ref="K16:K19" si="7">((1+F16*I16)*EXP($S$10*F16+0.5*$S$9*F16^2)-1)/F16</f>
        <v>5.0682628935123332E-3</v>
      </c>
      <c r="L16" s="358">
        <f t="shared" ref="L16:L19" si="8">((1+F16*I16)*EXP($S$5*F16+0.5*$S$4*F16^2+1/3*$S$3*F16^3)-1)/F16</f>
        <v>5.0636606476334957E-3</v>
      </c>
      <c r="AB16" s="188">
        <f>_xll.qlCalendarAdvance(Calendar,AB15,"1d","mf",,Trigger)</f>
        <v>42144</v>
      </c>
      <c r="AC16" s="210">
        <f>_xll.qlDayCounterYearFraction(DayCounter,SettlementDate,AB16,,,Trigger)</f>
        <v>5.4794520547945202E-2</v>
      </c>
      <c r="AD16" s="189">
        <f t="shared" si="0"/>
        <v>5.1290361777910141E-4</v>
      </c>
      <c r="AE16" s="189">
        <f t="shared" si="1"/>
        <v>5.22746772064748E-4</v>
      </c>
      <c r="AF16" s="161">
        <f t="shared" si="2"/>
        <v>5.2518470776626025E-4</v>
      </c>
    </row>
    <row r="17" spans="3:32" ht="12" customHeight="1" x14ac:dyDescent="0.2">
      <c r="C17" s="198" t="s">
        <v>43</v>
      </c>
      <c r="D17" s="159">
        <f t="shared" si="4"/>
        <v>42124</v>
      </c>
      <c r="E17" s="196">
        <f>_xll.qlCalendarAdvance(Calendar,SettlementDate,C17,"Following",,Trigger)</f>
        <v>42138</v>
      </c>
      <c r="F17" s="210">
        <f>_xll.qlDayCounterYearFraction(DayCounter,D17,E17,,,Trigger)</f>
        <v>3.8356164383561646E-2</v>
      </c>
      <c r="G17" s="348">
        <f>_xll.qlYieldTSDiscount(Discounting,D17,,AllTriggers)</f>
        <v>1</v>
      </c>
      <c r="H17" s="352">
        <f>_xll.qlYieldTSDiscount(Discounting,E17,,AllTriggers)</f>
        <v>0.99982455133558079</v>
      </c>
      <c r="I17" s="361">
        <f t="shared" si="5"/>
        <v>4.5749999999991232E-3</v>
      </c>
      <c r="J17" s="358">
        <f t="shared" si="6"/>
        <v>5.0879986679183298E-3</v>
      </c>
      <c r="K17" s="358">
        <f t="shared" si="7"/>
        <v>5.0745735687834914E-3</v>
      </c>
      <c r="L17" s="358">
        <f t="shared" si="8"/>
        <v>5.0718243306472977E-3</v>
      </c>
      <c r="AB17" s="188">
        <f>_xll.qlCalendarAdvance(Calendar,AB16,"1d","mf",,Trigger)</f>
        <v>42145</v>
      </c>
      <c r="AC17" s="210">
        <f>_xll.qlDayCounterYearFraction(DayCounter,SettlementDate,AB17,,,Trigger)</f>
        <v>5.7534246575342465E-2</v>
      </c>
      <c r="AD17" s="189">
        <f t="shared" si="0"/>
        <v>5.1290361777910141E-4</v>
      </c>
      <c r="AE17" s="189">
        <f t="shared" si="1"/>
        <v>5.2453643648032013E-4</v>
      </c>
      <c r="AF17" s="161">
        <f t="shared" si="2"/>
        <v>5.2720382964618971E-4</v>
      </c>
    </row>
    <row r="18" spans="3:32" ht="12" customHeight="1" x14ac:dyDescent="0.2">
      <c r="C18" s="198" t="s">
        <v>44</v>
      </c>
      <c r="D18" s="159">
        <f t="shared" si="4"/>
        <v>42124</v>
      </c>
      <c r="E18" s="196">
        <f>_xll.qlCalendarAdvance(Calendar,SettlementDate,C18,"Following",,Trigger)</f>
        <v>42145</v>
      </c>
      <c r="F18" s="210">
        <f>_xll.qlDayCounterYearFraction(DayCounter,D18,E18,,,Trigger)</f>
        <v>5.7534246575342465E-2</v>
      </c>
      <c r="G18" s="348">
        <f>_xll.qlYieldTSDiscount(Discounting,D18,,AllTriggers)</f>
        <v>1</v>
      </c>
      <c r="H18" s="352">
        <f>_xll.qlYieldTSDiscount(Discounting,E18,,AllTriggers)</f>
        <v>0.99973713888381299</v>
      </c>
      <c r="I18" s="361">
        <f t="shared" si="5"/>
        <v>4.5699778127179192E-3</v>
      </c>
      <c r="J18" s="358">
        <f t="shared" si="6"/>
        <v>5.0830238581991852E-3</v>
      </c>
      <c r="K18" s="358">
        <f t="shared" si="7"/>
        <v>5.0758631084743674E-3</v>
      </c>
      <c r="L18" s="358">
        <f t="shared" si="8"/>
        <v>5.0746041721968132E-3</v>
      </c>
      <c r="AB18" s="188">
        <f>_xll.qlCalendarAdvance(Calendar,AB17,"1d","mf",,Trigger)</f>
        <v>42146</v>
      </c>
      <c r="AC18" s="210">
        <f>_xll.qlDayCounterYearFraction(DayCounter,SettlementDate,AB18,,,Trigger)</f>
        <v>6.0273972602739728E-2</v>
      </c>
      <c r="AD18" s="189">
        <f t="shared" si="0"/>
        <v>5.1290361777910141E-4</v>
      </c>
      <c r="AE18" s="189">
        <f t="shared" si="1"/>
        <v>5.2632610089589226E-4</v>
      </c>
      <c r="AF18" s="161">
        <f t="shared" si="2"/>
        <v>5.2920072942254327E-4</v>
      </c>
    </row>
    <row r="19" spans="3:32" ht="12" customHeight="1" thickBot="1" x14ac:dyDescent="0.25">
      <c r="C19" s="199" t="s">
        <v>38</v>
      </c>
      <c r="D19" s="163">
        <f t="shared" si="4"/>
        <v>42124</v>
      </c>
      <c r="E19" s="197">
        <f>_xll.qlCalendarAdvance(Calendar,SettlementDate,C19,"mf",TRUE,Trigger)</f>
        <v>42153</v>
      </c>
      <c r="F19" s="211">
        <f>_xll.qlDayCounterYearFraction(DayCounter,D19,E19,,,Trigger)</f>
        <v>7.9452054794520555E-2</v>
      </c>
      <c r="G19" s="349">
        <f>_xll.qlYieldTSDiscount(Discounting,D19,,AllTriggers)</f>
        <v>1</v>
      </c>
      <c r="H19" s="353">
        <f>_xll.qlYieldTSDiscount(Discounting,E19,,AllTriggers)</f>
        <v>0.99963763135863237</v>
      </c>
      <c r="I19" s="362">
        <f t="shared" si="5"/>
        <v>4.5625000000005453E-3</v>
      </c>
      <c r="J19" s="370">
        <f t="shared" si="6"/>
        <v>5.0756000000021896E-3</v>
      </c>
      <c r="K19" s="370">
        <f t="shared" si="7"/>
        <v>5.0756000000021896E-3</v>
      </c>
      <c r="L19" s="370">
        <f t="shared" si="8"/>
        <v>5.0756000000021896E-3</v>
      </c>
      <c r="AB19" s="188">
        <f>_xll.qlCalendarAdvance(Calendar,AB18,"1d","mf",,Trigger)</f>
        <v>42150</v>
      </c>
      <c r="AC19" s="210">
        <f>_xll.qlDayCounterYearFraction(DayCounter,SettlementDate,AB19,,,Trigger)</f>
        <v>7.1232876712328766E-2</v>
      </c>
      <c r="AD19" s="189">
        <f t="shared" si="0"/>
        <v>5.1290361777910141E-4</v>
      </c>
      <c r="AE19" s="189">
        <f t="shared" si="1"/>
        <v>5.3348475855818076E-4</v>
      </c>
      <c r="AF19" s="161">
        <f t="shared" si="2"/>
        <v>5.3696610749220106E-4</v>
      </c>
    </row>
    <row r="20" spans="3:32" ht="12" customHeight="1" thickBot="1" x14ac:dyDescent="0.25">
      <c r="AB20" s="188">
        <f>_xll.qlCalendarAdvance(Calendar,AB19,"1d","mf",,Trigger)</f>
        <v>42151</v>
      </c>
      <c r="AC20" s="210">
        <f>_xll.qlDayCounterYearFraction(DayCounter,SettlementDate,AB20,,,Trigger)</f>
        <v>7.3972602739726029E-2</v>
      </c>
      <c r="AD20" s="189">
        <f t="shared" si="0"/>
        <v>5.1290361777910141E-4</v>
      </c>
      <c r="AE20" s="189">
        <f t="shared" si="1"/>
        <v>5.3527442297375289E-4</v>
      </c>
      <c r="AF20" s="161">
        <f t="shared" si="2"/>
        <v>5.3885189675067634E-4</v>
      </c>
    </row>
    <row r="21" spans="3:32" ht="12" customHeight="1" x14ac:dyDescent="0.2">
      <c r="C21" s="212" t="s">
        <v>118</v>
      </c>
      <c r="AB21" s="188">
        <f>_xll.qlCalendarAdvance(Calendar,AB20,"1d","mf",,Trigger)</f>
        <v>42152</v>
      </c>
      <c r="AC21" s="210">
        <f>_xll.qlDayCounterYearFraction(DayCounter,SettlementDate,AB21,,,Trigger)</f>
        <v>7.6712328767123292E-2</v>
      </c>
      <c r="AD21" s="189">
        <f t="shared" si="0"/>
        <v>5.1290361777910141E-4</v>
      </c>
      <c r="AE21" s="189">
        <f t="shared" si="1"/>
        <v>5.3706408738932502E-4</v>
      </c>
      <c r="AF21" s="161">
        <f t="shared" si="2"/>
        <v>5.4071546390557584E-4</v>
      </c>
    </row>
    <row r="22" spans="3:32" ht="12" customHeight="1" x14ac:dyDescent="0.2">
      <c r="C22" s="215" t="s">
        <v>103</v>
      </c>
      <c r="AB22" s="188">
        <f>_xll.qlCalendarAdvance(Calendar,AB21,"1d","mf",,Trigger)</f>
        <v>42153</v>
      </c>
      <c r="AC22" s="210">
        <f>_xll.qlDayCounterYearFraction(DayCounter,SettlementDate,AB22,,,Trigger)</f>
        <v>7.9452054794520555E-2</v>
      </c>
      <c r="AD22" s="189">
        <f t="shared" si="0"/>
        <v>5.1290361777910141E-4</v>
      </c>
      <c r="AE22" s="189">
        <f t="shared" si="1"/>
        <v>5.3885375180489714E-4</v>
      </c>
      <c r="AF22" s="161">
        <f t="shared" si="2"/>
        <v>5.4255680895689965E-4</v>
      </c>
    </row>
    <row r="23" spans="3:32" ht="12" customHeight="1" x14ac:dyDescent="0.2">
      <c r="C23" s="189">
        <f>IF($C$22="FLAT",J15,IF($C$22="linear",K15,L15))</f>
        <v>5.0554780199763005E-3</v>
      </c>
      <c r="AB23" s="188">
        <f>_xll.qlCalendarAdvance(Calendar,AB22,"1d","mf",,Trigger)</f>
        <v>42156</v>
      </c>
      <c r="AC23" s="210">
        <f>_xll.qlDayCounterYearFraction(DayCounter,SettlementDate,AB23,,,Trigger)</f>
        <v>8.7671232876712329E-2</v>
      </c>
      <c r="AD23" s="189">
        <f t="shared" si="0"/>
        <v>5.1290361777910141E-4</v>
      </c>
      <c r="AE23" s="189">
        <f t="shared" si="1"/>
        <v>5.4422274505161342E-4</v>
      </c>
      <c r="AF23" s="161">
        <f t="shared" si="2"/>
        <v>5.4794751148941692E-4</v>
      </c>
    </row>
    <row r="24" spans="3:32" ht="12" customHeight="1" x14ac:dyDescent="0.2">
      <c r="C24" s="189">
        <f>IF($C$22="FLAT",J16,IF($C$22="linear",K16,L16))</f>
        <v>5.0636606476334957E-3</v>
      </c>
      <c r="AB24" s="188">
        <f>_xll.qlCalendarAdvance(Calendar,AB23,"1d","mf",,Trigger)</f>
        <v>42157</v>
      </c>
      <c r="AC24" s="210">
        <f>_xll.qlDayCounterYearFraction(DayCounter,SettlementDate,AB24,,,Trigger)</f>
        <v>9.0410958904109592E-2</v>
      </c>
      <c r="AD24" s="189">
        <f t="shared" si="0"/>
        <v>5.1290361777910141E-4</v>
      </c>
      <c r="AE24" s="189">
        <f t="shared" ref="AE24:AE26" si="9">$S$10+$S$9*AC24</f>
        <v>5.4601240946718554E-4</v>
      </c>
      <c r="AF24" s="161">
        <f t="shared" ref="AF24:AF26" si="10">($S$5+$S$4*AC24+$S$3*AC24^2)</f>
        <v>5.4969996812643791E-4</v>
      </c>
    </row>
    <row r="25" spans="3:32" ht="12" customHeight="1" x14ac:dyDescent="0.2">
      <c r="C25" s="189">
        <f>IF($C$22="FLAT",J17,IF($C$22="linear",K17,L17))</f>
        <v>5.0718243306472977E-3</v>
      </c>
      <c r="AB25" s="188">
        <f>_xll.qlCalendarAdvance(Calendar,AB24,"1d","mf",,Trigger)</f>
        <v>42158</v>
      </c>
      <c r="AC25" s="210">
        <f>_xll.qlDayCounterYearFraction(DayCounter,SettlementDate,AB25,,,Trigger)</f>
        <v>9.3150684931506855E-2</v>
      </c>
      <c r="AD25" s="189">
        <f t="shared" si="0"/>
        <v>5.1290361777910141E-4</v>
      </c>
      <c r="AE25" s="189">
        <f t="shared" si="9"/>
        <v>5.4780207388275767E-4</v>
      </c>
      <c r="AF25" s="161">
        <f t="shared" si="10"/>
        <v>5.5143020265988323E-4</v>
      </c>
    </row>
    <row r="26" spans="3:32" ht="12" customHeight="1" thickBot="1" x14ac:dyDescent="0.25">
      <c r="C26" s="189">
        <f>IF($C$22="FLAT",J18,IF($C$22="linear",K18,L18))</f>
        <v>5.0746041721968132E-3</v>
      </c>
      <c r="AB26" s="190">
        <f>_xll.qlCalendarAdvance(Calendar,AB25,"1d","mf",,Trigger)</f>
        <v>42159</v>
      </c>
      <c r="AC26" s="211">
        <f>_xll.qlDayCounterYearFraction(DayCounter,SettlementDate,AB26,,,Trigger)</f>
        <v>9.5890410958904104E-2</v>
      </c>
      <c r="AD26" s="191">
        <f t="shared" si="0"/>
        <v>5.1290361777910141E-4</v>
      </c>
      <c r="AE26" s="191">
        <f t="shared" si="9"/>
        <v>5.495917382983298E-4</v>
      </c>
      <c r="AF26" s="164">
        <f t="shared" si="10"/>
        <v>5.5313821508975287E-4</v>
      </c>
    </row>
    <row r="27" spans="3:32" ht="12" customHeight="1" x14ac:dyDescent="0.2">
      <c r="C27" s="216">
        <f>IF($C$22="FLAT",J19,IF($C$22="linear",K19,L19))</f>
        <v>5.0756000000021896E-3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170"/>
      <c r="J39" s="170"/>
    </row>
    <row r="43" spans="9:13" ht="11.25" customHeight="1" x14ac:dyDescent="0.2"/>
    <row r="44" spans="9:13" x14ac:dyDescent="0.2">
      <c r="M44" s="214"/>
    </row>
    <row r="45" spans="9:13" x14ac:dyDescent="0.2">
      <c r="M45" s="214"/>
    </row>
    <row r="46" spans="9:13" x14ac:dyDescent="0.2">
      <c r="M46" s="214"/>
    </row>
    <row r="47" spans="9:13" x14ac:dyDescent="0.2">
      <c r="M47" s="214"/>
    </row>
    <row r="48" spans="9:13" x14ac:dyDescent="0.2">
      <c r="M48" s="214"/>
    </row>
    <row r="58" spans="9:10" x14ac:dyDescent="0.2">
      <c r="I58" s="170"/>
    </row>
    <row r="59" spans="9:10" x14ac:dyDescent="0.2">
      <c r="I59" s="170"/>
    </row>
    <row r="60" spans="9:10" x14ac:dyDescent="0.2">
      <c r="I60" s="170"/>
    </row>
    <row r="61" spans="9:10" x14ac:dyDescent="0.2">
      <c r="I61" s="170"/>
    </row>
    <row r="62" spans="9:10" x14ac:dyDescent="0.2">
      <c r="I62" s="170"/>
    </row>
    <row r="63" spans="9:10" x14ac:dyDescent="0.2">
      <c r="I63" s="170"/>
    </row>
    <row r="64" spans="9:10" x14ac:dyDescent="0.2">
      <c r="I64" s="170"/>
      <c r="J64" s="170"/>
    </row>
    <row r="65" spans="9:10" x14ac:dyDescent="0.2">
      <c r="I65" s="170"/>
      <c r="J65" s="170"/>
    </row>
    <row r="66" spans="9:10" x14ac:dyDescent="0.2">
      <c r="I66" s="170"/>
      <c r="J66" s="170"/>
    </row>
    <row r="67" spans="9:10" x14ac:dyDescent="0.2">
      <c r="I67" s="170"/>
      <c r="J67" s="170"/>
    </row>
    <row r="68" spans="9:10" x14ac:dyDescent="0.2">
      <c r="I68" s="170"/>
      <c r="J68" s="170"/>
    </row>
    <row r="69" spans="9:10" x14ac:dyDescent="0.2">
      <c r="I69" s="170"/>
      <c r="J69" s="170"/>
    </row>
    <row r="70" spans="9:10" x14ac:dyDescent="0.2">
      <c r="I70" s="170"/>
      <c r="J70" s="170"/>
    </row>
    <row r="71" spans="9:10" x14ac:dyDescent="0.2">
      <c r="I71" s="170"/>
      <c r="J71" s="170"/>
    </row>
    <row r="72" spans="9:10" x14ac:dyDescent="0.2">
      <c r="I72" s="170"/>
      <c r="J72" s="170"/>
    </row>
    <row r="73" spans="9:10" x14ac:dyDescent="0.2">
      <c r="I73" s="170"/>
      <c r="J73" s="170"/>
    </row>
    <row r="74" spans="9:10" x14ac:dyDescent="0.2">
      <c r="I74" s="170"/>
      <c r="J74" s="170"/>
    </row>
    <row r="75" spans="9:10" x14ac:dyDescent="0.2">
      <c r="I75" s="170"/>
      <c r="J75" s="170"/>
    </row>
    <row r="76" spans="9:10" x14ac:dyDescent="0.2">
      <c r="I76" s="170"/>
      <c r="J76" s="170"/>
    </row>
    <row r="77" spans="9:10" x14ac:dyDescent="0.2">
      <c r="I77" s="170"/>
      <c r="J77" s="170"/>
    </row>
    <row r="78" spans="9:10" x14ac:dyDescent="0.2">
      <c r="I78" s="170"/>
      <c r="J78" s="170"/>
    </row>
    <row r="79" spans="9:10" x14ac:dyDescent="0.2">
      <c r="I79" s="170"/>
      <c r="J79" s="170"/>
    </row>
    <row r="80" spans="9:10" x14ac:dyDescent="0.2">
      <c r="I80" s="170"/>
      <c r="J80" s="170"/>
    </row>
    <row r="81" spans="9:10" x14ac:dyDescent="0.2">
      <c r="I81" s="170"/>
      <c r="J81" s="170"/>
    </row>
    <row r="82" spans="9:10" x14ac:dyDescent="0.2">
      <c r="I82" s="170"/>
      <c r="J82" s="170"/>
    </row>
    <row r="83" spans="9:10" x14ac:dyDescent="0.2">
      <c r="I83" s="170"/>
      <c r="J83" s="170"/>
    </row>
    <row r="84" spans="9:10" x14ac:dyDescent="0.2">
      <c r="I84" s="170"/>
      <c r="J84" s="170"/>
    </row>
    <row r="85" spans="9:10" x14ac:dyDescent="0.2">
      <c r="I85" s="170"/>
      <c r="J85" s="170"/>
    </row>
    <row r="86" spans="9:10" x14ac:dyDescent="0.2">
      <c r="I86" s="170"/>
      <c r="J86" s="170"/>
    </row>
    <row r="87" spans="9:10" x14ac:dyDescent="0.2">
      <c r="I87" s="170"/>
      <c r="J87" s="170"/>
    </row>
    <row r="88" spans="9:10" x14ac:dyDescent="0.2">
      <c r="I88" s="170"/>
      <c r="J88" s="170"/>
    </row>
    <row r="89" spans="9:10" x14ac:dyDescent="0.2">
      <c r="I89" s="170"/>
      <c r="J89" s="170"/>
    </row>
    <row r="90" spans="9:10" x14ac:dyDescent="0.2">
      <c r="I90" s="170"/>
      <c r="J90" s="170"/>
    </row>
    <row r="91" spans="9:10" x14ac:dyDescent="0.2">
      <c r="I91" s="170"/>
      <c r="J91" s="170"/>
    </row>
    <row r="92" spans="9:10" x14ac:dyDescent="0.2">
      <c r="I92" s="170"/>
      <c r="J92" s="170"/>
    </row>
    <row r="93" spans="9:10" x14ac:dyDescent="0.2">
      <c r="I93" s="170"/>
      <c r="J93" s="170"/>
    </row>
    <row r="94" spans="9:10" x14ac:dyDescent="0.2">
      <c r="I94" s="170"/>
      <c r="J94" s="170"/>
    </row>
    <row r="95" spans="9:10" x14ac:dyDescent="0.2">
      <c r="I95" s="170"/>
      <c r="J95" s="170"/>
    </row>
    <row r="96" spans="9:10" x14ac:dyDescent="0.2">
      <c r="I96" s="170"/>
      <c r="J96" s="170"/>
    </row>
    <row r="97" spans="9:10" x14ac:dyDescent="0.2">
      <c r="I97" s="170"/>
      <c r="J97" s="170"/>
    </row>
    <row r="98" spans="9:10" x14ac:dyDescent="0.2">
      <c r="I98" s="170"/>
      <c r="J98" s="170"/>
    </row>
    <row r="99" spans="9:10" x14ac:dyDescent="0.2">
      <c r="I99" s="170"/>
      <c r="J99" s="170"/>
    </row>
    <row r="100" spans="9:10" x14ac:dyDescent="0.2">
      <c r="I100" s="170"/>
      <c r="J100" s="170"/>
    </row>
    <row r="101" spans="9:10" x14ac:dyDescent="0.2">
      <c r="I101" s="170"/>
      <c r="J101" s="170"/>
    </row>
    <row r="102" spans="9:10" x14ac:dyDescent="0.2">
      <c r="I102" s="170"/>
      <c r="J102" s="170"/>
    </row>
    <row r="103" spans="9:10" x14ac:dyDescent="0.2">
      <c r="I103" s="170"/>
      <c r="J103" s="170"/>
    </row>
    <row r="104" spans="9:10" x14ac:dyDescent="0.2">
      <c r="I104" s="170"/>
      <c r="J104" s="170"/>
    </row>
    <row r="105" spans="9:10" x14ac:dyDescent="0.2">
      <c r="I105" s="170"/>
      <c r="J105" s="170"/>
    </row>
    <row r="106" spans="9:10" x14ac:dyDescent="0.2">
      <c r="I106" s="170"/>
      <c r="J106" s="170"/>
    </row>
    <row r="107" spans="9:10" x14ac:dyDescent="0.2">
      <c r="I107" s="170"/>
      <c r="J107" s="170"/>
    </row>
    <row r="108" spans="9:10" x14ac:dyDescent="0.2">
      <c r="I108" s="170"/>
      <c r="J108" s="170"/>
    </row>
    <row r="109" spans="9:10" x14ac:dyDescent="0.2">
      <c r="I109" s="170"/>
      <c r="J109" s="170"/>
    </row>
    <row r="110" spans="9:10" x14ac:dyDescent="0.2">
      <c r="I110" s="170"/>
      <c r="J110" s="170"/>
    </row>
    <row r="111" spans="9:10" x14ac:dyDescent="0.2">
      <c r="I111" s="157"/>
      <c r="J111" s="170"/>
    </row>
    <row r="112" spans="9:10" x14ac:dyDescent="0.2">
      <c r="I112" s="157"/>
      <c r="J112" s="170"/>
    </row>
    <row r="113" spans="9:10" x14ac:dyDescent="0.2">
      <c r="I113" s="157"/>
      <c r="J113" s="170"/>
    </row>
    <row r="114" spans="9:10" x14ac:dyDescent="0.2">
      <c r="I114" s="157"/>
      <c r="J114" s="170"/>
    </row>
    <row r="115" spans="9:10" x14ac:dyDescent="0.2">
      <c r="I115" s="157"/>
      <c r="J115" s="170"/>
    </row>
    <row r="116" spans="9:10" x14ac:dyDescent="0.2">
      <c r="I116" s="157"/>
      <c r="J116" s="170"/>
    </row>
    <row r="117" spans="9:10" x14ac:dyDescent="0.2">
      <c r="I117" s="157"/>
      <c r="J117" s="157"/>
    </row>
    <row r="118" spans="9:10" x14ac:dyDescent="0.2">
      <c r="I118" s="157"/>
      <c r="J118" s="157"/>
    </row>
    <row r="119" spans="9:10" x14ac:dyDescent="0.2">
      <c r="I119" s="157"/>
      <c r="J119" s="157"/>
    </row>
    <row r="120" spans="9:10" x14ac:dyDescent="0.2">
      <c r="I120" s="157"/>
      <c r="J120" s="157"/>
    </row>
    <row r="121" spans="9:10" x14ac:dyDescent="0.2">
      <c r="I121" s="157"/>
      <c r="J121" s="157"/>
    </row>
    <row r="122" spans="9:10" x14ac:dyDescent="0.2">
      <c r="I122" s="157"/>
      <c r="J122" s="157"/>
    </row>
    <row r="123" spans="9:10" x14ac:dyDescent="0.2">
      <c r="I123" s="157"/>
      <c r="J123" s="157"/>
    </row>
    <row r="124" spans="9:10" x14ac:dyDescent="0.2">
      <c r="I124" s="157"/>
      <c r="J124" s="157"/>
    </row>
    <row r="125" spans="9:10" x14ac:dyDescent="0.2">
      <c r="I125" s="157"/>
      <c r="J125" s="157"/>
    </row>
    <row r="126" spans="9:10" x14ac:dyDescent="0.2">
      <c r="I126" s="157"/>
      <c r="J126" s="157"/>
    </row>
    <row r="127" spans="9:10" x14ac:dyDescent="0.2">
      <c r="J127" s="157"/>
    </row>
    <row r="128" spans="9:10" x14ac:dyDescent="0.2">
      <c r="J128" s="157"/>
    </row>
    <row r="129" spans="10:10" x14ac:dyDescent="0.2">
      <c r="J129" s="157"/>
    </row>
    <row r="130" spans="10:10" x14ac:dyDescent="0.2">
      <c r="J130" s="157"/>
    </row>
    <row r="131" spans="10:10" x14ac:dyDescent="0.2">
      <c r="J131" s="157"/>
    </row>
    <row r="132" spans="10:10" x14ac:dyDescent="0.2">
      <c r="J132" s="157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4"/>
  <sheetViews>
    <sheetView workbookViewId="0"/>
  </sheetViews>
  <sheetFormatPr defaultColWidth="9.5" defaultRowHeight="11.25" outlineLevelCol="1" x14ac:dyDescent="0.2"/>
  <cols>
    <col min="1" max="2" width="3.5" style="156" customWidth="1"/>
    <col min="3" max="5" width="22.83203125" style="156" customWidth="1"/>
    <col min="6" max="7" width="14.1640625" style="156" hidden="1" customWidth="1" outlineLevel="1"/>
    <col min="8" max="8" width="8.1640625" style="156" hidden="1" customWidth="1" outlineLevel="1"/>
    <col min="9" max="9" width="10.5" style="156" hidden="1" customWidth="1" outlineLevel="1"/>
    <col min="10" max="10" width="10.5" style="156" bestFit="1" customWidth="1" collapsed="1"/>
    <col min="11" max="12" width="14.1640625" style="156" bestFit="1" customWidth="1"/>
    <col min="13" max="13" width="10.5" style="156" bestFit="1" customWidth="1"/>
    <col min="14" max="15" width="9.33203125" style="156" bestFit="1" customWidth="1"/>
    <col min="16" max="16" width="10.5" style="156" bestFit="1" customWidth="1"/>
    <col min="17" max="17" width="10.83203125" style="156" customWidth="1"/>
    <col min="18" max="18" width="13.1640625" style="156" customWidth="1"/>
    <col min="19" max="21" width="6.83203125" style="156" customWidth="1"/>
    <col min="22" max="22" width="2.33203125" style="156" bestFit="1" customWidth="1"/>
    <col min="23" max="23" width="10.83203125" style="156" customWidth="1"/>
    <col min="24" max="24" width="2.33203125" style="156" bestFit="1" customWidth="1"/>
    <col min="25" max="25" width="10.83203125" style="156" customWidth="1"/>
    <col min="26" max="26" width="12.5" style="156" bestFit="1" customWidth="1"/>
    <col min="27" max="29" width="9.33203125" style="156" bestFit="1" customWidth="1"/>
    <col min="30" max="31" width="9.5" style="156"/>
    <col min="32" max="32" width="20.33203125" style="156" bestFit="1" customWidth="1"/>
    <col min="33" max="33" width="8.1640625" style="156" bestFit="1" customWidth="1"/>
    <col min="34" max="35" width="9.5" style="156" bestFit="1" customWidth="1"/>
    <col min="36" max="36" width="12.1640625" style="156" customWidth="1"/>
    <col min="37" max="16384" width="9.5" style="156"/>
  </cols>
  <sheetData>
    <row r="1" spans="1:36" ht="12" thickBot="1" x14ac:dyDescent="0.25"/>
    <row r="2" spans="1:36" ht="19.5" customHeight="1" x14ac:dyDescent="0.2">
      <c r="C2" s="165" t="s">
        <v>102</v>
      </c>
      <c r="D2" s="166" t="s">
        <v>87</v>
      </c>
      <c r="E2" s="166" t="s">
        <v>88</v>
      </c>
      <c r="F2" s="166" t="s">
        <v>138</v>
      </c>
      <c r="G2" s="166" t="s">
        <v>139</v>
      </c>
      <c r="H2" s="166" t="s">
        <v>137</v>
      </c>
      <c r="I2" s="166" t="s">
        <v>140</v>
      </c>
      <c r="J2" s="166" t="s">
        <v>141</v>
      </c>
      <c r="K2" s="166" t="s">
        <v>145</v>
      </c>
      <c r="L2" s="166" t="s">
        <v>146</v>
      </c>
      <c r="M2" s="166" t="s">
        <v>109</v>
      </c>
      <c r="N2" s="180" t="s">
        <v>110</v>
      </c>
      <c r="O2" s="166" t="s">
        <v>111</v>
      </c>
      <c r="P2" s="167" t="s">
        <v>117</v>
      </c>
      <c r="W2" s="206" t="s">
        <v>107</v>
      </c>
      <c r="AA2" s="494" t="s">
        <v>106</v>
      </c>
      <c r="AB2" s="494"/>
      <c r="AC2" s="494"/>
      <c r="AF2" s="165" t="s">
        <v>87</v>
      </c>
      <c r="AG2" s="165" t="s">
        <v>137</v>
      </c>
      <c r="AH2" s="166" t="s">
        <v>37</v>
      </c>
      <c r="AI2" s="166" t="s">
        <v>100</v>
      </c>
      <c r="AJ2" s="167" t="s">
        <v>101</v>
      </c>
    </row>
    <row r="3" spans="1:36" ht="12" customHeight="1" x14ac:dyDescent="0.2">
      <c r="C3" s="329" t="str">
        <f>$D$10&amp;"LastFixing"&amp;QuoteSuffix</f>
        <v>GbpLibor3MLastFixing_Quote</v>
      </c>
      <c r="D3" s="330">
        <f>_xll.qlCalendarAdvance(Calendar,_xll.qlLastFixingQuoteReferenceDate($C$3),_xll.qlInterestRateIndexFixingDays($D$10)&amp;"D","f",,LastFixingsTrigger)</f>
        <v>42123</v>
      </c>
      <c r="E3" s="330">
        <f>_xll.qlInterestRateIndexMaturity($D$10,D3)</f>
        <v>42214</v>
      </c>
      <c r="F3" s="457" t="e">
        <f>_xll.qlYieldTSDiscount(Discounting,D3,,AllTriggers)</f>
        <v>#NUM!</v>
      </c>
      <c r="G3" s="457">
        <f>_xll.qlYieldTSDiscount(Discounting,E3,,AllTriggers)</f>
        <v>0.99888538040217978</v>
      </c>
      <c r="H3" s="460">
        <f>_xll.qlDayCounterYearFraction(DayCounter,D3,E3,,,Trigger)</f>
        <v>0.24931506849315069</v>
      </c>
      <c r="I3" s="463" t="e">
        <f>(F3/G3-1)/H3</f>
        <v>#NUM!</v>
      </c>
      <c r="J3" s="424">
        <f>'Delta 3M'!Q4</f>
        <v>2.8786273474334972E-4</v>
      </c>
      <c r="K3" s="350">
        <f>_xll.qlDayCounterYearFraction(DayCounter,SettlementDate,D3,,,Trigger)</f>
        <v>-2.7397260273972603E-3</v>
      </c>
      <c r="L3" s="350">
        <f>_xll.qlDayCounterYearFraction(DayCounter,SettlementDate,E3,,,Trigger)</f>
        <v>0.24657534246575341</v>
      </c>
      <c r="M3" s="350">
        <f>L3-K3</f>
        <v>0.24931506849315066</v>
      </c>
      <c r="N3" s="350">
        <f>(L3^2-K3^2)/2</f>
        <v>3.0395946706699189E-2</v>
      </c>
      <c r="O3" s="350">
        <f>(L3^3-K3^3)/3</f>
        <v>4.9972177736876964E-3</v>
      </c>
      <c r="P3" s="331" t="b">
        <f>IF(D12="fixing",TRUE,FALSE)</f>
        <v>0</v>
      </c>
      <c r="R3" s="495" t="s">
        <v>103</v>
      </c>
      <c r="S3" s="172">
        <f t="array" ref="S3:S5">_xll.ohFilter(O3:O7,P3:P7)</f>
        <v>5.3378164279024665E-3</v>
      </c>
      <c r="T3" s="173">
        <f t="array" ref="T3:T5">_xll.ohFilter(N3:N7,P3:P7)</f>
        <v>3.1765809720397831E-2</v>
      </c>
      <c r="U3" s="174">
        <f t="array" ref="U3:U5">_xll.ohFilter(M3:M7,P3:P7)</f>
        <v>0.25205479452054796</v>
      </c>
      <c r="V3" s="168"/>
      <c r="W3" s="176">
        <f t="array" ref="W3:W5">MMULT(AA3:AC5,Y3:Y5)</f>
        <v>-4.7882293139559634E-3</v>
      </c>
      <c r="X3" s="177"/>
      <c r="Y3" s="160">
        <f t="array" ref="Y3:Y5">_xll.ohFilter(J3:J7,P3:P7)</f>
        <v>2.9102201365671372E-4</v>
      </c>
      <c r="AA3" s="172">
        <f t="array" ref="AA3:AC5">MINVERSE(S3:U5)</f>
        <v>270.7764889967919</v>
      </c>
      <c r="AB3" s="173">
        <v>-569.56433892428652</v>
      </c>
      <c r="AC3" s="174">
        <v>298.78784992749468</v>
      </c>
      <c r="AF3" s="185">
        <f>SettlementDate</f>
        <v>42124</v>
      </c>
      <c r="AG3" s="210">
        <f>_xll.qlDayCounterYearFraction(DayCounter,SettlementDate,AF3,,,Trigger)</f>
        <v>0</v>
      </c>
      <c r="AH3" s="186">
        <f t="shared" ref="AH3:AH65" si="0">$W$13</f>
        <v>1.1545982063554403E-3</v>
      </c>
      <c r="AI3" s="186">
        <f t="shared" ref="AI3:AI65" si="1">$W$10+$W$9*AG3</f>
        <v>8.6945262684757184E-4</v>
      </c>
      <c r="AJ3" s="187">
        <f t="shared" ref="AJ3:AJ34" si="2">($W$5+$W$4*AG3+$W$3*AG3^2)</f>
        <v>7.6584692945070839E-4</v>
      </c>
    </row>
    <row r="4" spans="1:36" ht="12" customHeight="1" x14ac:dyDescent="0.2">
      <c r="A4" s="156">
        <v>0</v>
      </c>
      <c r="B4" s="405">
        <f>A4+SUBSTITUTE($D$9,"M","")</f>
        <v>3</v>
      </c>
      <c r="C4" s="158" t="str">
        <f>"Delta("&amp;A4&amp;"M,"&amp;B4&amp;"M)extrap"</f>
        <v>Delta(0M,3M)extrap</v>
      </c>
      <c r="D4" s="159">
        <f>SettlementDate</f>
        <v>42124</v>
      </c>
      <c r="E4" s="159">
        <f>_xll.qlInterestRateIndexMaturity($D$10,D4)</f>
        <v>42216</v>
      </c>
      <c r="F4" s="458">
        <f>_xll.qlYieldTSDiscount(Discounting,D4,,AllTriggers)</f>
        <v>1</v>
      </c>
      <c r="G4" s="458">
        <f>_xll.qlYieldTSDiscount(Discounting,E4,,AllTriggers)</f>
        <v>0.99886075142329978</v>
      </c>
      <c r="H4" s="461">
        <f>_xll.qlDayCounterYearFraction(DayCounter,D4,E4,,,Trigger)</f>
        <v>0.25205479452054796</v>
      </c>
      <c r="I4" s="160">
        <f t="shared" ref="I4:I7" si="3">(F4/G4-1)/H4</f>
        <v>4.5249999964968781E-3</v>
      </c>
      <c r="J4" s="425">
        <f>LN((1+(_xll.qlInterpolationInterpolate(B3Minterpolation,D4,TRUE,AllTriggers)+I4)*H4)/(1+I4*H4))</f>
        <v>2.9102201365671372E-4</v>
      </c>
      <c r="K4" s="210">
        <f>_xll.qlDayCounterYearFraction(DayCounter,SettlementDate,D4,,,Trigger)</f>
        <v>0</v>
      </c>
      <c r="L4" s="210">
        <f>_xll.qlDayCounterYearFraction(DayCounter,SettlementDate,E4,,,Trigger)</f>
        <v>0.25205479452054796</v>
      </c>
      <c r="M4" s="210">
        <f>L4-K4</f>
        <v>0.25205479452054796</v>
      </c>
      <c r="N4" s="210">
        <f>(L4^2-K4^2)/2</f>
        <v>3.1765809720397831E-2</v>
      </c>
      <c r="O4" s="210">
        <f>(L4^3-K4^3)/3</f>
        <v>5.3378164279024665E-3</v>
      </c>
      <c r="P4" s="192" t="b">
        <f>IF(D12="fixing",FALSE,TRUE)</f>
        <v>1</v>
      </c>
      <c r="R4" s="495"/>
      <c r="S4" s="172">
        <v>1.2845066753723699E-2</v>
      </c>
      <c r="T4" s="173">
        <v>5.386376430850065E-2</v>
      </c>
      <c r="U4" s="174">
        <v>0.25205479452054791</v>
      </c>
      <c r="V4" s="169" t="s">
        <v>35</v>
      </c>
      <c r="W4" s="176">
        <v>3.8892543083228481E-3</v>
      </c>
      <c r="X4" s="169" t="s">
        <v>36</v>
      </c>
      <c r="Y4" s="160">
        <v>3.410201426663125E-4</v>
      </c>
      <c r="AA4" s="172">
        <v>-137.24287798467543</v>
      </c>
      <c r="AB4" s="173">
        <v>238.74888727511194</v>
      </c>
      <c r="AC4" s="174">
        <v>-101.5060092904365</v>
      </c>
      <c r="AF4" s="188">
        <f>_xll.qlCalendarAdvance(Calendar,AF3,"1d","mf",,Trigger)</f>
        <v>42125</v>
      </c>
      <c r="AG4" s="210">
        <f>_xll.qlDayCounterYearFraction(DayCounter,SettlementDate,AF4,,,Trigger)</f>
        <v>2.7397260273972603E-3</v>
      </c>
      <c r="AH4" s="189">
        <f t="shared" si="0"/>
        <v>1.1545982063554403E-3</v>
      </c>
      <c r="AI4" s="189">
        <f t="shared" si="1"/>
        <v>8.7565144379339512E-4</v>
      </c>
      <c r="AJ4" s="161">
        <f t="shared" si="2"/>
        <v>7.7646647978453379E-4</v>
      </c>
    </row>
    <row r="5" spans="1:36" ht="12" customHeight="1" x14ac:dyDescent="0.2">
      <c r="A5" s="171">
        <v>1</v>
      </c>
      <c r="B5" s="405">
        <f t="shared" ref="B5:B7" si="4">A5+SUBSTITUTE($D$9,"M","")</f>
        <v>4</v>
      </c>
      <c r="C5" s="158" t="str">
        <f>"Delta("&amp;A5&amp;"M,"&amp;B5&amp;"M)"</f>
        <v>Delta(1M,4M)</v>
      </c>
      <c r="D5" s="159">
        <f>_xll.qlCalendarAdvance(Calendar,SettlementDate,A5&amp;"M","f")</f>
        <v>42156</v>
      </c>
      <c r="E5" s="159">
        <f>_xll.qlInterestRateIndexMaturity($D$10,D5)</f>
        <v>42248</v>
      </c>
      <c r="F5" s="458">
        <f>_xll.qlYieldTSDiscount(Discounting,D5,,AllTriggers)</f>
        <v>0.99960040395345373</v>
      </c>
      <c r="G5" s="458">
        <f>_xll.qlYieldTSDiscount(Discounting,E5,,AllTriggers)</f>
        <v>0.99846473016435033</v>
      </c>
      <c r="H5" s="461">
        <f>_xll.qlDayCounterYearFraction(DayCounter,D5,E5,,,Trigger)</f>
        <v>0.25205479452054796</v>
      </c>
      <c r="I5" s="160">
        <f t="shared" si="3"/>
        <v>4.5125903593238237E-3</v>
      </c>
      <c r="J5" s="425">
        <f>LN((1+(_xll.qlInterpolationInterpolate(B3Minterpolation,D5,TRUE,AllTriggers)+I5)*H5)/(1+I5*H5))</f>
        <v>3.410201426663125E-4</v>
      </c>
      <c r="K5" s="210">
        <f>_xll.qlDayCounterYearFraction(DayCounter,SettlementDate,D5,,,Trigger)</f>
        <v>8.7671232876712329E-2</v>
      </c>
      <c r="L5" s="210">
        <f>_xll.qlDayCounterYearFraction(DayCounter,SettlementDate,E5,,,Trigger)</f>
        <v>0.33972602739726027</v>
      </c>
      <c r="M5" s="210">
        <f>L5-K5</f>
        <v>0.25205479452054791</v>
      </c>
      <c r="N5" s="210">
        <f>(L5^2-K5^2)/2</f>
        <v>5.386376430850065E-2</v>
      </c>
      <c r="O5" s="210">
        <f>(L5^3-K5^3)/3</f>
        <v>1.2845066753723699E-2</v>
      </c>
      <c r="P5" s="192" t="b">
        <v>1</v>
      </c>
      <c r="R5" s="495"/>
      <c r="S5" s="172">
        <v>2.2995368668550047E-2</v>
      </c>
      <c r="T5" s="173">
        <v>7.3890035653968844E-2</v>
      </c>
      <c r="U5" s="174">
        <v>0.25205479452054791</v>
      </c>
      <c r="V5" s="171"/>
      <c r="W5" s="176">
        <v>7.6584692945070839E-4</v>
      </c>
      <c r="X5" s="169"/>
      <c r="Y5" s="160">
        <v>3.7030543160224204E-4</v>
      </c>
      <c r="AA5" s="172">
        <v>15.529464391779502</v>
      </c>
      <c r="AB5" s="173">
        <v>-18.027119252873529</v>
      </c>
      <c r="AC5" s="174">
        <v>6.4650461654418514</v>
      </c>
      <c r="AF5" s="188">
        <f>_xll.qlCalendarAdvance(Calendar,AF4,"1d","mf",,Trigger)</f>
        <v>42129</v>
      </c>
      <c r="AG5" s="210">
        <f>_xll.qlDayCounterYearFraction(DayCounter,SettlementDate,AF5,,,Trigger)</f>
        <v>1.3698630136986301E-2</v>
      </c>
      <c r="AH5" s="189">
        <f t="shared" si="0"/>
        <v>1.1545982063554403E-3</v>
      </c>
      <c r="AI5" s="189">
        <f t="shared" si="1"/>
        <v>9.0044671157668793E-4</v>
      </c>
      <c r="AJ5" s="161">
        <f t="shared" si="2"/>
        <v>8.1822586268276171E-4</v>
      </c>
    </row>
    <row r="6" spans="1:36" ht="12" customHeight="1" x14ac:dyDescent="0.2">
      <c r="A6" s="171">
        <v>2</v>
      </c>
      <c r="B6" s="405">
        <f t="shared" si="4"/>
        <v>5</v>
      </c>
      <c r="C6" s="158" t="str">
        <f>"Delta("&amp;A6&amp;"M,"&amp;B6&amp;"M)"</f>
        <v>Delta(2M,5M)</v>
      </c>
      <c r="D6" s="159">
        <f>_xll.qlCalendarAdvance(Calendar,SettlementDate,A6&amp;"M","f")</f>
        <v>42185</v>
      </c>
      <c r="E6" s="159">
        <f>_xll.qlInterestRateIndexMaturity($D$10,D6)</f>
        <v>42277</v>
      </c>
      <c r="F6" s="458">
        <f>_xll.qlYieldTSDiscount(Discounting,D6,,AllTriggers)</f>
        <v>0.9992422526985788</v>
      </c>
      <c r="G6" s="458">
        <f>_xll.qlYieldTSDiscount(Discounting,E6,,AllTriggers)</f>
        <v>0.99810159026638001</v>
      </c>
      <c r="H6" s="461">
        <f>_xll.qlDayCounterYearFraction(DayCounter,D6,E6,,,Trigger)</f>
        <v>0.25205479452054796</v>
      </c>
      <c r="I6" s="160">
        <f t="shared" si="3"/>
        <v>4.5340617216067499E-3</v>
      </c>
      <c r="J6" s="425">
        <f>LN((1+(_xll.qlInterpolationInterpolate(B3Minterpolation,D6,TRUE,AllTriggers)+I6)*H6)/(1+I6*H6))</f>
        <v>3.7030543160224204E-4</v>
      </c>
      <c r="K6" s="210">
        <f>_xll.qlDayCounterYearFraction(DayCounter,SettlementDate,D6,,,Trigger)</f>
        <v>0.16712328767123288</v>
      </c>
      <c r="L6" s="210">
        <f>_xll.qlDayCounterYearFraction(DayCounter,SettlementDate,E6,,,Trigger)</f>
        <v>0.41917808219178082</v>
      </c>
      <c r="M6" s="210">
        <f>L6-K6</f>
        <v>0.25205479452054791</v>
      </c>
      <c r="N6" s="210">
        <f>(L6^2-K6^2)/2</f>
        <v>7.3890035653968844E-2</v>
      </c>
      <c r="O6" s="210">
        <f>(L6^3-K6^3)/3</f>
        <v>2.2995368668550047E-2</v>
      </c>
      <c r="P6" s="192" t="b">
        <v>1</v>
      </c>
      <c r="W6" s="178"/>
      <c r="X6" s="207"/>
      <c r="Y6" s="179"/>
      <c r="AF6" s="188">
        <f>_xll.qlCalendarAdvance(Calendar,AF5,"1d","mf",,Trigger)</f>
        <v>42130</v>
      </c>
      <c r="AG6" s="210">
        <f>_xll.qlDayCounterYearFraction(DayCounter,SettlementDate,AF6,,,Trigger)</f>
        <v>1.643835616438356E-2</v>
      </c>
      <c r="AH6" s="189">
        <f t="shared" si="0"/>
        <v>1.1545982063554403E-3</v>
      </c>
      <c r="AI6" s="189">
        <f t="shared" si="1"/>
        <v>9.0664552852251121E-4</v>
      </c>
      <c r="AJ6" s="161">
        <f t="shared" si="2"/>
        <v>8.2848600379805033E-4</v>
      </c>
    </row>
    <row r="7" spans="1:36" ht="12" customHeight="1" thickBot="1" x14ac:dyDescent="0.25">
      <c r="A7" s="171">
        <v>3</v>
      </c>
      <c r="B7" s="405">
        <f t="shared" si="4"/>
        <v>6</v>
      </c>
      <c r="C7" s="162" t="str">
        <f>"Delta("&amp;A7&amp;"M,"&amp;B7&amp;"M)"</f>
        <v>Delta(3M,6M)</v>
      </c>
      <c r="D7" s="163">
        <f>_xll.qlCalendarAdvance(Calendar,SettlementDate,A7&amp;"M","f")</f>
        <v>42215</v>
      </c>
      <c r="E7" s="163">
        <f>_xll.qlInterestRateIndexMaturity($D$10,D7)</f>
        <v>42307</v>
      </c>
      <c r="F7" s="459">
        <f>_xll.qlYieldTSDiscount(Discounting,D7,,AllTriggers)</f>
        <v>0.99887306669886999</v>
      </c>
      <c r="G7" s="459">
        <f>_xll.qlYieldTSDiscount(Discounting,E7,,AllTriggers)</f>
        <v>0.99771772071387299</v>
      </c>
      <c r="H7" s="462">
        <f>_xll.qlDayCounterYearFraction(DayCounter,D7,E7,,,Trigger)</f>
        <v>0.25205479452054796</v>
      </c>
      <c r="I7" s="464">
        <f t="shared" si="3"/>
        <v>4.5941948501332496E-3</v>
      </c>
      <c r="J7" s="426">
        <f>LN((1+(_xll.qlInterpolationInterpolate(B3Minterpolation,D7,TRUE,AllTriggers)+I7)*H7)/(1+I7*H7))</f>
        <v>3.8438457313848772E-4</v>
      </c>
      <c r="K7" s="211">
        <f>_xll.qlDayCounterYearFraction(DayCounter,SettlementDate,D7,,,Trigger)</f>
        <v>0.24931506849315069</v>
      </c>
      <c r="L7" s="211">
        <f>_xll.qlDayCounterYearFraction(DayCounter,SettlementDate,E7,,,Trigger)</f>
        <v>0.50136986301369868</v>
      </c>
      <c r="M7" s="211">
        <f>L7-K7</f>
        <v>0.25205479452054802</v>
      </c>
      <c r="N7" s="211">
        <f>(L7^2-K7^2)/2</f>
        <v>9.4606868080315293E-2</v>
      </c>
      <c r="O7" s="211">
        <f>(L7^3-K7^3)/3</f>
        <v>3.6844429249450132E-2</v>
      </c>
      <c r="P7" s="193" t="b">
        <v>0</v>
      </c>
      <c r="W7" s="178"/>
      <c r="X7" s="207"/>
      <c r="Y7" s="179"/>
      <c r="AF7" s="188">
        <f>_xll.qlCalendarAdvance(Calendar,AF6,"1d","mf",,Trigger)</f>
        <v>42131</v>
      </c>
      <c r="AG7" s="210">
        <f>_xll.qlDayCounterYearFraction(DayCounter,SettlementDate,AF7,,,Trigger)</f>
        <v>1.9178082191780823E-2</v>
      </c>
      <c r="AH7" s="189">
        <f t="shared" si="0"/>
        <v>1.1545982063554403E-3</v>
      </c>
      <c r="AI7" s="189">
        <f t="shared" si="1"/>
        <v>9.1284434546833439E-4</v>
      </c>
      <c r="AJ7" s="161">
        <f t="shared" si="2"/>
        <v>8.3867426306963148E-4</v>
      </c>
    </row>
    <row r="8" spans="1:36" ht="12" customHeight="1" thickBot="1" x14ac:dyDescent="0.25">
      <c r="C8" s="400"/>
      <c r="D8" s="401"/>
      <c r="E8" s="401"/>
      <c r="F8" s="401"/>
      <c r="G8" s="401"/>
      <c r="H8" s="401"/>
      <c r="I8" s="401"/>
      <c r="J8" s="402"/>
      <c r="K8" s="403"/>
      <c r="L8" s="403"/>
      <c r="M8" s="403"/>
      <c r="N8" s="403"/>
      <c r="O8" s="403"/>
      <c r="P8" s="404"/>
      <c r="W8" s="208" t="s">
        <v>108</v>
      </c>
      <c r="X8" s="207"/>
      <c r="Y8" s="179"/>
      <c r="AF8" s="188">
        <f>_xll.qlCalendarAdvance(Calendar,AF7,"1d","mf",,Trigger)</f>
        <v>42132</v>
      </c>
      <c r="AG8" s="210">
        <f>_xll.qlDayCounterYearFraction(DayCounter,SettlementDate,AF8,,,Trigger)</f>
        <v>2.1917808219178082E-2</v>
      </c>
      <c r="AH8" s="189">
        <f t="shared" si="0"/>
        <v>1.1545982063554403E-3</v>
      </c>
      <c r="AI8" s="189">
        <f t="shared" si="1"/>
        <v>9.1904316241415767E-4</v>
      </c>
      <c r="AJ8" s="161">
        <f t="shared" si="2"/>
        <v>8.4879064049750549E-4</v>
      </c>
    </row>
    <row r="9" spans="1:36" ht="12" customHeight="1" x14ac:dyDescent="0.2">
      <c r="C9" s="165" t="s">
        <v>153</v>
      </c>
      <c r="D9" s="203" t="s">
        <v>39</v>
      </c>
      <c r="R9" s="494" t="s">
        <v>104</v>
      </c>
      <c r="S9" s="209"/>
      <c r="T9" s="172">
        <f t="array" ref="T9:T10">_xll.ohFilter(N3:N7,P3:P7)</f>
        <v>3.1765809720397831E-2</v>
      </c>
      <c r="U9" s="174">
        <f t="array" ref="U9:U10">_xll.ohFilter(M3:M7,P3:P7)</f>
        <v>0.25205479452054796</v>
      </c>
      <c r="V9" s="496" t="s">
        <v>35</v>
      </c>
      <c r="W9" s="176">
        <f t="array" ref="W9:W10">MMULT(AA9:AB10,Y9:Y10)</f>
        <v>2.2625681852254786E-3</v>
      </c>
      <c r="X9" s="496" t="s">
        <v>36</v>
      </c>
      <c r="Y9" s="160">
        <f t="array" ref="Y9:Y10">_xll.ohFilter(J3:J7,P3:P7)</f>
        <v>2.9102201365671372E-4</v>
      </c>
      <c r="AA9" s="172">
        <f t="array" ref="AA9:AB10">MINVERSE(T9:U10)</f>
        <v>-45.253057065217405</v>
      </c>
      <c r="AB9" s="174">
        <v>45.253057065217412</v>
      </c>
      <c r="AF9" s="188">
        <f>_xll.qlCalendarAdvance(Calendar,AF8,"1d","mf",,Trigger)</f>
        <v>42135</v>
      </c>
      <c r="AG9" s="210">
        <f>_xll.qlDayCounterYearFraction(DayCounter,SettlementDate,AF9,,,Trigger)</f>
        <v>3.0136986301369864E-2</v>
      </c>
      <c r="AH9" s="189">
        <f t="shared" si="0"/>
        <v>1.1545982063554403E-3</v>
      </c>
      <c r="AI9" s="189">
        <f t="shared" si="1"/>
        <v>9.3763961325162731E-4</v>
      </c>
      <c r="AJ9" s="161">
        <f t="shared" si="2"/>
        <v>8.7870848171888306E-4</v>
      </c>
    </row>
    <row r="10" spans="1:36" ht="12" customHeight="1" x14ac:dyDescent="0.2">
      <c r="C10" s="183" t="s">
        <v>116</v>
      </c>
      <c r="D10" s="204" t="str">
        <f>PROPER(Currency)&amp;IborType&amp;D9</f>
        <v>GbpLibor3M</v>
      </c>
      <c r="R10" s="494"/>
      <c r="S10" s="209"/>
      <c r="T10" s="172">
        <v>5.386376430850065E-2</v>
      </c>
      <c r="U10" s="174">
        <v>0.25205479452054791</v>
      </c>
      <c r="V10" s="496"/>
      <c r="W10" s="176">
        <v>8.6945262684757184E-4</v>
      </c>
      <c r="X10" s="496"/>
      <c r="Y10" s="160">
        <v>3.410201426663125E-4</v>
      </c>
      <c r="AA10" s="172">
        <v>9.6705163043478297</v>
      </c>
      <c r="AB10" s="174">
        <v>-5.7031250000000036</v>
      </c>
      <c r="AF10" s="188">
        <f>_xll.qlCalendarAdvance(Calendar,AF9,"1d","mf",,Trigger)</f>
        <v>42136</v>
      </c>
      <c r="AG10" s="210">
        <f>_xll.qlDayCounterYearFraction(DayCounter,SettlementDate,AF10,,,Trigger)</f>
        <v>3.287671232876712E-2</v>
      </c>
      <c r="AH10" s="189">
        <f t="shared" si="0"/>
        <v>1.1545982063554403E-3</v>
      </c>
      <c r="AI10" s="189">
        <f t="shared" si="1"/>
        <v>9.4383843019745059E-4</v>
      </c>
      <c r="AJ10" s="161">
        <f t="shared" si="2"/>
        <v>8.8853733177192743E-4</v>
      </c>
    </row>
    <row r="11" spans="1:36" ht="12" customHeight="1" x14ac:dyDescent="0.2">
      <c r="C11" s="183" t="s">
        <v>144</v>
      </c>
      <c r="D11" s="328" t="s">
        <v>96</v>
      </c>
      <c r="W11" s="178"/>
      <c r="X11" s="207"/>
      <c r="Y11" s="179"/>
      <c r="AF11" s="188">
        <f>_xll.qlCalendarAdvance(Calendar,AF10,"1d","mf",,Trigger)</f>
        <v>42137</v>
      </c>
      <c r="AG11" s="210">
        <f>_xll.qlDayCounterYearFraction(DayCounter,SettlementDate,AF11,,,Trigger)</f>
        <v>3.5616438356164383E-2</v>
      </c>
      <c r="AH11" s="189">
        <f t="shared" si="0"/>
        <v>1.1545982063554403E-3</v>
      </c>
      <c r="AI11" s="189">
        <f t="shared" si="1"/>
        <v>9.5003724714327377E-4</v>
      </c>
      <c r="AJ11" s="161">
        <f t="shared" si="2"/>
        <v>8.9829429998126466E-4</v>
      </c>
    </row>
    <row r="12" spans="1:36" ht="12" customHeight="1" thickBot="1" x14ac:dyDescent="0.25">
      <c r="C12" s="184" t="s">
        <v>143</v>
      </c>
      <c r="D12" s="359" t="s">
        <v>147</v>
      </c>
      <c r="W12" s="206" t="s">
        <v>33</v>
      </c>
      <c r="X12" s="207"/>
      <c r="Y12" s="179"/>
      <c r="AF12" s="188">
        <f>_xll.qlCalendarAdvance(Calendar,AF11,"1d","mf",,Trigger)</f>
        <v>42138</v>
      </c>
      <c r="AG12" s="210">
        <f>_xll.qlDayCounterYearFraction(DayCounter,SettlementDate,AF12,,,Trigger)</f>
        <v>3.8356164383561646E-2</v>
      </c>
      <c r="AH12" s="189">
        <f t="shared" si="0"/>
        <v>1.1545982063554403E-3</v>
      </c>
      <c r="AI12" s="189">
        <f t="shared" si="1"/>
        <v>9.5623606408909705E-4</v>
      </c>
      <c r="AJ12" s="161">
        <f t="shared" si="2"/>
        <v>9.0797938634689442E-4</v>
      </c>
    </row>
    <row r="13" spans="1:36" ht="12" customHeight="1" thickBot="1" x14ac:dyDescent="0.25">
      <c r="N13" s="363" t="str">
        <f>"Synthetic Deposits "&amp;D9</f>
        <v>Synthetic Deposits 3M</v>
      </c>
      <c r="O13" s="364"/>
      <c r="P13" s="365"/>
      <c r="R13" s="202" t="s">
        <v>105</v>
      </c>
      <c r="U13" s="175">
        <f t="array" ref="U13">_xll.ohFilter(M3:M7,P3:P7)</f>
        <v>0.25205479452054796</v>
      </c>
      <c r="V13" s="202" t="s">
        <v>35</v>
      </c>
      <c r="W13" s="176">
        <f>MMULT(AA13,Y13)</f>
        <v>1.1545982063554403E-3</v>
      </c>
      <c r="X13" s="202" t="s">
        <v>36</v>
      </c>
      <c r="Y13" s="160">
        <f t="array" ref="Y13">_xll.ohFilter(J3:J7,P3:P7)</f>
        <v>2.9102201365671372E-4</v>
      </c>
      <c r="AA13" s="175">
        <f>MINVERSE(U13)</f>
        <v>3.9673913043478257</v>
      </c>
      <c r="AF13" s="188">
        <f>_xll.qlCalendarAdvance(Calendar,AF12,"1d","mf",,Trigger)</f>
        <v>42139</v>
      </c>
      <c r="AG13" s="210">
        <f>_xll.qlDayCounterYearFraction(DayCounter,SettlementDate,AF13,,,Trigger)</f>
        <v>4.1095890410958902E-2</v>
      </c>
      <c r="AH13" s="189">
        <f t="shared" si="0"/>
        <v>1.1545982063554403E-3</v>
      </c>
      <c r="AI13" s="189">
        <f t="shared" si="1"/>
        <v>9.6243488103492023E-4</v>
      </c>
      <c r="AJ13" s="161">
        <f t="shared" si="2"/>
        <v>9.1759259086881683E-4</v>
      </c>
    </row>
    <row r="14" spans="1:36" ht="12" customHeight="1" thickBot="1" x14ac:dyDescent="0.25">
      <c r="C14" s="165" t="s">
        <v>112</v>
      </c>
      <c r="D14" s="166" t="s">
        <v>87</v>
      </c>
      <c r="E14" s="166" t="s">
        <v>88</v>
      </c>
      <c r="J14" s="180" t="s">
        <v>137</v>
      </c>
      <c r="K14" s="180" t="s">
        <v>138</v>
      </c>
      <c r="L14" s="166" t="s">
        <v>139</v>
      </c>
      <c r="M14" s="180" t="s">
        <v>140</v>
      </c>
      <c r="N14" s="369" t="s">
        <v>105</v>
      </c>
      <c r="O14" s="369" t="s">
        <v>104</v>
      </c>
      <c r="P14" s="369" t="s">
        <v>130</v>
      </c>
      <c r="AF14" s="188">
        <f>_xll.qlCalendarAdvance(Calendar,AF13,"1d","mf",,Trigger)</f>
        <v>42142</v>
      </c>
      <c r="AG14" s="210">
        <f>_xll.qlDayCounterYearFraction(DayCounter,SettlementDate,AF14,,,Trigger)</f>
        <v>4.9315068493150684E-2</v>
      </c>
      <c r="AH14" s="189">
        <f t="shared" si="0"/>
        <v>1.1545982063554403E-3</v>
      </c>
      <c r="AI14" s="189">
        <f t="shared" si="1"/>
        <v>9.8103133187238986E-4</v>
      </c>
      <c r="AJ14" s="161">
        <f t="shared" si="2"/>
        <v>9.4600091337234012E-4</v>
      </c>
    </row>
    <row r="15" spans="1:36" ht="12" customHeight="1" x14ac:dyDescent="0.2">
      <c r="C15" s="200" t="s">
        <v>41</v>
      </c>
      <c r="D15" s="194">
        <f t="shared" ref="D15:D21" si="5">SettlementDate</f>
        <v>42124</v>
      </c>
      <c r="E15" s="195">
        <f>_xll.qlCalendarAdvance(Calendar,SettlementDate,C15,"Following",,Trigger)</f>
        <v>42125</v>
      </c>
      <c r="J15" s="354">
        <f>_xll.qlDayCounterYearFraction(DayCounter,D15,E15,,,Trigger)</f>
        <v>2.7397260273972603E-3</v>
      </c>
      <c r="K15" s="347">
        <f>_xll.qlYieldTSDiscount(Discounting,D15,,AllTriggers)</f>
        <v>1</v>
      </c>
      <c r="L15" s="419">
        <f>_xll.qlYieldTSDiscount(Discounting,E15,,AllTriggers)</f>
        <v>0.99998746836962482</v>
      </c>
      <c r="M15" s="361">
        <f>(K15/L15-1)/J15</f>
        <v>4.5741024078949089E-3</v>
      </c>
      <c r="N15" s="357">
        <f>((1+M15*J15)*EXP($W$13*J15)-1)/J15</f>
        <v>5.7287169096331692E-3</v>
      </c>
      <c r="O15" s="357">
        <f>((1+J15*M15)*EXP($W$10*J15+0.5*$W$9*J15^2)-1)/J15</f>
        <v>5.4466664208585591E-3</v>
      </c>
      <c r="P15" s="357">
        <f t="shared" ref="P15:P21" si="6">((1+J15*M15)*EXP($W$5*J15+0.5*$W$4*J15^2+1/3*$W$3*J15^3)-1)/J15</f>
        <v>5.3452755813876429E-3</v>
      </c>
      <c r="AF15" s="188">
        <f>_xll.qlCalendarAdvance(Calendar,AF14,"1d","mf",,Trigger)</f>
        <v>42143</v>
      </c>
      <c r="AG15" s="210">
        <f>_xll.qlDayCounterYearFraction(DayCounter,SettlementDate,AF15,,,Trigger)</f>
        <v>5.2054794520547946E-2</v>
      </c>
      <c r="AH15" s="189">
        <f t="shared" si="0"/>
        <v>1.1545982063554403E-3</v>
      </c>
      <c r="AI15" s="189">
        <f t="shared" si="1"/>
        <v>9.8723014881821314E-4</v>
      </c>
      <c r="AJ15" s="161">
        <f t="shared" si="2"/>
        <v>9.5532659051943321E-4</v>
      </c>
    </row>
    <row r="16" spans="1:36" ht="12" customHeight="1" x14ac:dyDescent="0.2">
      <c r="C16" s="198" t="s">
        <v>42</v>
      </c>
      <c r="D16" s="159">
        <f>SettlementDate</f>
        <v>42124</v>
      </c>
      <c r="E16" s="196">
        <f>_xll.qlCalendarAdvance(Calendar,SettlementDate,C16,"Following",,Trigger)</f>
        <v>42131</v>
      </c>
      <c r="J16" s="210">
        <f>_xll.qlDayCounterYearFraction(DayCounter,D16,E16,,,Trigger)</f>
        <v>1.9178082191780823E-2</v>
      </c>
      <c r="K16" s="348">
        <f>_xll.qlYieldTSDiscount(Discounting,D16,,AllTriggers)</f>
        <v>1</v>
      </c>
      <c r="L16" s="420">
        <f>_xll.qlYieldTSDiscount(Discounting,E16,,AllTriggers)</f>
        <v>0.99991226797200383</v>
      </c>
      <c r="M16" s="361">
        <f t="shared" ref="M16:M21" si="7">(K16/L16-1)/J16</f>
        <v>4.574999976686739E-3</v>
      </c>
      <c r="N16" s="358">
        <f t="shared" ref="N16:N20" si="8">((1+M16*J16)*EXP($W$13*J16)-1)/J16</f>
        <v>5.7297122715072035E-3</v>
      </c>
      <c r="O16" s="358">
        <f t="shared" ref="O16:O20" si="9">((1+J16*M16)*EXP($W$10*J16+0.5*$W$9*J16^2)-1)/J16</f>
        <v>5.4662342677759745E-3</v>
      </c>
      <c r="P16" s="358">
        <f t="shared" si="6"/>
        <v>5.3776306831660693E-3</v>
      </c>
      <c r="AF16" s="188">
        <f>_xll.qlCalendarAdvance(Calendar,AF15,"1d","mf",,Trigger)</f>
        <v>42144</v>
      </c>
      <c r="AG16" s="210">
        <f>_xll.qlDayCounterYearFraction(DayCounter,SettlementDate,AF16,,,Trigger)</f>
        <v>5.4794520547945202E-2</v>
      </c>
      <c r="AH16" s="189">
        <f t="shared" si="0"/>
        <v>1.1545982063554403E-3</v>
      </c>
      <c r="AI16" s="189">
        <f t="shared" si="1"/>
        <v>9.9342896576403643E-4</v>
      </c>
      <c r="AJ16" s="161">
        <f t="shared" si="2"/>
        <v>9.6458038582281872E-4</v>
      </c>
    </row>
    <row r="17" spans="3:36" ht="12" customHeight="1" x14ac:dyDescent="0.2">
      <c r="C17" s="198" t="s">
        <v>43</v>
      </c>
      <c r="D17" s="159">
        <f t="shared" si="5"/>
        <v>42124</v>
      </c>
      <c r="E17" s="196">
        <f>_xll.qlCalendarAdvance(Calendar,SettlementDate,C17,"Following",,Trigger)</f>
        <v>42138</v>
      </c>
      <c r="J17" s="210">
        <f>_xll.qlDayCounterYearFraction(DayCounter,D17,E17,,,Trigger)</f>
        <v>3.8356164383561646E-2</v>
      </c>
      <c r="K17" s="348">
        <f>_xll.qlYieldTSDiscount(Discounting,D17,,AllTriggers)</f>
        <v>1</v>
      </c>
      <c r="L17" s="420">
        <f>_xll.qlYieldTSDiscount(Discounting,E17,,AllTriggers)</f>
        <v>0.99982455133558079</v>
      </c>
      <c r="M17" s="361">
        <f t="shared" si="7"/>
        <v>4.5749999999991232E-3</v>
      </c>
      <c r="N17" s="358">
        <f t="shared" si="8"/>
        <v>5.7298263857241682E-3</v>
      </c>
      <c r="O17" s="358">
        <f t="shared" si="9"/>
        <v>5.4880205146897098E-3</v>
      </c>
      <c r="P17" s="358">
        <f t="shared" si="6"/>
        <v>5.4132477681072856E-3</v>
      </c>
      <c r="AF17" s="188">
        <f>_xll.qlCalendarAdvance(Calendar,AF16,"1d","mf",,Trigger)</f>
        <v>42145</v>
      </c>
      <c r="AG17" s="210">
        <f>_xll.qlDayCounterYearFraction(DayCounter,SettlementDate,AF17,,,Trigger)</f>
        <v>5.7534246575342465E-2</v>
      </c>
      <c r="AH17" s="189">
        <f t="shared" si="0"/>
        <v>1.1545982063554403E-3</v>
      </c>
      <c r="AI17" s="189">
        <f t="shared" si="1"/>
        <v>9.9962778270985971E-4</v>
      </c>
      <c r="AJ17" s="161">
        <f t="shared" si="2"/>
        <v>9.7376229928249698E-4</v>
      </c>
    </row>
    <row r="18" spans="3:36" ht="12" customHeight="1" x14ac:dyDescent="0.2">
      <c r="C18" s="198" t="s">
        <v>44</v>
      </c>
      <c r="D18" s="159">
        <f t="shared" si="5"/>
        <v>42124</v>
      </c>
      <c r="E18" s="196">
        <f>_xll.qlCalendarAdvance(Calendar,SettlementDate,C18,"Following",,Trigger)</f>
        <v>42145</v>
      </c>
      <c r="J18" s="210">
        <f>_xll.qlDayCounterYearFraction(DayCounter,D18,E18,,,Trigger)</f>
        <v>5.7534246575342465E-2</v>
      </c>
      <c r="K18" s="348">
        <f>_xll.qlYieldTSDiscount(Discounting,D18,,AllTriggers)</f>
        <v>1</v>
      </c>
      <c r="L18" s="420">
        <f>_xll.qlYieldTSDiscount(Discounting,E18,,AllTriggers)</f>
        <v>0.99973713888381299</v>
      </c>
      <c r="M18" s="361">
        <f t="shared" si="7"/>
        <v>4.5699778127179192E-3</v>
      </c>
      <c r="N18" s="358">
        <f t="shared" si="8"/>
        <v>5.7249179581422708E-3</v>
      </c>
      <c r="O18" s="358">
        <f t="shared" si="9"/>
        <v>5.5047888676351157E-3</v>
      </c>
      <c r="P18" s="358">
        <f t="shared" si="6"/>
        <v>5.4426753799180234E-3</v>
      </c>
      <c r="AF18" s="188">
        <f>_xll.qlCalendarAdvance(Calendar,AF17,"1d","mf",,Trigger)</f>
        <v>42146</v>
      </c>
      <c r="AG18" s="210">
        <f>_xll.qlDayCounterYearFraction(DayCounter,SettlementDate,AF18,,,Trigger)</f>
        <v>6.0273972602739728E-2</v>
      </c>
      <c r="AH18" s="189">
        <f t="shared" si="0"/>
        <v>1.1545982063554403E-3</v>
      </c>
      <c r="AI18" s="189">
        <f t="shared" si="1"/>
        <v>1.0058265996556828E-3</v>
      </c>
      <c r="AJ18" s="161">
        <f t="shared" si="2"/>
        <v>9.8287233089846822E-4</v>
      </c>
    </row>
    <row r="19" spans="3:36" ht="12" customHeight="1" x14ac:dyDescent="0.2">
      <c r="C19" s="198" t="s">
        <v>38</v>
      </c>
      <c r="D19" s="159">
        <f t="shared" si="5"/>
        <v>42124</v>
      </c>
      <c r="E19" s="196">
        <f>_xll.qlCalendarAdvance(Calendar,SettlementDate,C19,"mf",TRUE,Trigger)</f>
        <v>42153</v>
      </c>
      <c r="J19" s="210">
        <f>_xll.qlDayCounterYearFraction(DayCounter,D19,E19,,,Trigger)</f>
        <v>7.9452054794520555E-2</v>
      </c>
      <c r="K19" s="348">
        <f>_xll.qlYieldTSDiscount(Discounting,D19,,AllTriggers)</f>
        <v>1</v>
      </c>
      <c r="L19" s="420">
        <f>_xll.qlYieldTSDiscount(Discounting,E19,,AllTriggers)</f>
        <v>0.99963763135863237</v>
      </c>
      <c r="M19" s="361">
        <f t="shared" si="7"/>
        <v>4.5625000000005453E-3</v>
      </c>
      <c r="N19" s="358">
        <f t="shared" si="8"/>
        <v>5.7175697276701624E-3</v>
      </c>
      <c r="O19" s="358">
        <f t="shared" si="9"/>
        <v>5.5222198066930267E-3</v>
      </c>
      <c r="P19" s="358">
        <f t="shared" si="6"/>
        <v>5.4731390191397776E-3</v>
      </c>
      <c r="AF19" s="188">
        <f>_xll.qlCalendarAdvance(Calendar,AF18,"1d","mf",,Trigger)</f>
        <v>42150</v>
      </c>
      <c r="AG19" s="210">
        <f>_xll.qlDayCounterYearFraction(DayCounter,SettlementDate,AF19,,,Trigger)</f>
        <v>7.1232876712328766E-2</v>
      </c>
      <c r="AH19" s="189">
        <f t="shared" si="0"/>
        <v>1.1545982063554403E-3</v>
      </c>
      <c r="AI19" s="189">
        <f t="shared" si="1"/>
        <v>1.0306218674389757E-3</v>
      </c>
      <c r="AJ19" s="161">
        <f t="shared" si="2"/>
        <v>1.0185936389252785E-3</v>
      </c>
    </row>
    <row r="20" spans="3:36" ht="12" customHeight="1" x14ac:dyDescent="0.2">
      <c r="C20" s="198" t="s">
        <v>45</v>
      </c>
      <c r="D20" s="159">
        <f t="shared" si="5"/>
        <v>42124</v>
      </c>
      <c r="E20" s="196">
        <f>_xll.qlCalendarAdvance(Calendar,SettlementDate,C20,"mf",TRUE,Trigger)</f>
        <v>42185</v>
      </c>
      <c r="J20" s="210">
        <f>_xll.qlDayCounterYearFraction(DayCounter,D20,E20,,,Trigger)</f>
        <v>0.16712328767123288</v>
      </c>
      <c r="K20" s="348">
        <f>_xll.qlYieldTSDiscount(Discounting,D20,,AllTriggers)</f>
        <v>1</v>
      </c>
      <c r="L20" s="420">
        <f>_xll.qlYieldTSDiscount(Discounting,E20,,AllTriggers)</f>
        <v>0.9992422526985788</v>
      </c>
      <c r="M20" s="361">
        <f t="shared" si="7"/>
        <v>4.5374999999987032E-3</v>
      </c>
      <c r="N20" s="358">
        <f t="shared" si="8"/>
        <v>5.6930852509024781E-3</v>
      </c>
      <c r="O20" s="358">
        <f t="shared" si="9"/>
        <v>5.5969129437656012E-3</v>
      </c>
      <c r="P20" s="358">
        <f t="shared" si="6"/>
        <v>5.5846456381645057E-3</v>
      </c>
      <c r="AF20" s="188">
        <f>_xll.qlCalendarAdvance(Calendar,AF19,"1d","mf",,Trigger)</f>
        <v>42151</v>
      </c>
      <c r="AG20" s="210">
        <f>_xll.qlDayCounterYearFraction(DayCounter,SettlementDate,AF20,,,Trigger)</f>
        <v>7.3972602739726029E-2</v>
      </c>
      <c r="AH20" s="189">
        <f t="shared" si="0"/>
        <v>1.1545982063554403E-3</v>
      </c>
      <c r="AI20" s="189">
        <f t="shared" si="1"/>
        <v>1.036820684384799E-3</v>
      </c>
      <c r="AJ20" s="161">
        <f t="shared" si="2"/>
        <v>1.0273442613227127E-3</v>
      </c>
    </row>
    <row r="21" spans="3:36" ht="12" customHeight="1" thickBot="1" x14ac:dyDescent="0.25">
      <c r="C21" s="199" t="s">
        <v>39</v>
      </c>
      <c r="D21" s="163">
        <f t="shared" si="5"/>
        <v>42124</v>
      </c>
      <c r="E21" s="197">
        <f>_xll.qlCalendarAdvance(Calendar,SettlementDate,C21,"mf",TRUE,Trigger)</f>
        <v>42216</v>
      </c>
      <c r="J21" s="211">
        <f>_xll.qlDayCounterYearFraction(DayCounter,D21,E21,,,Trigger)</f>
        <v>0.25205479452054796</v>
      </c>
      <c r="K21" s="349">
        <f>_xll.qlYieldTSDiscount(Discounting,D21,,AllTriggers)</f>
        <v>1</v>
      </c>
      <c r="L21" s="421">
        <f>_xll.qlYieldTSDiscount(Discounting,E21,,AllTriggers)</f>
        <v>0.99886075142329978</v>
      </c>
      <c r="M21" s="362">
        <f t="shared" si="7"/>
        <v>4.5249999964968781E-3</v>
      </c>
      <c r="N21" s="370">
        <f>((1+M21*J21)*EXP($W$13*J21)-1)/J21</f>
        <v>5.6810832921478536E-3</v>
      </c>
      <c r="O21" s="370">
        <f>((1+J21*M21)*EXP($W$10*J21+0.5*$W$9*J21^2)-1)/J21</f>
        <v>5.6810832921478536E-3</v>
      </c>
      <c r="P21" s="370">
        <f t="shared" si="6"/>
        <v>5.6810832921478536E-3</v>
      </c>
      <c r="AF21" s="188">
        <f>_xll.qlCalendarAdvance(Calendar,AF20,"1d","mf",,Trigger)</f>
        <v>42152</v>
      </c>
      <c r="AG21" s="210">
        <f>_xll.qlDayCounterYearFraction(DayCounter,SettlementDate,AF21,,,Trigger)</f>
        <v>7.6712328767123292E-2</v>
      </c>
      <c r="AH21" s="189">
        <f t="shared" si="0"/>
        <v>1.1545982063554403E-3</v>
      </c>
      <c r="AI21" s="189">
        <f t="shared" si="1"/>
        <v>1.0430195013306223E-3</v>
      </c>
      <c r="AJ21" s="161">
        <f t="shared" si="2"/>
        <v>1.0360230018764394E-3</v>
      </c>
    </row>
    <row r="22" spans="3:36" ht="12" customHeight="1" thickBot="1" x14ac:dyDescent="0.25">
      <c r="AF22" s="188">
        <f>_xll.qlCalendarAdvance(Calendar,AF21,"1d","mf",,Trigger)</f>
        <v>42153</v>
      </c>
      <c r="AG22" s="210">
        <f>_xll.qlDayCounterYearFraction(DayCounter,SettlementDate,AF22,,,Trigger)</f>
        <v>7.9452054794520555E-2</v>
      </c>
      <c r="AH22" s="189">
        <f t="shared" si="0"/>
        <v>1.1545982063554403E-3</v>
      </c>
      <c r="AI22" s="189">
        <f t="shared" si="1"/>
        <v>1.0492183182764455E-3</v>
      </c>
      <c r="AJ22" s="161">
        <f t="shared" si="2"/>
        <v>1.0446298605864591E-3</v>
      </c>
    </row>
    <row r="23" spans="3:36" ht="12" customHeight="1" x14ac:dyDescent="0.2">
      <c r="C23" s="212" t="s">
        <v>118</v>
      </c>
      <c r="AF23" s="188">
        <f>_xll.qlCalendarAdvance(Calendar,AF22,"1d","mf",,Trigger)</f>
        <v>42156</v>
      </c>
      <c r="AG23" s="210">
        <f>_xll.qlDayCounterYearFraction(DayCounter,SettlementDate,AF23,,,Trigger)</f>
        <v>8.7671232876712329E-2</v>
      </c>
      <c r="AH23" s="189">
        <f t="shared" si="0"/>
        <v>1.1545982063554403E-3</v>
      </c>
      <c r="AI23" s="189">
        <f t="shared" si="1"/>
        <v>1.0678147691139152E-3</v>
      </c>
      <c r="AJ23" s="161">
        <f t="shared" si="2"/>
        <v>1.0700191456542735E-3</v>
      </c>
    </row>
    <row r="24" spans="3:36" ht="12" customHeight="1" x14ac:dyDescent="0.2">
      <c r="C24" s="215" t="s">
        <v>103</v>
      </c>
      <c r="AF24" s="188">
        <f>_xll.qlCalendarAdvance(Calendar,AF23,"1d","mf",,Trigger)</f>
        <v>42157</v>
      </c>
      <c r="AG24" s="210">
        <f>_xll.qlDayCounterYearFraction(DayCounter,SettlementDate,AF24,,,Trigger)</f>
        <v>9.0410958904109592E-2</v>
      </c>
      <c r="AH24" s="189">
        <f t="shared" si="0"/>
        <v>1.1545982063554403E-3</v>
      </c>
      <c r="AI24" s="189">
        <f t="shared" si="1"/>
        <v>1.0740135860597385E-3</v>
      </c>
      <c r="AJ24" s="161">
        <f t="shared" si="2"/>
        <v>1.0783384769894636E-3</v>
      </c>
    </row>
    <row r="25" spans="3:36" ht="12" customHeight="1" x14ac:dyDescent="0.2">
      <c r="C25" s="189">
        <f t="shared" ref="C25:C31" si="10">IF($C$24="FLAT",N15,IF($C$24="linear",O15,P15))</f>
        <v>5.3452755813876429E-3</v>
      </c>
      <c r="AF25" s="188">
        <f>_xll.qlCalendarAdvance(Calendar,AF24,"1d","mf",,Trigger)</f>
        <v>42158</v>
      </c>
      <c r="AG25" s="210">
        <f>_xll.qlDayCounterYearFraction(DayCounter,SettlementDate,AF25,,,Trigger)</f>
        <v>9.3150684931506855E-2</v>
      </c>
      <c r="AH25" s="189">
        <f t="shared" si="0"/>
        <v>1.1545982063554403E-3</v>
      </c>
      <c r="AI25" s="189">
        <f t="shared" si="1"/>
        <v>1.0802124030055617E-3</v>
      </c>
      <c r="AJ25" s="161">
        <f t="shared" si="2"/>
        <v>1.0865859264809464E-3</v>
      </c>
    </row>
    <row r="26" spans="3:36" ht="12" customHeight="1" x14ac:dyDescent="0.2">
      <c r="C26" s="189">
        <f t="shared" si="10"/>
        <v>5.3776306831660693E-3</v>
      </c>
      <c r="AF26" s="188">
        <f>_xll.qlCalendarAdvance(Calendar,AF25,"1d","mf",,Trigger)</f>
        <v>42159</v>
      </c>
      <c r="AG26" s="210">
        <f>_xll.qlDayCounterYearFraction(DayCounter,SettlementDate,AF26,,,Trigger)</f>
        <v>9.5890410958904104E-2</v>
      </c>
      <c r="AH26" s="189">
        <f t="shared" si="0"/>
        <v>1.1545982063554403E-3</v>
      </c>
      <c r="AI26" s="189">
        <f t="shared" si="1"/>
        <v>1.0864112199513848E-3</v>
      </c>
      <c r="AJ26" s="161">
        <f t="shared" si="2"/>
        <v>1.0947614941287215E-3</v>
      </c>
    </row>
    <row r="27" spans="3:36" ht="12" customHeight="1" x14ac:dyDescent="0.2">
      <c r="C27" s="189">
        <f t="shared" si="10"/>
        <v>5.4132477681072856E-3</v>
      </c>
      <c r="AF27" s="188">
        <f>_xll.qlCalendarAdvance(Calendar,AF26,"1d","mf",,Trigger)</f>
        <v>42160</v>
      </c>
      <c r="AG27" s="210">
        <f>_xll.qlDayCounterYearFraction(DayCounter,SettlementDate,AF27,,,Trigger)</f>
        <v>9.8630136986301367E-2</v>
      </c>
      <c r="AH27" s="189">
        <f t="shared" si="0"/>
        <v>1.1545982063554403E-3</v>
      </c>
      <c r="AI27" s="189">
        <f t="shared" si="1"/>
        <v>1.0926100368972081E-3</v>
      </c>
      <c r="AJ27" s="161">
        <f t="shared" si="2"/>
        <v>1.1028651799327898E-3</v>
      </c>
    </row>
    <row r="28" spans="3:36" ht="12" customHeight="1" x14ac:dyDescent="0.2">
      <c r="C28" s="189">
        <f t="shared" si="10"/>
        <v>5.4426753799180234E-3</v>
      </c>
      <c r="AF28" s="188">
        <f>_xll.qlCalendarAdvance(Calendar,AF27,"1d","mf",,Trigger)</f>
        <v>42163</v>
      </c>
      <c r="AG28" s="210">
        <f>_xll.qlDayCounterYearFraction(DayCounter,SettlementDate,AF28,,,Trigger)</f>
        <v>0.10684931506849316</v>
      </c>
      <c r="AH28" s="189">
        <f t="shared" si="0"/>
        <v>1.1545982063554403E-3</v>
      </c>
      <c r="AI28" s="189">
        <f t="shared" si="1"/>
        <v>1.1112064877346777E-3</v>
      </c>
      <c r="AJ28" s="161">
        <f t="shared" si="2"/>
        <v>1.1267449462827499E-3</v>
      </c>
    </row>
    <row r="29" spans="3:36" ht="12" customHeight="1" x14ac:dyDescent="0.2">
      <c r="C29" s="189">
        <f t="shared" si="10"/>
        <v>5.4731390191397776E-3</v>
      </c>
      <c r="AF29" s="188">
        <f>_xll.qlCalendarAdvance(Calendar,AF28,"1d","mf",,Trigger)</f>
        <v>42164</v>
      </c>
      <c r="AG29" s="210">
        <f>_xll.qlDayCounterYearFraction(DayCounter,SettlementDate,AF29,,,Trigger)</f>
        <v>0.1095890410958904</v>
      </c>
      <c r="AH29" s="189">
        <f t="shared" si="0"/>
        <v>1.1545982063554403E-3</v>
      </c>
      <c r="AI29" s="189">
        <f t="shared" si="1"/>
        <v>1.117405304680501E-3</v>
      </c>
      <c r="AJ29" s="161">
        <f t="shared" si="2"/>
        <v>1.1345611047119885E-3</v>
      </c>
    </row>
    <row r="30" spans="3:36" ht="12" customHeight="1" x14ac:dyDescent="0.2">
      <c r="C30" s="189">
        <f t="shared" si="10"/>
        <v>5.5846456381645057E-3</v>
      </c>
      <c r="AF30" s="188">
        <f>_xll.qlCalendarAdvance(Calendar,AF29,"1d","mf",,Trigger)</f>
        <v>42165</v>
      </c>
      <c r="AG30" s="210">
        <f>_xll.qlDayCounterYearFraction(DayCounter,SettlementDate,AF30,,,Trigger)</f>
        <v>0.11232876712328767</v>
      </c>
      <c r="AH30" s="189">
        <f t="shared" si="0"/>
        <v>1.1545982063554403E-3</v>
      </c>
      <c r="AI30" s="189">
        <f t="shared" si="1"/>
        <v>1.1236041216263243E-3</v>
      </c>
      <c r="AJ30" s="161">
        <f t="shared" si="2"/>
        <v>1.1423053812975197E-3</v>
      </c>
    </row>
    <row r="31" spans="3:36" ht="12" customHeight="1" x14ac:dyDescent="0.2">
      <c r="C31" s="216">
        <f t="shared" si="10"/>
        <v>5.6810832921478536E-3</v>
      </c>
      <c r="AF31" s="188">
        <f>_xll.qlCalendarAdvance(Calendar,AF30,"1d","mf",,Trigger)</f>
        <v>42166</v>
      </c>
      <c r="AG31" s="210">
        <f>_xll.qlDayCounterYearFraction(DayCounter,SettlementDate,AF31,,,Trigger)</f>
        <v>0.11506849315068493</v>
      </c>
      <c r="AH31" s="189">
        <f t="shared" si="0"/>
        <v>1.1545982063554403E-3</v>
      </c>
      <c r="AI31" s="189">
        <f t="shared" si="1"/>
        <v>1.1298029385721476E-3</v>
      </c>
      <c r="AJ31" s="161">
        <f t="shared" si="2"/>
        <v>1.1499777760393438E-3</v>
      </c>
    </row>
    <row r="32" spans="3:36" ht="12" customHeight="1" x14ac:dyDescent="0.2">
      <c r="AF32" s="188">
        <f>_xll.qlCalendarAdvance(Calendar,AF31,"1d","mf",,Trigger)</f>
        <v>42167</v>
      </c>
      <c r="AG32" s="210">
        <f>_xll.qlDayCounterYearFraction(DayCounter,SettlementDate,AF32,,,Trigger)</f>
        <v>0.11780821917808219</v>
      </c>
      <c r="AH32" s="189">
        <f t="shared" si="0"/>
        <v>1.1545982063554403E-3</v>
      </c>
      <c r="AI32" s="189">
        <f t="shared" si="1"/>
        <v>1.1360017555179706E-3</v>
      </c>
      <c r="AJ32" s="161">
        <f t="shared" si="2"/>
        <v>1.1575782889374604E-3</v>
      </c>
    </row>
    <row r="33" spans="13:36" x14ac:dyDescent="0.2">
      <c r="AF33" s="188">
        <f>_xll.qlCalendarAdvance(Calendar,AF32,"1d","mf",,Trigger)</f>
        <v>42170</v>
      </c>
      <c r="AG33" s="210">
        <f>_xll.qlDayCounterYearFraction(DayCounter,SettlementDate,AF33,,,Trigger)</f>
        <v>0.12602739726027398</v>
      </c>
      <c r="AH33" s="189">
        <f t="shared" si="0"/>
        <v>1.1545982063554403E-3</v>
      </c>
      <c r="AI33" s="189">
        <f t="shared" si="1"/>
        <v>1.1545982063554403E-3</v>
      </c>
      <c r="AJ33" s="161">
        <f t="shared" si="2"/>
        <v>1.179948536569566E-3</v>
      </c>
    </row>
    <row r="34" spans="13:36" x14ac:dyDescent="0.2">
      <c r="AF34" s="188">
        <f>_xll.qlCalendarAdvance(Calendar,AF33,"1d","mf",,Trigger)</f>
        <v>42171</v>
      </c>
      <c r="AG34" s="210">
        <f>_xll.qlDayCounterYearFraction(DayCounter,SettlementDate,AF34,,,Trigger)</f>
        <v>0.12876712328767123</v>
      </c>
      <c r="AH34" s="189">
        <f t="shared" si="0"/>
        <v>1.1545982063554403E-3</v>
      </c>
      <c r="AI34" s="189">
        <f t="shared" si="1"/>
        <v>1.1607970233012636E-3</v>
      </c>
      <c r="AJ34" s="161">
        <f t="shared" si="2"/>
        <v>1.1872615220928531E-3</v>
      </c>
    </row>
    <row r="35" spans="13:36" x14ac:dyDescent="0.2">
      <c r="AF35" s="188">
        <f>_xll.qlCalendarAdvance(Calendar,AF34,"1d","mf",,Trigger)</f>
        <v>42172</v>
      </c>
      <c r="AG35" s="210">
        <f>_xll.qlDayCounterYearFraction(DayCounter,SettlementDate,AF35,,,Trigger)</f>
        <v>0.13150684931506848</v>
      </c>
      <c r="AH35" s="189">
        <f t="shared" si="0"/>
        <v>1.1545982063554403E-3</v>
      </c>
      <c r="AI35" s="189">
        <f t="shared" si="1"/>
        <v>1.1669958402470869E-3</v>
      </c>
      <c r="AJ35" s="161">
        <f t="shared" ref="AJ35:AJ65" si="11">($W$5+$W$4*AG35+$W$3*AG35^2)</f>
        <v>1.1945026257724329E-3</v>
      </c>
    </row>
    <row r="36" spans="13:36" x14ac:dyDescent="0.2">
      <c r="AF36" s="188">
        <f>_xll.qlCalendarAdvance(Calendar,AF35,"1d","mf",,Trigger)</f>
        <v>42173</v>
      </c>
      <c r="AG36" s="210">
        <f>_xll.qlDayCounterYearFraction(DayCounter,SettlementDate,AF36,,,Trigger)</f>
        <v>0.13424657534246576</v>
      </c>
      <c r="AH36" s="189">
        <f t="shared" si="0"/>
        <v>1.1545982063554403E-3</v>
      </c>
      <c r="AI36" s="189">
        <f t="shared" si="1"/>
        <v>1.1731946571929101E-3</v>
      </c>
      <c r="AJ36" s="161">
        <f t="shared" si="11"/>
        <v>1.2016718476083055E-3</v>
      </c>
    </row>
    <row r="37" spans="13:36" x14ac:dyDescent="0.2">
      <c r="AF37" s="188">
        <f>_xll.qlCalendarAdvance(Calendar,AF36,"1d","mf",,Trigger)</f>
        <v>42174</v>
      </c>
      <c r="AG37" s="210">
        <f>_xll.qlDayCounterYearFraction(DayCounter,SettlementDate,AF37,,,Trigger)</f>
        <v>0.13698630136986301</v>
      </c>
      <c r="AH37" s="189">
        <f t="shared" si="0"/>
        <v>1.1545982063554403E-3</v>
      </c>
      <c r="AI37" s="189">
        <f t="shared" si="1"/>
        <v>1.1793934741387332E-3</v>
      </c>
      <c r="AJ37" s="161">
        <f t="shared" si="11"/>
        <v>1.2087691876004705E-3</v>
      </c>
    </row>
    <row r="38" spans="13:36" x14ac:dyDescent="0.2">
      <c r="AF38" s="188">
        <f>_xll.qlCalendarAdvance(Calendar,AF37,"1d","mf",,Trigger)</f>
        <v>42177</v>
      </c>
      <c r="AG38" s="210">
        <f>_xll.qlDayCounterYearFraction(DayCounter,SettlementDate,AF38,,,Trigger)</f>
        <v>0.14520547945205478</v>
      </c>
      <c r="AH38" s="189">
        <f t="shared" si="0"/>
        <v>1.1545982063554403E-3</v>
      </c>
      <c r="AI38" s="189">
        <f t="shared" si="1"/>
        <v>1.1979899249762028E-3</v>
      </c>
      <c r="AJ38" s="161">
        <f t="shared" si="11"/>
        <v>1.2296299165147219E-3</v>
      </c>
    </row>
    <row r="39" spans="13:36" x14ac:dyDescent="0.2">
      <c r="AF39" s="188">
        <f>_xll.qlCalendarAdvance(Calendar,AF38,"1d","mf",,Trigger)</f>
        <v>42178</v>
      </c>
      <c r="AG39" s="210">
        <f>_xll.qlDayCounterYearFraction(DayCounter,SettlementDate,AF39,,,Trigger)</f>
        <v>0.14794520547945206</v>
      </c>
      <c r="AH39" s="189">
        <f t="shared" si="0"/>
        <v>1.1545982063554403E-3</v>
      </c>
      <c r="AI39" s="189">
        <f t="shared" si="1"/>
        <v>1.2041887419220261E-3</v>
      </c>
      <c r="AJ39" s="161">
        <f t="shared" si="11"/>
        <v>1.2364397291320574E-3</v>
      </c>
    </row>
    <row r="40" spans="13:36" x14ac:dyDescent="0.2">
      <c r="AF40" s="188">
        <f>_xll.qlCalendarAdvance(Calendar,AF39,"1d","mf",,Trigger)</f>
        <v>42179</v>
      </c>
      <c r="AG40" s="210">
        <f>_xll.qlDayCounterYearFraction(DayCounter,SettlementDate,AF40,,,Trigger)</f>
        <v>0.15068493150684931</v>
      </c>
      <c r="AH40" s="189">
        <f t="shared" si="0"/>
        <v>1.1545982063554403E-3</v>
      </c>
      <c r="AI40" s="189">
        <f t="shared" si="1"/>
        <v>1.2103875588678494E-3</v>
      </c>
      <c r="AJ40" s="161">
        <f t="shared" si="11"/>
        <v>1.2431776599056859E-3</v>
      </c>
    </row>
    <row r="41" spans="13:36" x14ac:dyDescent="0.2">
      <c r="M41" s="170"/>
      <c r="N41" s="170"/>
      <c r="AF41" s="188">
        <f>_xll.qlCalendarAdvance(Calendar,AF40,"1d","mf",,Trigger)</f>
        <v>42180</v>
      </c>
      <c r="AG41" s="210">
        <f>_xll.qlDayCounterYearFraction(DayCounter,SettlementDate,AF41,,,Trigger)</f>
        <v>0.15342465753424658</v>
      </c>
      <c r="AH41" s="189">
        <f t="shared" si="0"/>
        <v>1.1545982063554403E-3</v>
      </c>
      <c r="AI41" s="189">
        <f t="shared" si="1"/>
        <v>1.2165863758136727E-3</v>
      </c>
      <c r="AJ41" s="161">
        <f t="shared" si="11"/>
        <v>1.249843708835607E-3</v>
      </c>
    </row>
    <row r="42" spans="13:36" x14ac:dyDescent="0.2">
      <c r="AF42" s="188">
        <f>_xll.qlCalendarAdvance(Calendar,AF41,"1d","mf",,Trigger)</f>
        <v>42181</v>
      </c>
      <c r="AG42" s="210">
        <f>_xll.qlDayCounterYearFraction(DayCounter,SettlementDate,AF42,,,Trigger)</f>
        <v>0.15616438356164383</v>
      </c>
      <c r="AH42" s="189">
        <f t="shared" si="0"/>
        <v>1.1545982063554403E-3</v>
      </c>
      <c r="AI42" s="189">
        <f t="shared" si="1"/>
        <v>1.222785192759496E-3</v>
      </c>
      <c r="AJ42" s="161">
        <f t="shared" si="11"/>
        <v>1.2564378759218205E-3</v>
      </c>
    </row>
    <row r="43" spans="13:36" ht="11.25" customHeight="1" x14ac:dyDescent="0.2">
      <c r="AF43" s="188">
        <f>_xll.qlCalendarAdvance(Calendar,AF42,"1d","mf",,Trigger)</f>
        <v>42184</v>
      </c>
      <c r="AG43" s="210">
        <f>_xll.qlDayCounterYearFraction(DayCounter,SettlementDate,AF43,,,Trigger)</f>
        <v>0.16438356164383561</v>
      </c>
      <c r="AH43" s="189">
        <f t="shared" si="0"/>
        <v>1.1545982063554403E-3</v>
      </c>
      <c r="AI43" s="189">
        <f t="shared" si="1"/>
        <v>1.2413816435969656E-3</v>
      </c>
      <c r="AJ43" s="161">
        <f t="shared" si="11"/>
        <v>1.2757890861182174E-3</v>
      </c>
    </row>
    <row r="44" spans="13:36" x14ac:dyDescent="0.2">
      <c r="Q44" s="214"/>
      <c r="AF44" s="188">
        <f>_xll.qlCalendarAdvance(Calendar,AF43,"1d","mf",,Trigger)</f>
        <v>42185</v>
      </c>
      <c r="AG44" s="210">
        <f>_xll.qlDayCounterYearFraction(DayCounter,SettlementDate,AF44,,,Trigger)</f>
        <v>0.16712328767123288</v>
      </c>
      <c r="AH44" s="189">
        <f t="shared" si="0"/>
        <v>1.1545982063554403E-3</v>
      </c>
      <c r="AI44" s="189">
        <f t="shared" si="1"/>
        <v>1.2475804605427889E-3</v>
      </c>
      <c r="AJ44" s="161">
        <f t="shared" si="11"/>
        <v>1.2820957258296017E-3</v>
      </c>
    </row>
    <row r="45" spans="13:36" x14ac:dyDescent="0.2">
      <c r="Q45" s="214"/>
      <c r="AF45" s="188">
        <f>_xll.qlCalendarAdvance(Calendar,AF44,"1d","mf",,Trigger)</f>
        <v>42186</v>
      </c>
      <c r="AG45" s="210">
        <f>_xll.qlDayCounterYearFraction(DayCounter,SettlementDate,AF45,,,Trigger)</f>
        <v>0.16986301369863013</v>
      </c>
      <c r="AH45" s="189">
        <f t="shared" si="0"/>
        <v>1.1545982063554403E-3</v>
      </c>
      <c r="AI45" s="189">
        <f t="shared" si="1"/>
        <v>1.253779277488612E-3</v>
      </c>
      <c r="AJ45" s="161">
        <f t="shared" si="11"/>
        <v>1.2883304836972785E-3</v>
      </c>
    </row>
    <row r="46" spans="13:36" x14ac:dyDescent="0.2">
      <c r="Q46" s="214"/>
      <c r="AF46" s="188">
        <f>_xll.qlCalendarAdvance(Calendar,AF45,"1d","mf",,Trigger)</f>
        <v>42187</v>
      </c>
      <c r="AG46" s="210">
        <f>_xll.qlDayCounterYearFraction(DayCounter,SettlementDate,AF46,,,Trigger)</f>
        <v>0.17260273972602741</v>
      </c>
      <c r="AH46" s="189">
        <f t="shared" si="0"/>
        <v>1.1545982063554403E-3</v>
      </c>
      <c r="AI46" s="189">
        <f t="shared" si="1"/>
        <v>1.2599780944344352E-3</v>
      </c>
      <c r="AJ46" s="161">
        <f t="shared" si="11"/>
        <v>1.2944933597212483E-3</v>
      </c>
    </row>
    <row r="47" spans="13:36" x14ac:dyDescent="0.2">
      <c r="Q47" s="214"/>
      <c r="AF47" s="188">
        <f>_xll.qlCalendarAdvance(Calendar,AF46,"1d","mf",,Trigger)</f>
        <v>42188</v>
      </c>
      <c r="AG47" s="210">
        <f>_xll.qlDayCounterYearFraction(DayCounter,SettlementDate,AF47,,,Trigger)</f>
        <v>0.17534246575342466</v>
      </c>
      <c r="AH47" s="189">
        <f t="shared" si="0"/>
        <v>1.1545982063554403E-3</v>
      </c>
      <c r="AI47" s="189">
        <f t="shared" si="1"/>
        <v>1.2661769113802585E-3</v>
      </c>
      <c r="AJ47" s="161">
        <f t="shared" si="11"/>
        <v>1.3005843539015106E-3</v>
      </c>
    </row>
    <row r="48" spans="13:36" x14ac:dyDescent="0.2">
      <c r="Q48" s="214"/>
      <c r="AF48" s="188">
        <f>_xll.qlCalendarAdvance(Calendar,AF47,"1d","mf",,Trigger)</f>
        <v>42191</v>
      </c>
      <c r="AG48" s="210">
        <f>_xll.qlDayCounterYearFraction(DayCounter,SettlementDate,AF48,,,Trigger)</f>
        <v>0.18356164383561643</v>
      </c>
      <c r="AH48" s="189">
        <f t="shared" si="0"/>
        <v>1.1545982063554403E-3</v>
      </c>
      <c r="AI48" s="189">
        <f t="shared" si="1"/>
        <v>1.2847733622177282E-3</v>
      </c>
      <c r="AJ48" s="161">
        <f t="shared" si="11"/>
        <v>1.3184260453800529E-3</v>
      </c>
    </row>
    <row r="49" spans="13:36" x14ac:dyDescent="0.2">
      <c r="AF49" s="188">
        <f>_xll.qlCalendarAdvance(Calendar,AF48,"1d","mf",,Trigger)</f>
        <v>42192</v>
      </c>
      <c r="AG49" s="210">
        <f>_xll.qlDayCounterYearFraction(DayCounter,SettlementDate,AF49,,,Trigger)</f>
        <v>0.18630136986301371</v>
      </c>
      <c r="AH49" s="189">
        <f t="shared" si="0"/>
        <v>1.1545982063554403E-3</v>
      </c>
      <c r="AI49" s="189">
        <f t="shared" si="1"/>
        <v>1.2909721791635514E-3</v>
      </c>
      <c r="AJ49" s="161">
        <f t="shared" si="11"/>
        <v>1.3242295121854855E-3</v>
      </c>
    </row>
    <row r="50" spans="13:36" x14ac:dyDescent="0.2">
      <c r="AF50" s="188">
        <f>_xll.qlCalendarAdvance(Calendar,AF49,"1d","mf",,Trigger)</f>
        <v>42193</v>
      </c>
      <c r="AG50" s="210">
        <f>_xll.qlDayCounterYearFraction(DayCounter,SettlementDate,AF50,,,Trigger)</f>
        <v>0.18904109589041096</v>
      </c>
      <c r="AH50" s="189">
        <f t="shared" si="0"/>
        <v>1.1545982063554403E-3</v>
      </c>
      <c r="AI50" s="189">
        <f t="shared" si="1"/>
        <v>1.2971709961093745E-3</v>
      </c>
      <c r="AJ50" s="161">
        <f t="shared" si="11"/>
        <v>1.3299610971472112E-3</v>
      </c>
    </row>
    <row r="51" spans="13:36" x14ac:dyDescent="0.2">
      <c r="AF51" s="188">
        <f>_xll.qlCalendarAdvance(Calendar,AF50,"1d","mf",,Trigger)</f>
        <v>42194</v>
      </c>
      <c r="AG51" s="210">
        <f>_xll.qlDayCounterYearFraction(DayCounter,SettlementDate,AF51,,,Trigger)</f>
        <v>0.19178082191780821</v>
      </c>
      <c r="AH51" s="189">
        <f t="shared" si="0"/>
        <v>1.1545982063554403E-3</v>
      </c>
      <c r="AI51" s="189">
        <f t="shared" si="1"/>
        <v>1.3033698130551978E-3</v>
      </c>
      <c r="AJ51" s="161">
        <f t="shared" si="11"/>
        <v>1.3356208002652293E-3</v>
      </c>
    </row>
    <row r="52" spans="13:36" x14ac:dyDescent="0.2">
      <c r="AF52" s="188">
        <f>_xll.qlCalendarAdvance(Calendar,AF51,"1d","mf",,Trigger)</f>
        <v>42195</v>
      </c>
      <c r="AG52" s="210">
        <f>_xll.qlDayCounterYearFraction(DayCounter,SettlementDate,AF52,,,Trigger)</f>
        <v>0.19452054794520549</v>
      </c>
      <c r="AH52" s="189">
        <f t="shared" si="0"/>
        <v>1.1545982063554403E-3</v>
      </c>
      <c r="AI52" s="189">
        <f t="shared" si="1"/>
        <v>1.3095686300010211E-3</v>
      </c>
      <c r="AJ52" s="161">
        <f t="shared" si="11"/>
        <v>1.3412086215395401E-3</v>
      </c>
    </row>
    <row r="53" spans="13:36" x14ac:dyDescent="0.2">
      <c r="AF53" s="188">
        <f>_xll.qlCalendarAdvance(Calendar,AF52,"1d","mf",,Trigger)</f>
        <v>42198</v>
      </c>
      <c r="AG53" s="210">
        <f>_xll.qlDayCounterYearFraction(DayCounter,SettlementDate,AF53,,,Trigger)</f>
        <v>0.20273972602739726</v>
      </c>
      <c r="AH53" s="189">
        <f t="shared" si="0"/>
        <v>1.1545982063554403E-3</v>
      </c>
      <c r="AI53" s="189">
        <f t="shared" si="1"/>
        <v>1.3281650808384907E-3</v>
      </c>
      <c r="AJ53" s="161">
        <f t="shared" si="11"/>
        <v>1.357540794300228E-3</v>
      </c>
    </row>
    <row r="54" spans="13:36" x14ac:dyDescent="0.2">
      <c r="AF54" s="188">
        <f>_xll.qlCalendarAdvance(Calendar,AF53,"1d","mf",,Trigger)</f>
        <v>42199</v>
      </c>
      <c r="AG54" s="210">
        <f>_xll.qlDayCounterYearFraction(DayCounter,SettlementDate,AF54,,,Trigger)</f>
        <v>0.20547945205479451</v>
      </c>
      <c r="AH54" s="189">
        <f t="shared" si="0"/>
        <v>1.1545982063554403E-3</v>
      </c>
      <c r="AI54" s="189">
        <f t="shared" si="1"/>
        <v>1.334363897784314E-3</v>
      </c>
      <c r="AJ54" s="161">
        <f t="shared" si="11"/>
        <v>1.3628410881997093E-3</v>
      </c>
    </row>
    <row r="55" spans="13:36" x14ac:dyDescent="0.2">
      <c r="AF55" s="188">
        <f>_xll.qlCalendarAdvance(Calendar,AF54,"1d","mf",,Trigger)</f>
        <v>42200</v>
      </c>
      <c r="AG55" s="210">
        <f>_xll.qlDayCounterYearFraction(DayCounter,SettlementDate,AF55,,,Trigger)</f>
        <v>0.20821917808219179</v>
      </c>
      <c r="AH55" s="189">
        <f t="shared" si="0"/>
        <v>1.1545982063554403E-3</v>
      </c>
      <c r="AI55" s="189">
        <f t="shared" si="1"/>
        <v>1.3405627147301373E-3</v>
      </c>
      <c r="AJ55" s="161">
        <f t="shared" si="11"/>
        <v>1.3680695002554835E-3</v>
      </c>
    </row>
    <row r="56" spans="13:36" x14ac:dyDescent="0.2">
      <c r="AF56" s="188">
        <f>_xll.qlCalendarAdvance(Calendar,AF55,"1d","mf",,Trigger)</f>
        <v>42201</v>
      </c>
      <c r="AG56" s="210">
        <f>_xll.qlDayCounterYearFraction(DayCounter,SettlementDate,AF56,,,Trigger)</f>
        <v>0.21095890410958903</v>
      </c>
      <c r="AH56" s="189">
        <f t="shared" si="0"/>
        <v>1.1545982063554403E-3</v>
      </c>
      <c r="AI56" s="189">
        <f t="shared" si="1"/>
        <v>1.3467615316759603E-3</v>
      </c>
      <c r="AJ56" s="161">
        <f t="shared" si="11"/>
        <v>1.3732260304675501E-3</v>
      </c>
    </row>
    <row r="57" spans="13:36" x14ac:dyDescent="0.2">
      <c r="AF57" s="188">
        <f>_xll.qlCalendarAdvance(Calendar,AF56,"1d","mf",,Trigger)</f>
        <v>42202</v>
      </c>
      <c r="AG57" s="210">
        <f>_xll.qlDayCounterYearFraction(DayCounter,SettlementDate,AF57,,,Trigger)</f>
        <v>0.21369863013698631</v>
      </c>
      <c r="AH57" s="189">
        <f t="shared" si="0"/>
        <v>1.1545982063554403E-3</v>
      </c>
      <c r="AI57" s="189">
        <f t="shared" si="1"/>
        <v>1.3529603486217836E-3</v>
      </c>
      <c r="AJ57" s="161">
        <f t="shared" si="11"/>
        <v>1.3783106788359096E-3</v>
      </c>
    </row>
    <row r="58" spans="13:36" x14ac:dyDescent="0.2">
      <c r="AF58" s="188">
        <f>_xll.qlCalendarAdvance(Calendar,AF57,"1d","mf",,Trigger)</f>
        <v>42205</v>
      </c>
      <c r="AG58" s="210">
        <f>_xll.qlDayCounterYearFraction(DayCounter,SettlementDate,AF58,,,Trigger)</f>
        <v>0.22191780821917809</v>
      </c>
      <c r="AH58" s="189">
        <f t="shared" si="0"/>
        <v>1.1545982063554403E-3</v>
      </c>
      <c r="AI58" s="189">
        <f t="shared" si="1"/>
        <v>1.3715567994592535E-3</v>
      </c>
      <c r="AJ58" s="161">
        <f t="shared" si="11"/>
        <v>1.393133332878743E-3</v>
      </c>
    </row>
    <row r="59" spans="13:36" x14ac:dyDescent="0.2">
      <c r="AF59" s="188">
        <f>_xll.qlCalendarAdvance(Calendar,AF58,"1d","mf",,Trigger)</f>
        <v>42206</v>
      </c>
      <c r="AG59" s="210">
        <f>_xll.qlDayCounterYearFraction(DayCounter,SettlementDate,AF59,,,Trigger)</f>
        <v>0.22465753424657534</v>
      </c>
      <c r="AH59" s="189">
        <f t="shared" si="0"/>
        <v>1.1545982063554403E-3</v>
      </c>
      <c r="AI59" s="189">
        <f t="shared" si="1"/>
        <v>1.3777556164050768E-3</v>
      </c>
      <c r="AJ59" s="161">
        <f t="shared" si="11"/>
        <v>1.3979304538722728E-3</v>
      </c>
    </row>
    <row r="60" spans="13:36" x14ac:dyDescent="0.2">
      <c r="M60" s="170"/>
      <c r="AF60" s="188">
        <f>_xll.qlCalendarAdvance(Calendar,AF59,"1d","mf",,Trigger)</f>
        <v>42207</v>
      </c>
      <c r="AG60" s="210">
        <f>_xll.qlDayCounterYearFraction(DayCounter,SettlementDate,AF60,,,Trigger)</f>
        <v>0.22739726027397261</v>
      </c>
      <c r="AH60" s="189">
        <f t="shared" si="0"/>
        <v>1.1545982063554403E-3</v>
      </c>
      <c r="AI60" s="189">
        <f t="shared" si="1"/>
        <v>1.3839544333508998E-3</v>
      </c>
      <c r="AJ60" s="161">
        <f t="shared" si="11"/>
        <v>1.4026556930220955E-3</v>
      </c>
    </row>
    <row r="61" spans="13:36" x14ac:dyDescent="0.2">
      <c r="M61" s="170"/>
      <c r="AF61" s="188">
        <f>_xll.qlCalendarAdvance(Calendar,AF60,"1d","mf",,Trigger)</f>
        <v>42208</v>
      </c>
      <c r="AG61" s="210">
        <f>_xll.qlDayCounterYearFraction(DayCounter,SettlementDate,AF61,,,Trigger)</f>
        <v>0.23013698630136986</v>
      </c>
      <c r="AH61" s="189">
        <f t="shared" si="0"/>
        <v>1.1545982063554403E-3</v>
      </c>
      <c r="AI61" s="189">
        <f t="shared" si="1"/>
        <v>1.3901532502967231E-3</v>
      </c>
      <c r="AJ61" s="161">
        <f t="shared" si="11"/>
        <v>1.4073090503282108E-3</v>
      </c>
    </row>
    <row r="62" spans="13:36" x14ac:dyDescent="0.2">
      <c r="M62" s="170"/>
      <c r="AF62" s="188">
        <f>_xll.qlCalendarAdvance(Calendar,AF61,"1d","mf",,Trigger)</f>
        <v>42209</v>
      </c>
      <c r="AG62" s="210">
        <f>_xll.qlDayCounterYearFraction(DayCounter,SettlementDate,AF62,,,Trigger)</f>
        <v>0.23287671232876711</v>
      </c>
      <c r="AH62" s="189">
        <f t="shared" si="0"/>
        <v>1.1545982063554403E-3</v>
      </c>
      <c r="AI62" s="189">
        <f t="shared" si="1"/>
        <v>1.3963520672425462E-3</v>
      </c>
      <c r="AJ62" s="161">
        <f t="shared" si="11"/>
        <v>1.4118905257906186E-3</v>
      </c>
    </row>
    <row r="63" spans="13:36" x14ac:dyDescent="0.2">
      <c r="M63" s="170"/>
      <c r="AF63" s="188">
        <f>_xll.qlCalendarAdvance(Calendar,AF62,"1d","mf",,Trigger)</f>
        <v>42212</v>
      </c>
      <c r="AG63" s="210">
        <f>_xll.qlDayCounterYearFraction(DayCounter,SettlementDate,AF63,,,Trigger)</f>
        <v>0.24109589041095891</v>
      </c>
      <c r="AH63" s="189">
        <f t="shared" si="0"/>
        <v>1.1545982063554403E-3</v>
      </c>
      <c r="AI63" s="189">
        <f t="shared" si="1"/>
        <v>1.414948518080016E-3</v>
      </c>
      <c r="AJ63" s="161">
        <f t="shared" si="11"/>
        <v>1.4252036611155977E-3</v>
      </c>
    </row>
    <row r="64" spans="13:36" x14ac:dyDescent="0.2">
      <c r="M64" s="170"/>
      <c r="AF64" s="188">
        <f>_xll.qlCalendarAdvance(Calendar,AF63,"1d","mf",,Trigger)</f>
        <v>42213</v>
      </c>
      <c r="AG64" s="210">
        <f>_xll.qlDayCounterYearFraction(DayCounter,SettlementDate,AF64,,,Trigger)</f>
        <v>0.24383561643835616</v>
      </c>
      <c r="AH64" s="189">
        <f t="shared" si="0"/>
        <v>1.1545982063554403E-3</v>
      </c>
      <c r="AI64" s="189">
        <f t="shared" si="1"/>
        <v>1.4211473350258393E-3</v>
      </c>
      <c r="AJ64" s="161">
        <f t="shared" si="11"/>
        <v>1.4294976092031762E-3</v>
      </c>
    </row>
    <row r="65" spans="13:36" ht="12" thickBot="1" x14ac:dyDescent="0.25">
      <c r="M65" s="170"/>
      <c r="AF65" s="190">
        <f>_xll.qlCalendarAdvance(Calendar,AF64,"1d","mf",,Trigger)</f>
        <v>42214</v>
      </c>
      <c r="AG65" s="211">
        <f>_xll.qlDayCounterYearFraction(DayCounter,SettlementDate,AF65,,,Trigger)</f>
        <v>0.24657534246575341</v>
      </c>
      <c r="AH65" s="191">
        <f t="shared" si="0"/>
        <v>1.1545982063554403E-3</v>
      </c>
      <c r="AI65" s="191">
        <f t="shared" si="1"/>
        <v>1.4273461519716624E-3</v>
      </c>
      <c r="AJ65" s="164">
        <f t="shared" si="11"/>
        <v>1.4337196754470472E-3</v>
      </c>
    </row>
    <row r="66" spans="13:36" x14ac:dyDescent="0.2">
      <c r="M66" s="170"/>
      <c r="N66" s="170"/>
    </row>
    <row r="67" spans="13:36" x14ac:dyDescent="0.2">
      <c r="M67" s="170"/>
      <c r="N67" s="170"/>
    </row>
    <row r="68" spans="13:36" x14ac:dyDescent="0.2">
      <c r="M68" s="170"/>
      <c r="N68" s="170"/>
    </row>
    <row r="69" spans="13:36" x14ac:dyDescent="0.2">
      <c r="M69" s="170"/>
      <c r="N69" s="170"/>
    </row>
    <row r="70" spans="13:36" x14ac:dyDescent="0.2">
      <c r="M70" s="170"/>
      <c r="N70" s="170"/>
    </row>
    <row r="71" spans="13:36" x14ac:dyDescent="0.2">
      <c r="M71" s="170"/>
      <c r="N71" s="170"/>
    </row>
    <row r="72" spans="13:36" x14ac:dyDescent="0.2">
      <c r="M72" s="170"/>
      <c r="N72" s="170"/>
    </row>
    <row r="73" spans="13:36" x14ac:dyDescent="0.2">
      <c r="M73" s="170"/>
      <c r="N73" s="170"/>
    </row>
    <row r="74" spans="13:36" x14ac:dyDescent="0.2">
      <c r="M74" s="170"/>
      <c r="N74" s="170"/>
    </row>
    <row r="75" spans="13:36" x14ac:dyDescent="0.2">
      <c r="M75" s="170"/>
      <c r="N75" s="170"/>
    </row>
    <row r="76" spans="13:36" x14ac:dyDescent="0.2">
      <c r="M76" s="170"/>
      <c r="N76" s="170"/>
    </row>
    <row r="77" spans="13:36" x14ac:dyDescent="0.2">
      <c r="M77" s="170"/>
      <c r="N77" s="170"/>
    </row>
    <row r="78" spans="13:36" x14ac:dyDescent="0.2">
      <c r="M78" s="170"/>
      <c r="N78" s="170"/>
    </row>
    <row r="79" spans="13:36" x14ac:dyDescent="0.2">
      <c r="M79" s="170"/>
      <c r="N79" s="170"/>
    </row>
    <row r="80" spans="13:36" x14ac:dyDescent="0.2">
      <c r="M80" s="170"/>
      <c r="N80" s="170"/>
    </row>
    <row r="81" spans="13:14" x14ac:dyDescent="0.2">
      <c r="M81" s="170"/>
      <c r="N81" s="170"/>
    </row>
    <row r="82" spans="13:14" x14ac:dyDescent="0.2">
      <c r="M82" s="170"/>
      <c r="N82" s="170"/>
    </row>
    <row r="83" spans="13:14" x14ac:dyDescent="0.2">
      <c r="M83" s="170"/>
      <c r="N83" s="170"/>
    </row>
    <row r="84" spans="13:14" x14ac:dyDescent="0.2">
      <c r="M84" s="170"/>
      <c r="N84" s="170"/>
    </row>
    <row r="85" spans="13:14" x14ac:dyDescent="0.2">
      <c r="M85" s="170"/>
      <c r="N85" s="170"/>
    </row>
    <row r="86" spans="13:14" x14ac:dyDescent="0.2">
      <c r="M86" s="170"/>
      <c r="N86" s="170"/>
    </row>
    <row r="87" spans="13:14" x14ac:dyDescent="0.2">
      <c r="M87" s="170"/>
      <c r="N87" s="170"/>
    </row>
    <row r="88" spans="13:14" x14ac:dyDescent="0.2">
      <c r="M88" s="170"/>
      <c r="N88" s="170"/>
    </row>
    <row r="89" spans="13:14" x14ac:dyDescent="0.2">
      <c r="M89" s="170"/>
      <c r="N89" s="170"/>
    </row>
    <row r="90" spans="13:14" x14ac:dyDescent="0.2">
      <c r="M90" s="170"/>
      <c r="N90" s="170"/>
    </row>
    <row r="91" spans="13:14" x14ac:dyDescent="0.2">
      <c r="M91" s="170"/>
      <c r="N91" s="170"/>
    </row>
    <row r="92" spans="13:14" x14ac:dyDescent="0.2">
      <c r="M92" s="170"/>
      <c r="N92" s="170"/>
    </row>
    <row r="93" spans="13:14" x14ac:dyDescent="0.2">
      <c r="M93" s="170"/>
      <c r="N93" s="170"/>
    </row>
    <row r="94" spans="13:14" x14ac:dyDescent="0.2">
      <c r="M94" s="170"/>
      <c r="N94" s="170"/>
    </row>
    <row r="95" spans="13:14" x14ac:dyDescent="0.2">
      <c r="M95" s="170"/>
      <c r="N95" s="170"/>
    </row>
    <row r="96" spans="13:14" x14ac:dyDescent="0.2">
      <c r="M96" s="170"/>
      <c r="N96" s="170"/>
    </row>
    <row r="97" spans="13:14" x14ac:dyDescent="0.2">
      <c r="M97" s="170"/>
      <c r="N97" s="170"/>
    </row>
    <row r="98" spans="13:14" x14ac:dyDescent="0.2">
      <c r="M98" s="170"/>
      <c r="N98" s="170"/>
    </row>
    <row r="99" spans="13:14" x14ac:dyDescent="0.2">
      <c r="M99" s="170"/>
      <c r="N99" s="170"/>
    </row>
    <row r="100" spans="13:14" x14ac:dyDescent="0.2">
      <c r="M100" s="170"/>
      <c r="N100" s="170"/>
    </row>
    <row r="101" spans="13:14" x14ac:dyDescent="0.2">
      <c r="M101" s="170"/>
      <c r="N101" s="170"/>
    </row>
    <row r="102" spans="13:14" x14ac:dyDescent="0.2">
      <c r="M102" s="170"/>
      <c r="N102" s="170"/>
    </row>
    <row r="103" spans="13:14" x14ac:dyDescent="0.2">
      <c r="M103" s="170"/>
      <c r="N103" s="170"/>
    </row>
    <row r="104" spans="13:14" x14ac:dyDescent="0.2">
      <c r="M104" s="170"/>
      <c r="N104" s="170"/>
    </row>
    <row r="105" spans="13:14" x14ac:dyDescent="0.2">
      <c r="M105" s="170"/>
      <c r="N105" s="170"/>
    </row>
    <row r="106" spans="13:14" x14ac:dyDescent="0.2">
      <c r="M106" s="170"/>
      <c r="N106" s="170"/>
    </row>
    <row r="107" spans="13:14" x14ac:dyDescent="0.2">
      <c r="M107" s="170"/>
      <c r="N107" s="170"/>
    </row>
    <row r="108" spans="13:14" x14ac:dyDescent="0.2">
      <c r="M108" s="170"/>
      <c r="N108" s="170"/>
    </row>
    <row r="109" spans="13:14" x14ac:dyDescent="0.2">
      <c r="M109" s="170"/>
      <c r="N109" s="170"/>
    </row>
    <row r="110" spans="13:14" x14ac:dyDescent="0.2">
      <c r="M110" s="170"/>
      <c r="N110" s="170"/>
    </row>
    <row r="111" spans="13:14" x14ac:dyDescent="0.2">
      <c r="M111" s="170"/>
      <c r="N111" s="170"/>
    </row>
    <row r="112" spans="13:14" x14ac:dyDescent="0.2">
      <c r="M112" s="170"/>
      <c r="N112" s="170"/>
    </row>
    <row r="113" spans="13:14" x14ac:dyDescent="0.2">
      <c r="M113" s="157"/>
      <c r="N113" s="170"/>
    </row>
    <row r="114" spans="13:14" x14ac:dyDescent="0.2">
      <c r="M114" s="157"/>
      <c r="N114" s="170"/>
    </row>
    <row r="115" spans="13:14" x14ac:dyDescent="0.2">
      <c r="M115" s="157"/>
      <c r="N115" s="170"/>
    </row>
    <row r="116" spans="13:14" x14ac:dyDescent="0.2">
      <c r="M116" s="157"/>
      <c r="N116" s="170"/>
    </row>
    <row r="117" spans="13:14" x14ac:dyDescent="0.2">
      <c r="M117" s="157"/>
      <c r="N117" s="170"/>
    </row>
    <row r="118" spans="13:14" x14ac:dyDescent="0.2">
      <c r="M118" s="157"/>
      <c r="N118" s="170"/>
    </row>
    <row r="119" spans="13:14" x14ac:dyDescent="0.2">
      <c r="M119" s="157"/>
      <c r="N119" s="157"/>
    </row>
    <row r="120" spans="13:14" x14ac:dyDescent="0.2">
      <c r="M120" s="157"/>
      <c r="N120" s="157"/>
    </row>
    <row r="121" spans="13:14" x14ac:dyDescent="0.2">
      <c r="M121" s="157"/>
      <c r="N121" s="157"/>
    </row>
    <row r="122" spans="13:14" x14ac:dyDescent="0.2">
      <c r="M122" s="157"/>
      <c r="N122" s="157"/>
    </row>
    <row r="123" spans="13:14" x14ac:dyDescent="0.2">
      <c r="M123" s="157"/>
      <c r="N123" s="157"/>
    </row>
    <row r="124" spans="13:14" x14ac:dyDescent="0.2">
      <c r="M124" s="157"/>
      <c r="N124" s="157"/>
    </row>
    <row r="125" spans="13:14" x14ac:dyDescent="0.2">
      <c r="M125" s="157"/>
      <c r="N125" s="157"/>
    </row>
    <row r="126" spans="13:14" x14ac:dyDescent="0.2">
      <c r="M126" s="157"/>
      <c r="N126" s="157"/>
    </row>
    <row r="127" spans="13:14" x14ac:dyDescent="0.2">
      <c r="M127" s="157"/>
      <c r="N127" s="157"/>
    </row>
    <row r="128" spans="13:14" x14ac:dyDescent="0.2">
      <c r="M128" s="157"/>
      <c r="N128" s="157"/>
    </row>
    <row r="129" spans="14:14" x14ac:dyDescent="0.2">
      <c r="N129" s="157"/>
    </row>
    <row r="130" spans="14:14" x14ac:dyDescent="0.2">
      <c r="N130" s="157"/>
    </row>
    <row r="131" spans="14:14" x14ac:dyDescent="0.2">
      <c r="N131" s="157"/>
    </row>
    <row r="132" spans="14:14" x14ac:dyDescent="0.2">
      <c r="N132" s="157"/>
    </row>
    <row r="133" spans="14:14" x14ac:dyDescent="0.2">
      <c r="N133" s="157"/>
    </row>
    <row r="134" spans="14:14" x14ac:dyDescent="0.2">
      <c r="N134" s="157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4"/>
  <sheetViews>
    <sheetView workbookViewId="0"/>
  </sheetViews>
  <sheetFormatPr defaultColWidth="9.5" defaultRowHeight="11.25" outlineLevelCol="1" x14ac:dyDescent="0.2"/>
  <cols>
    <col min="1" max="2" width="3.5" style="156" customWidth="1"/>
    <col min="3" max="5" width="22.83203125" style="156" customWidth="1"/>
    <col min="6" max="7" width="14.1640625" style="156" hidden="1" customWidth="1" outlineLevel="1"/>
    <col min="8" max="8" width="8.1640625" style="156" hidden="1" customWidth="1" outlineLevel="1"/>
    <col min="9" max="9" width="10.5" style="156" hidden="1" customWidth="1" outlineLevel="1"/>
    <col min="10" max="10" width="10.5" style="156" bestFit="1" customWidth="1" collapsed="1"/>
    <col min="11" max="12" width="14.1640625" style="156" bestFit="1" customWidth="1"/>
    <col min="13" max="13" width="10.5" style="156" bestFit="1" customWidth="1"/>
    <col min="14" max="15" width="9.33203125" style="156" bestFit="1" customWidth="1"/>
    <col min="16" max="16" width="10.5" style="156" bestFit="1" customWidth="1"/>
    <col min="17" max="17" width="10.83203125" style="156" customWidth="1"/>
    <col min="18" max="18" width="13.1640625" style="156" customWidth="1"/>
    <col min="19" max="21" width="6.83203125" style="156" customWidth="1"/>
    <col min="22" max="22" width="2.33203125" style="156" bestFit="1" customWidth="1"/>
    <col min="23" max="23" width="10.83203125" style="156" customWidth="1"/>
    <col min="24" max="24" width="2.33203125" style="156" bestFit="1" customWidth="1"/>
    <col min="25" max="25" width="10.83203125" style="156" customWidth="1"/>
    <col min="26" max="26" width="12.5" style="156" bestFit="1" customWidth="1"/>
    <col min="27" max="29" width="9.33203125" style="156" customWidth="1"/>
    <col min="30" max="31" width="9.5" style="156"/>
    <col min="32" max="32" width="20.33203125" style="156" bestFit="1" customWidth="1"/>
    <col min="33" max="33" width="8.1640625" style="156" bestFit="1" customWidth="1"/>
    <col min="34" max="35" width="9.5" style="156" bestFit="1" customWidth="1"/>
    <col min="36" max="36" width="11.6640625" style="156" bestFit="1" customWidth="1"/>
    <col min="37" max="16384" width="9.5" style="156"/>
  </cols>
  <sheetData>
    <row r="1" spans="1:36" ht="12" thickBot="1" x14ac:dyDescent="0.25"/>
    <row r="2" spans="1:36" ht="19.5" customHeight="1" x14ac:dyDescent="0.2">
      <c r="C2" s="165" t="s">
        <v>102</v>
      </c>
      <c r="D2" s="166" t="s">
        <v>87</v>
      </c>
      <c r="E2" s="166" t="s">
        <v>88</v>
      </c>
      <c r="F2" s="166" t="s">
        <v>138</v>
      </c>
      <c r="G2" s="166" t="s">
        <v>139</v>
      </c>
      <c r="H2" s="166" t="s">
        <v>137</v>
      </c>
      <c r="I2" s="166" t="s">
        <v>140</v>
      </c>
      <c r="J2" s="166" t="s">
        <v>141</v>
      </c>
      <c r="K2" s="166" t="s">
        <v>145</v>
      </c>
      <c r="L2" s="166" t="s">
        <v>146</v>
      </c>
      <c r="M2" s="166" t="s">
        <v>109</v>
      </c>
      <c r="N2" s="180" t="s">
        <v>110</v>
      </c>
      <c r="O2" s="166" t="s">
        <v>111</v>
      </c>
      <c r="P2" s="166" t="s">
        <v>117</v>
      </c>
      <c r="W2" s="206" t="s">
        <v>107</v>
      </c>
      <c r="AA2" s="494" t="s">
        <v>106</v>
      </c>
      <c r="AB2" s="494"/>
      <c r="AC2" s="494"/>
      <c r="AF2" s="165" t="s">
        <v>87</v>
      </c>
      <c r="AG2" s="165" t="s">
        <v>137</v>
      </c>
      <c r="AH2" s="166" t="s">
        <v>37</v>
      </c>
      <c r="AI2" s="166" t="s">
        <v>100</v>
      </c>
      <c r="AJ2" s="167" t="s">
        <v>101</v>
      </c>
    </row>
    <row r="3" spans="1:36" ht="12" customHeight="1" x14ac:dyDescent="0.2">
      <c r="C3" s="329" t="str">
        <f>$D$10&amp;"LastFixing"&amp;QuoteSuffix</f>
        <v>GbpLibor6MLastFixing_Quote</v>
      </c>
      <c r="D3" s="330">
        <f>_xll.qlCalendarAdvance(Calendar,_xll.qlLastFixingQuoteReferenceDate($C$3),_xll.qlInterestRateIndexFixingDays($D$10)&amp;"D","f",,LastFixingsTrigger)</f>
        <v>42123</v>
      </c>
      <c r="E3" s="330">
        <f>_xll.qlInterestRateIndexMaturity($D$10,D3)</f>
        <v>42306</v>
      </c>
      <c r="F3" s="457" t="e">
        <f>_xll.qlYieldTSDiscount(Discounting,D3,,AllTriggers)</f>
        <v>#NUM!</v>
      </c>
      <c r="G3" s="457">
        <f>_xll.qlYieldTSDiscount(Discounting,E3,,AllTriggers)</f>
        <v>0.99773099631567452</v>
      </c>
      <c r="H3" s="460">
        <f>_xll.qlDayCounterYearFraction(DayCounter,D3,E3,,,Trigger)</f>
        <v>0.50136986301369868</v>
      </c>
      <c r="I3" s="463" t="e">
        <f>(F3/G3-1)/H3</f>
        <v>#NUM!</v>
      </c>
      <c r="J3" s="424">
        <f>'Delta 6M '!P4</f>
        <v>1.2154595236039446E-3</v>
      </c>
      <c r="K3" s="350">
        <f>_xll.qlDayCounterYearFraction(DayCounter,SettlementDate,D3,,,Trigger)</f>
        <v>-2.7397260273972603E-3</v>
      </c>
      <c r="L3" s="350">
        <f>_xll.qlDayCounterYearFraction(DayCounter,SettlementDate,E3,,,Trigger)</f>
        <v>0.49863013698630138</v>
      </c>
      <c r="M3" s="350">
        <f>L3-K3</f>
        <v>0.50136986301369868</v>
      </c>
      <c r="N3" s="350">
        <f>(L3^2-K3^2)/2</f>
        <v>0.12431225370613623</v>
      </c>
      <c r="O3" s="350">
        <f>(L3^3-K3^3)/3</f>
        <v>4.1325145173604243E-2</v>
      </c>
      <c r="P3" s="331" t="b">
        <f>IF(D12="fixing",TRUE,FALSE)</f>
        <v>0</v>
      </c>
      <c r="R3" s="495" t="s">
        <v>103</v>
      </c>
      <c r="S3" s="172">
        <f t="array" ref="S3:S5">_xll.ohFilter(O3:O7,P3:P7)</f>
        <v>4.2010071539290074E-2</v>
      </c>
      <c r="T3" s="173">
        <f t="array" ref="T3:T5">_xll.ohFilter(N3:N7,P3:P7)</f>
        <v>0.1256858697691875</v>
      </c>
      <c r="U3" s="174">
        <f t="array" ref="U3:U5">_xll.ohFilter(M3:M7,P3:P7)</f>
        <v>0.50136986301369868</v>
      </c>
      <c r="V3" s="168"/>
      <c r="W3" s="176">
        <f t="array" ref="W3:W5">MMULT(AA3:AC5,Y3:Y5)</f>
        <v>-1.035653765891939E-2</v>
      </c>
      <c r="X3" s="177"/>
      <c r="Y3" s="465">
        <f t="array" ref="Y3:Y5">_xll.ohFilter(J3:J7,P3:P7)</f>
        <v>1.2154595236039446E-3</v>
      </c>
      <c r="AA3" s="172">
        <f t="array" ref="AA3:AC5">MINVERSE(S3:U5)</f>
        <v>151.46196963373063</v>
      </c>
      <c r="AB3" s="173">
        <v>-292.51458382545195</v>
      </c>
      <c r="AC3" s="174">
        <v>143.46553024312993</v>
      </c>
      <c r="AF3" s="185">
        <f>SettlementDate</f>
        <v>42124</v>
      </c>
      <c r="AG3" s="210">
        <f>_xll.qlDayCounterYearFraction(DayCounter,SettlementDate,AF3,,,Trigger)</f>
        <v>0</v>
      </c>
      <c r="AH3" s="186">
        <f t="shared" ref="AH3:AH34" si="0">$W$13</f>
        <v>2.4242771918876489E-3</v>
      </c>
      <c r="AI3" s="186">
        <f t="shared" ref="AI3:AI34" si="1">$W$10+$W$9*AG3</f>
        <v>2.056720138447236E-3</v>
      </c>
      <c r="AJ3" s="187">
        <f t="shared" ref="AJ3:AJ34" si="2">($W$5+$W$4*AG3+$W$3*AG3^2)</f>
        <v>1.3948993555982642E-3</v>
      </c>
    </row>
    <row r="4" spans="1:36" ht="12" customHeight="1" x14ac:dyDescent="0.2">
      <c r="A4" s="156">
        <v>0</v>
      </c>
      <c r="B4" s="406">
        <f>A4+SUBSTITUTE($D$9,"M","")</f>
        <v>6</v>
      </c>
      <c r="C4" s="158" t="str">
        <f>"Delta("&amp;A4&amp;"M,"&amp;B4&amp;"M)extrap"</f>
        <v>Delta(0M,6M)extrap</v>
      </c>
      <c r="D4" s="159">
        <f>SettlementDate</f>
        <v>42124</v>
      </c>
      <c r="E4" s="159">
        <f>_xll.qlInterestRateIndexMaturity($D$10,D4)</f>
        <v>42307</v>
      </c>
      <c r="F4" s="458">
        <f>_xll.qlYieldTSDiscount(Discounting,D4,,AllTriggers)</f>
        <v>1</v>
      </c>
      <c r="G4" s="458">
        <f>_xll.qlYieldTSDiscount(Discounting,E4,,AllTriggers)</f>
        <v>0.99771772071387299</v>
      </c>
      <c r="H4" s="461">
        <f>_xll.qlDayCounterYearFraction(DayCounter,D4,E4,,,Trigger)</f>
        <v>0.50136986301369868</v>
      </c>
      <c r="I4" s="160">
        <f t="shared" ref="I4:I7" si="3">(F4/G4-1)/H4</f>
        <v>4.5624999999880379E-3</v>
      </c>
      <c r="J4" s="425">
        <f>LN((1+(_xll.qlInterpolationInterpolate(B6Minterpolation,D4,TRUE,AllTriggers)+I4)*H4)/(1+I4*H4))</f>
        <v>1.2154595236039446E-3</v>
      </c>
      <c r="K4" s="210">
        <f>_xll.qlDayCounterYearFraction(DayCounter,SettlementDate,D4,,,Trigger)</f>
        <v>0</v>
      </c>
      <c r="L4" s="210">
        <f>_xll.qlDayCounterYearFraction(DayCounter,SettlementDate,E4,,,Trigger)</f>
        <v>0.50136986301369868</v>
      </c>
      <c r="M4" s="210">
        <f>L4-K4</f>
        <v>0.50136986301369868</v>
      </c>
      <c r="N4" s="210">
        <f>(L4^2-K4^2)/2</f>
        <v>0.1256858697691875</v>
      </c>
      <c r="O4" s="210">
        <f>(L4^3-K4^3)/3</f>
        <v>4.2010071539290074E-2</v>
      </c>
      <c r="P4" s="192" t="b">
        <f>IF(D12="fixing",FALSE,TRUE)</f>
        <v>1</v>
      </c>
      <c r="R4" s="495"/>
      <c r="S4" s="172">
        <v>6.7013043988651752E-2</v>
      </c>
      <c r="T4" s="173">
        <v>0.16871833364608746</v>
      </c>
      <c r="U4" s="174">
        <v>0.50684931506849318</v>
      </c>
      <c r="V4" s="169" t="s">
        <v>35</v>
      </c>
      <c r="W4" s="176">
        <v>7.5678985590589276E-3</v>
      </c>
      <c r="X4" s="169" t="s">
        <v>36</v>
      </c>
      <c r="Y4" s="465">
        <v>1.2898239033542172E-3</v>
      </c>
      <c r="AA4" s="172">
        <v>-113.50261625259607</v>
      </c>
      <c r="AB4" s="173">
        <v>196.34323373914069</v>
      </c>
      <c r="AC4" s="174">
        <v>-84.524562323456237</v>
      </c>
      <c r="AF4" s="188">
        <f>_xll.qlCalendarAdvance(Calendar,AF3,"1d","mf",,Trigger)</f>
        <v>42125</v>
      </c>
      <c r="AG4" s="210">
        <f>_xll.qlDayCounterYearFraction(DayCounter,SettlementDate,AF4,,,Trigger)</f>
        <v>2.7397260273972603E-3</v>
      </c>
      <c r="AH4" s="189">
        <f t="shared" si="0"/>
        <v>2.4242771918876489E-3</v>
      </c>
      <c r="AI4" s="189">
        <f t="shared" si="1"/>
        <v>2.0607371554247269E-3</v>
      </c>
      <c r="AJ4" s="161">
        <f t="shared" si="2"/>
        <v>1.415555587059308E-3</v>
      </c>
    </row>
    <row r="5" spans="1:36" ht="12" customHeight="1" x14ac:dyDescent="0.2">
      <c r="A5" s="171">
        <v>1</v>
      </c>
      <c r="B5" s="406">
        <f t="shared" ref="B5:B7" si="4">A5+SUBSTITUTE($D$9,"M","")</f>
        <v>7</v>
      </c>
      <c r="C5" s="158" t="str">
        <f>"Delta("&amp;A5&amp;"M,"&amp;B5&amp;"M)"</f>
        <v>Delta(1M,7M)</v>
      </c>
      <c r="D5" s="159">
        <f>_xll.qlCalendarAdvance(Calendar,SettlementDate,A5&amp;"M","mf")</f>
        <v>42153</v>
      </c>
      <c r="E5" s="159">
        <f>_xll.qlInterestRateIndexMaturity($D$10,D5)</f>
        <v>42338</v>
      </c>
      <c r="F5" s="458">
        <f>_xll.qlYieldTSDiscount(Discounting,D5,,AllTriggers)</f>
        <v>0.99963763135863237</v>
      </c>
      <c r="G5" s="458">
        <f>_xll.qlYieldTSDiscount(Discounting,E5,,AllTriggers)</f>
        <v>0.99728840016294806</v>
      </c>
      <c r="H5" s="461">
        <f>_xll.qlDayCounterYearFraction(DayCounter,D5,E5,,,Trigger)</f>
        <v>0.50684931506849318</v>
      </c>
      <c r="I5" s="160">
        <f t="shared" si="3"/>
        <v>4.6475720118601318E-3</v>
      </c>
      <c r="J5" s="425">
        <f>LN((1+(_xll.qlInterpolationInterpolate(B6Minterpolation,D5,TRUE,AllTriggers)+I5)*H5)/(1+I5*H5))</f>
        <v>1.2898239033542172E-3</v>
      </c>
      <c r="K5" s="210">
        <f>_xll.qlDayCounterYearFraction(DayCounter,SettlementDate,D5,,,Trigger)</f>
        <v>7.9452054794520555E-2</v>
      </c>
      <c r="L5" s="210">
        <f>_xll.qlDayCounterYearFraction(DayCounter,SettlementDate,E5,,,Trigger)</f>
        <v>0.58630136986301373</v>
      </c>
      <c r="M5" s="210">
        <f>L5-K5</f>
        <v>0.50684931506849318</v>
      </c>
      <c r="N5" s="210">
        <f>(L5^2-K5^2)/2</f>
        <v>0.16871833364608746</v>
      </c>
      <c r="O5" s="210">
        <f>(L5^3-K5^3)/3</f>
        <v>6.7013043988651752E-2</v>
      </c>
      <c r="P5" s="192" t="b">
        <v>1</v>
      </c>
      <c r="R5" s="495"/>
      <c r="S5" s="172">
        <v>9.9252862128561659E-2</v>
      </c>
      <c r="T5" s="173">
        <v>0.21131169074873335</v>
      </c>
      <c r="U5" s="174">
        <v>0.50410958904109593</v>
      </c>
      <c r="V5" s="171"/>
      <c r="W5" s="176">
        <v>1.3948993555982642E-3</v>
      </c>
      <c r="X5" s="169"/>
      <c r="Y5" s="465">
        <v>1.2744515764439915E-3</v>
      </c>
      <c r="AA5" s="172">
        <v>17.756844840009467</v>
      </c>
      <c r="AB5" s="173">
        <v>-24.710323509547241</v>
      </c>
      <c r="AC5" s="174">
        <v>9.1679741496984075</v>
      </c>
      <c r="AF5" s="188">
        <f>_xll.qlCalendarAdvance(Calendar,AF4,"1d","mf",,Trigger)</f>
        <v>42129</v>
      </c>
      <c r="AG5" s="210">
        <f>_xll.qlDayCounterYearFraction(DayCounter,SettlementDate,AF5,,,Trigger)</f>
        <v>1.3698630136986301E-2</v>
      </c>
      <c r="AH5" s="189">
        <f t="shared" si="0"/>
        <v>2.4242771918876489E-3</v>
      </c>
      <c r="AI5" s="189">
        <f t="shared" si="1"/>
        <v>2.0768052233346903E-3</v>
      </c>
      <c r="AJ5" s="161">
        <f t="shared" si="2"/>
        <v>1.4966257690252453E-3</v>
      </c>
    </row>
    <row r="6" spans="1:36" ht="12" customHeight="1" x14ac:dyDescent="0.2">
      <c r="A6" s="171">
        <v>2</v>
      </c>
      <c r="B6" s="406">
        <f t="shared" si="4"/>
        <v>8</v>
      </c>
      <c r="C6" s="158" t="str">
        <f>"Delta("&amp;A6&amp;"M,"&amp;B6&amp;"M)"</f>
        <v>Delta(2M,8M)</v>
      </c>
      <c r="D6" s="159">
        <f>_xll.qlCalendarAdvance(Calendar,SettlementDate,A6&amp;"M","mf")</f>
        <v>42185</v>
      </c>
      <c r="E6" s="159">
        <f>_xll.qlInterestRateIndexMaturity($D$10,D6)</f>
        <v>42369</v>
      </c>
      <c r="F6" s="458">
        <f>_xll.qlYieldTSDiscount(Discounting,D6,,AllTriggers)</f>
        <v>0.9992422526985788</v>
      </c>
      <c r="G6" s="458">
        <f>_xll.qlYieldTSDiscount(Discounting,E6,,AllTriggers)</f>
        <v>0.99684678925720072</v>
      </c>
      <c r="H6" s="461">
        <f>_xll.qlDayCounterYearFraction(DayCounter,D6,E6,,,Trigger)</f>
        <v>0.50410958904109593</v>
      </c>
      <c r="I6" s="160">
        <f t="shared" si="3"/>
        <v>4.7669014584919567E-3</v>
      </c>
      <c r="J6" s="425">
        <f>LN((1+(_xll.qlInterpolationInterpolate(B6Minterpolation,D6,TRUE,AllTriggers)+I6)*H6)/(1+I6*H6))</f>
        <v>1.2744515764439915E-3</v>
      </c>
      <c r="K6" s="210">
        <f>_xll.qlDayCounterYearFraction(DayCounter,SettlementDate,D6,,,Trigger)</f>
        <v>0.16712328767123288</v>
      </c>
      <c r="L6" s="210">
        <f>_xll.qlDayCounterYearFraction(DayCounter,SettlementDate,E6,,,Trigger)</f>
        <v>0.67123287671232879</v>
      </c>
      <c r="M6" s="210">
        <f>L6-K6</f>
        <v>0.50410958904109593</v>
      </c>
      <c r="N6" s="210">
        <f>(L6^2-K6^2)/2</f>
        <v>0.21131169074873335</v>
      </c>
      <c r="O6" s="210">
        <f>(L6^3-K6^3)/3</f>
        <v>9.9252862128561659E-2</v>
      </c>
      <c r="P6" s="192" t="b">
        <v>1</v>
      </c>
      <c r="W6" s="178"/>
      <c r="X6" s="207"/>
      <c r="Y6" s="179"/>
      <c r="AF6" s="188">
        <f>_xll.qlCalendarAdvance(Calendar,AF5,"1d","mf",,Trigger)</f>
        <v>42130</v>
      </c>
      <c r="AG6" s="210">
        <f>_xll.qlDayCounterYearFraction(DayCounter,SettlementDate,AF6,,,Trigger)</f>
        <v>1.643835616438356E-2</v>
      </c>
      <c r="AH6" s="189">
        <f t="shared" si="0"/>
        <v>2.4242771918876489E-3</v>
      </c>
      <c r="AI6" s="189">
        <f t="shared" si="1"/>
        <v>2.0808222403121811E-3</v>
      </c>
      <c r="AJ6" s="161">
        <f t="shared" si="2"/>
        <v>1.5165046285471699E-3</v>
      </c>
    </row>
    <row r="7" spans="1:36" ht="12" customHeight="1" thickBot="1" x14ac:dyDescent="0.25">
      <c r="A7" s="171">
        <v>3</v>
      </c>
      <c r="B7" s="406">
        <f t="shared" si="4"/>
        <v>9</v>
      </c>
      <c r="C7" s="162" t="str">
        <f>"Delta("&amp;A7&amp;"M,"&amp;B7&amp;"M)"</f>
        <v>Delta(3M,9M)</v>
      </c>
      <c r="D7" s="163">
        <f>_xll.qlCalendarAdvance(Calendar,SettlementDate,A7&amp;"M","mf")</f>
        <v>42215</v>
      </c>
      <c r="E7" s="163">
        <f>_xll.qlInterestRateIndexMaturity($D$10,D7)</f>
        <v>42398</v>
      </c>
      <c r="F7" s="459">
        <f>_xll.qlYieldTSDiscount(Discounting,D7,,AllTriggers)</f>
        <v>0.99887306669886999</v>
      </c>
      <c r="G7" s="459">
        <f>_xll.qlYieldTSDiscount(Discounting,E7,,AllTriggers)</f>
        <v>0.99641896578409539</v>
      </c>
      <c r="H7" s="462">
        <f>_xll.qlDayCounterYearFraction(DayCounter,D7,E7,,,Trigger)</f>
        <v>0.50136986301369868</v>
      </c>
      <c r="I7" s="464">
        <f t="shared" si="3"/>
        <v>4.9123828531152823E-3</v>
      </c>
      <c r="J7" s="426">
        <f>LN((1+(_xll.qlInterpolationInterpolate(B6Minterpolation,D7,TRUE,AllTriggers)+I7)*H7)/(1+I7*H7))</f>
        <v>1.3183033858829183E-3</v>
      </c>
      <c r="K7" s="211">
        <f>_xll.qlDayCounterYearFraction(DayCounter,SettlementDate,D7,,,Trigger)</f>
        <v>0.24931506849315069</v>
      </c>
      <c r="L7" s="211">
        <f>_xll.qlDayCounterYearFraction(DayCounter,SettlementDate,E7,,,Trigger)</f>
        <v>0.75068493150684934</v>
      </c>
      <c r="M7" s="211">
        <f>L7-K7</f>
        <v>0.50136986301369868</v>
      </c>
      <c r="N7" s="211">
        <f>(L7^2-K7^2)/2</f>
        <v>0.25068493150684928</v>
      </c>
      <c r="O7" s="211">
        <f>(L7^3-K7^3)/3</f>
        <v>0.13584498363824718</v>
      </c>
      <c r="P7" s="193" t="b">
        <v>0</v>
      </c>
      <c r="W7" s="178"/>
      <c r="X7" s="207"/>
      <c r="Y7" s="179"/>
      <c r="AF7" s="188">
        <f>_xll.qlCalendarAdvance(Calendar,AF6,"1d","mf",,Trigger)</f>
        <v>42131</v>
      </c>
      <c r="AG7" s="210">
        <f>_xll.qlDayCounterYearFraction(DayCounter,SettlementDate,AF7,,,Trigger)</f>
        <v>1.9178082191780823E-2</v>
      </c>
      <c r="AH7" s="189">
        <f t="shared" si="0"/>
        <v>2.4242771918876489E-3</v>
      </c>
      <c r="AI7" s="189">
        <f t="shared" si="1"/>
        <v>2.084839257289672E-3</v>
      </c>
      <c r="AJ7" s="161">
        <f t="shared" si="2"/>
        <v>1.5362280136812705E-3</v>
      </c>
    </row>
    <row r="8" spans="1:36" ht="12" customHeight="1" thickBot="1" x14ac:dyDescent="0.25">
      <c r="B8" s="400"/>
      <c r="C8" s="400"/>
      <c r="D8" s="401"/>
      <c r="E8" s="401"/>
      <c r="F8" s="401"/>
      <c r="G8" s="401"/>
      <c r="H8" s="401"/>
      <c r="I8" s="401"/>
      <c r="J8" s="402"/>
      <c r="K8" s="403"/>
      <c r="L8" s="403"/>
      <c r="M8" s="403"/>
      <c r="N8" s="403"/>
      <c r="O8" s="403"/>
      <c r="P8" s="404"/>
      <c r="W8" s="208" t="s">
        <v>108</v>
      </c>
      <c r="X8" s="207"/>
      <c r="Y8" s="179"/>
      <c r="AF8" s="188">
        <f>_xll.qlCalendarAdvance(Calendar,AF7,"1d","mf",,Trigger)</f>
        <v>42132</v>
      </c>
      <c r="AG8" s="210">
        <f>_xll.qlDayCounterYearFraction(DayCounter,SettlementDate,AF8,,,Trigger)</f>
        <v>2.1917808219178082E-2</v>
      </c>
      <c r="AH8" s="189">
        <f t="shared" si="0"/>
        <v>2.4242771918876489E-3</v>
      </c>
      <c r="AI8" s="189">
        <f t="shared" si="1"/>
        <v>2.0888562742671628E-3</v>
      </c>
      <c r="AJ8" s="161">
        <f t="shared" si="2"/>
        <v>1.5557959244275471E-3</v>
      </c>
    </row>
    <row r="9" spans="1:36" ht="12" customHeight="1" x14ac:dyDescent="0.2">
      <c r="C9" s="165" t="s">
        <v>153</v>
      </c>
      <c r="D9" s="203" t="s">
        <v>40</v>
      </c>
      <c r="R9" s="494" t="s">
        <v>104</v>
      </c>
      <c r="S9" s="209"/>
      <c r="T9" s="172">
        <f t="array" ref="T9:T10">_xll.ohFilter(N3:N7,P3:P7)</f>
        <v>0.1256858697691875</v>
      </c>
      <c r="U9" s="174">
        <f t="array" ref="U9:U10">_xll.ohFilter(M3:M7,P3:P7)</f>
        <v>0.50136986301369868</v>
      </c>
      <c r="V9" s="496" t="s">
        <v>35</v>
      </c>
      <c r="W9" s="176">
        <f t="array" ref="W9:W10">MMULT(AA9:AB10,Y9:Y10)</f>
        <v>1.4662111967841569E-3</v>
      </c>
      <c r="X9" s="496" t="s">
        <v>36</v>
      </c>
      <c r="Y9" s="465">
        <f t="array" ref="Y9:Y10">_xll.ohFilter(J3:J7,P3:P7)</f>
        <v>1.2154595236039446E-3</v>
      </c>
      <c r="AA9" s="172">
        <f t="array" ref="AA9:AB10">MINVERSE(T9:U10)</f>
        <v>-24.26684881602916</v>
      </c>
      <c r="AB9" s="174">
        <v>24.004504504504517</v>
      </c>
      <c r="AF9" s="188">
        <f>_xll.qlCalendarAdvance(Calendar,AF8,"1d","mf",,Trigger)</f>
        <v>42135</v>
      </c>
      <c r="AG9" s="210">
        <f>_xll.qlDayCounterYearFraction(DayCounter,SettlementDate,AF9,,,Trigger)</f>
        <v>3.0136986301369864E-2</v>
      </c>
      <c r="AH9" s="189">
        <f t="shared" si="0"/>
        <v>2.4242771918876489E-3</v>
      </c>
      <c r="AI9" s="189">
        <f t="shared" si="1"/>
        <v>2.1009073251996354E-3</v>
      </c>
      <c r="AJ9" s="161">
        <f t="shared" si="2"/>
        <v>1.6135668103394341E-3</v>
      </c>
    </row>
    <row r="10" spans="1:36" ht="12" customHeight="1" x14ac:dyDescent="0.2">
      <c r="C10" s="183" t="s">
        <v>116</v>
      </c>
      <c r="D10" s="204" t="str">
        <f>PROPER(Currency)&amp;IborType&amp;$D$9</f>
        <v>GbpLibor6M</v>
      </c>
      <c r="R10" s="494"/>
      <c r="S10" s="209"/>
      <c r="T10" s="172">
        <v>0.16871833364608746</v>
      </c>
      <c r="U10" s="174">
        <v>0.50684931506849318</v>
      </c>
      <c r="V10" s="496"/>
      <c r="W10" s="176">
        <v>2.056720138447236E-3</v>
      </c>
      <c r="X10" s="496"/>
      <c r="Y10" s="465">
        <v>1.2898239033542172E-3</v>
      </c>
      <c r="AA10" s="172">
        <v>8.0778688524590212</v>
      </c>
      <c r="AB10" s="174">
        <v>-6.0175675675675722</v>
      </c>
      <c r="AF10" s="188">
        <f>_xll.qlCalendarAdvance(Calendar,AF9,"1d","mf",,Trigger)</f>
        <v>42136</v>
      </c>
      <c r="AG10" s="210">
        <f>_xll.qlDayCounterYearFraction(DayCounter,SettlementDate,AF10,,,Trigger)</f>
        <v>3.287671232876712E-2</v>
      </c>
      <c r="AH10" s="189">
        <f t="shared" si="0"/>
        <v>2.4242771918876489E-3</v>
      </c>
      <c r="AI10" s="189">
        <f t="shared" si="1"/>
        <v>2.1049243421771262E-3</v>
      </c>
      <c r="AJ10" s="161">
        <f t="shared" si="2"/>
        <v>1.6325128235344152E-3</v>
      </c>
    </row>
    <row r="11" spans="1:36" ht="12" customHeight="1" x14ac:dyDescent="0.2">
      <c r="C11" s="183" t="s">
        <v>144</v>
      </c>
      <c r="D11" s="328" t="s">
        <v>96</v>
      </c>
      <c r="W11" s="178"/>
      <c r="X11" s="207"/>
      <c r="Y11" s="179"/>
      <c r="AF11" s="188">
        <f>_xll.qlCalendarAdvance(Calendar,AF10,"1d","mf",,Trigger)</f>
        <v>42137</v>
      </c>
      <c r="AG11" s="210">
        <f>_xll.qlDayCounterYearFraction(DayCounter,SettlementDate,AF11,,,Trigger)</f>
        <v>3.5616438356164383E-2</v>
      </c>
      <c r="AH11" s="189">
        <f t="shared" si="0"/>
        <v>2.4242771918876489E-3</v>
      </c>
      <c r="AI11" s="189">
        <f t="shared" si="1"/>
        <v>2.1089413591546171E-3</v>
      </c>
      <c r="AJ11" s="161">
        <f t="shared" si="2"/>
        <v>1.6513033623415723E-3</v>
      </c>
    </row>
    <row r="12" spans="1:36" ht="12" customHeight="1" thickBot="1" x14ac:dyDescent="0.25">
      <c r="C12" s="184" t="s">
        <v>143</v>
      </c>
      <c r="D12" s="359" t="s">
        <v>148</v>
      </c>
      <c r="Q12" s="170"/>
      <c r="W12" s="206" t="s">
        <v>33</v>
      </c>
      <c r="X12" s="207"/>
      <c r="Y12" s="179"/>
      <c r="AF12" s="188">
        <f>_xll.qlCalendarAdvance(Calendar,AF11,"1d","mf",,Trigger)</f>
        <v>42138</v>
      </c>
      <c r="AG12" s="210">
        <f>_xll.qlDayCounterYearFraction(DayCounter,SettlementDate,AF12,,,Trigger)</f>
        <v>3.8356164383561646E-2</v>
      </c>
      <c r="AH12" s="189">
        <f t="shared" si="0"/>
        <v>2.4242771918876489E-3</v>
      </c>
      <c r="AI12" s="189">
        <f t="shared" si="1"/>
        <v>2.1129583761321079E-3</v>
      </c>
      <c r="AJ12" s="161">
        <f t="shared" si="2"/>
        <v>1.6699384267609056E-3</v>
      </c>
    </row>
    <row r="13" spans="1:36" ht="12" customHeight="1" thickBot="1" x14ac:dyDescent="0.25">
      <c r="N13" s="366" t="str">
        <f>"Synthetic Deposits "&amp;D9</f>
        <v>Synthetic Deposits 6M</v>
      </c>
      <c r="O13" s="367"/>
      <c r="P13" s="368"/>
      <c r="Q13" s="170"/>
      <c r="R13" s="201" t="s">
        <v>105</v>
      </c>
      <c r="U13" s="175">
        <f t="array" ref="U13">_xll.ohFilter(M3:M7,P3:P7)</f>
        <v>0.50136986301369868</v>
      </c>
      <c r="V13" s="201" t="s">
        <v>35</v>
      </c>
      <c r="W13" s="176">
        <f>MMULT(AA13,Y13)</f>
        <v>2.4242771918876489E-3</v>
      </c>
      <c r="X13" s="201" t="s">
        <v>36</v>
      </c>
      <c r="Y13" s="465">
        <f t="array" ref="Y13">_xll.ohFilter(J3:J7,P3:P7)</f>
        <v>1.2154595236039446E-3</v>
      </c>
      <c r="AA13" s="175">
        <f>MINVERSE(U13)</f>
        <v>1.9945355191256828</v>
      </c>
      <c r="AF13" s="188">
        <f>_xll.qlCalendarAdvance(Calendar,AF12,"1d","mf",,Trigger)</f>
        <v>42139</v>
      </c>
      <c r="AG13" s="210">
        <f>_xll.qlDayCounterYearFraction(DayCounter,SettlementDate,AF13,,,Trigger)</f>
        <v>4.1095890410958902E-2</v>
      </c>
      <c r="AH13" s="189">
        <f t="shared" si="0"/>
        <v>2.4242771918876489E-3</v>
      </c>
      <c r="AI13" s="189">
        <f t="shared" si="1"/>
        <v>2.1169753931095988E-3</v>
      </c>
      <c r="AJ13" s="161">
        <f t="shared" si="2"/>
        <v>1.6884180167924152E-3</v>
      </c>
    </row>
    <row r="14" spans="1:36" ht="12" customHeight="1" thickBot="1" x14ac:dyDescent="0.25">
      <c r="C14" s="165" t="s">
        <v>112</v>
      </c>
      <c r="D14" s="166" t="s">
        <v>87</v>
      </c>
      <c r="E14" s="166" t="s">
        <v>88</v>
      </c>
      <c r="J14" s="180" t="s">
        <v>137</v>
      </c>
      <c r="K14" s="180" t="s">
        <v>138</v>
      </c>
      <c r="L14" s="180" t="s">
        <v>139</v>
      </c>
      <c r="M14" s="180" t="s">
        <v>140</v>
      </c>
      <c r="N14" s="369" t="s">
        <v>105</v>
      </c>
      <c r="O14" s="360" t="s">
        <v>104</v>
      </c>
      <c r="P14" s="360" t="s">
        <v>130</v>
      </c>
      <c r="Q14" s="170"/>
      <c r="AF14" s="188">
        <f>_xll.qlCalendarAdvance(Calendar,AF13,"1d","mf",,Trigger)</f>
        <v>42142</v>
      </c>
      <c r="AG14" s="210">
        <f>_xll.qlDayCounterYearFraction(DayCounter,SettlementDate,AF14,,,Trigger)</f>
        <v>4.9315068493150684E-2</v>
      </c>
      <c r="AH14" s="189">
        <f t="shared" si="0"/>
        <v>2.4242771918876489E-3</v>
      </c>
      <c r="AI14" s="189">
        <f t="shared" si="1"/>
        <v>2.1290264440420714E-3</v>
      </c>
      <c r="AJ14" s="161">
        <f t="shared" si="2"/>
        <v>1.7429239405600001E-3</v>
      </c>
    </row>
    <row r="15" spans="1:36" ht="12" customHeight="1" x14ac:dyDescent="0.2">
      <c r="C15" s="200" t="s">
        <v>41</v>
      </c>
      <c r="D15" s="194">
        <f t="shared" ref="D15:D24" si="5">SettlementDate</f>
        <v>42124</v>
      </c>
      <c r="E15" s="195">
        <f>_xll.qlCalendarAdvance(Calendar,SettlementDate,C15,"Following",,Trigger)</f>
        <v>42125</v>
      </c>
      <c r="J15" s="354">
        <f>_xll.qlDayCounterYearFraction(DayCounter,D15,E15,,,Trigger)</f>
        <v>2.7397260273972603E-3</v>
      </c>
      <c r="K15" s="347">
        <f>_xll.qlYieldTSDiscount(Discounting,D15,,AllTriggers)</f>
        <v>1</v>
      </c>
      <c r="L15" s="347">
        <f>_xll.qlYieldTSDiscount(Discounting,E15,,AllTriggers)</f>
        <v>0.99998746836962482</v>
      </c>
      <c r="M15" s="356">
        <f>(K15/L15-1)/J15</f>
        <v>4.5741024078949089E-3</v>
      </c>
      <c r="N15" s="357">
        <f t="shared" ref="N15:N24" si="6">((1+M15*J15)*EXP($W$13*J15)-1)/J15</f>
        <v>6.9984180312576694E-3</v>
      </c>
      <c r="O15" s="357">
        <f>((1+J15*M15)*EXP($W$10*J15+0.5*$W$9*J15^2)-1)/J15</f>
        <v>6.6328626604328367E-3</v>
      </c>
      <c r="P15" s="357">
        <f>((1+J15*M15)*EXP($W$5*J15+0.5*$W$4*J15^2+1/3*$W$3*J15^3)-1)/J15</f>
        <v>5.9793631507110145E-3</v>
      </c>
      <c r="Q15" s="170"/>
      <c r="AF15" s="188">
        <f>_xll.qlCalendarAdvance(Calendar,AF14,"1d","mf",,Trigger)</f>
        <v>42143</v>
      </c>
      <c r="AG15" s="210">
        <f>_xll.qlDayCounterYearFraction(DayCounter,SettlementDate,AF15,,,Trigger)</f>
        <v>5.2054794520547946E-2</v>
      </c>
      <c r="AH15" s="189">
        <f t="shared" si="0"/>
        <v>2.4242771918876489E-3</v>
      </c>
      <c r="AI15" s="189">
        <f t="shared" si="1"/>
        <v>2.1330434610195622E-3</v>
      </c>
      <c r="AJ15" s="161">
        <f t="shared" si="2"/>
        <v>1.7607816330402141E-3</v>
      </c>
    </row>
    <row r="16" spans="1:36" ht="12" customHeight="1" x14ac:dyDescent="0.2">
      <c r="C16" s="198" t="s">
        <v>42</v>
      </c>
      <c r="D16" s="159">
        <f>SettlementDate</f>
        <v>42124</v>
      </c>
      <c r="E16" s="196">
        <f>_xll.qlCalendarAdvance(Calendar,SettlementDate,C16,"Following",,Trigger)</f>
        <v>42131</v>
      </c>
      <c r="J16" s="210">
        <f>_xll.qlDayCounterYearFraction(DayCounter,D16,E16,,,Trigger)</f>
        <v>1.9178082191780823E-2</v>
      </c>
      <c r="K16" s="348">
        <f>_xll.qlYieldTSDiscount(Discounting,D16,,AllTriggers)</f>
        <v>1</v>
      </c>
      <c r="L16" s="348">
        <f>_xll.qlYieldTSDiscount(Discounting,E16,,AllTriggers)</f>
        <v>0.99991226797200383</v>
      </c>
      <c r="M16" s="181">
        <f t="shared" ref="M16:M24" si="7">(K16/L16-1)/J16</f>
        <v>4.574999976686739E-3</v>
      </c>
      <c r="N16" s="358">
        <f t="shared" si="6"/>
        <v>6.9995462357547956E-3</v>
      </c>
      <c r="O16" s="358">
        <f t="shared" ref="O16:O24" si="8">((1+J16*M16)*EXP($W$10*J16+0.5*$W$9*J16^2)-1)/J16</f>
        <v>6.6460024873863212E-3</v>
      </c>
      <c r="P16" s="358">
        <f t="shared" ref="P16:P24" si="9">((1+J16*M16)*EXP($W$5*J16+0.5*$W$4*J16^2+1/3*$W$3*J16^3)-1)/J16</f>
        <v>6.0413477748609357E-3</v>
      </c>
      <c r="Q16" s="170"/>
      <c r="AF16" s="188">
        <f>_xll.qlCalendarAdvance(Calendar,AF15,"1d","mf",,Trigger)</f>
        <v>42144</v>
      </c>
      <c r="AG16" s="210">
        <f>_xll.qlDayCounterYearFraction(DayCounter,SettlementDate,AF16,,,Trigger)</f>
        <v>5.4794520547945202E-2</v>
      </c>
      <c r="AH16" s="189">
        <f t="shared" si="0"/>
        <v>2.4242771918876489E-3</v>
      </c>
      <c r="AI16" s="189">
        <f t="shared" si="1"/>
        <v>2.1370604779970531E-3</v>
      </c>
      <c r="AJ16" s="161">
        <f t="shared" si="2"/>
        <v>1.778483851132604E-3</v>
      </c>
    </row>
    <row r="17" spans="3:36" ht="12" customHeight="1" x14ac:dyDescent="0.2">
      <c r="C17" s="198" t="s">
        <v>43</v>
      </c>
      <c r="D17" s="159">
        <f t="shared" si="5"/>
        <v>42124</v>
      </c>
      <c r="E17" s="196">
        <f>_xll.qlCalendarAdvance(Calendar,SettlementDate,C17,"Following",,Trigger)</f>
        <v>42138</v>
      </c>
      <c r="J17" s="210">
        <f>_xll.qlDayCounterYearFraction(DayCounter,D17,E17,,,Trigger)</f>
        <v>3.8356164383561646E-2</v>
      </c>
      <c r="K17" s="348">
        <f>_xll.qlYieldTSDiscount(Discounting,D17,,AllTriggers)</f>
        <v>1</v>
      </c>
      <c r="L17" s="348">
        <f>_xll.qlYieldTSDiscount(Discounting,E17,,AllTriggers)</f>
        <v>0.99982455133558079</v>
      </c>
      <c r="M17" s="181">
        <f t="shared" si="7"/>
        <v>4.5749999999991232E-3</v>
      </c>
      <c r="N17" s="358">
        <f t="shared" si="6"/>
        <v>6.9998153378832331E-3</v>
      </c>
      <c r="O17" s="358">
        <f t="shared" si="8"/>
        <v>6.6602884791732465E-3</v>
      </c>
      <c r="P17" s="358">
        <f t="shared" si="9"/>
        <v>6.1102728540572493E-3</v>
      </c>
      <c r="Q17" s="170"/>
      <c r="AF17" s="188">
        <f>_xll.qlCalendarAdvance(Calendar,AF16,"1d","mf",,Trigger)</f>
        <v>42145</v>
      </c>
      <c r="AG17" s="210">
        <f>_xll.qlDayCounterYearFraction(DayCounter,SettlementDate,AF17,,,Trigger)</f>
        <v>5.7534246575342465E-2</v>
      </c>
      <c r="AH17" s="189">
        <f t="shared" si="0"/>
        <v>2.4242771918876489E-3</v>
      </c>
      <c r="AI17" s="189">
        <f t="shared" si="1"/>
        <v>2.1410774949745439E-3</v>
      </c>
      <c r="AJ17" s="161">
        <f t="shared" si="2"/>
        <v>1.7960305948371701E-3</v>
      </c>
    </row>
    <row r="18" spans="3:36" ht="12" customHeight="1" x14ac:dyDescent="0.2">
      <c r="C18" s="198" t="s">
        <v>44</v>
      </c>
      <c r="D18" s="159">
        <f t="shared" si="5"/>
        <v>42124</v>
      </c>
      <c r="E18" s="196">
        <f>_xll.qlCalendarAdvance(Calendar,SettlementDate,C18,"Following",,Trigger)</f>
        <v>42145</v>
      </c>
      <c r="J18" s="210">
        <f>_xll.qlDayCounterYearFraction(DayCounter,D18,E18,,,Trigger)</f>
        <v>5.7534246575342465E-2</v>
      </c>
      <c r="K18" s="348">
        <f>_xll.qlYieldTSDiscount(Discounting,D18,,AllTriggers)</f>
        <v>1</v>
      </c>
      <c r="L18" s="348">
        <f>_xll.qlYieldTSDiscount(Discounting,E18,,AllTriggers)</f>
        <v>0.99973713888381299</v>
      </c>
      <c r="M18" s="181">
        <f t="shared" si="7"/>
        <v>4.5699778127179192E-3</v>
      </c>
      <c r="N18" s="358">
        <f t="shared" si="6"/>
        <v>6.9950615405169787E-3</v>
      </c>
      <c r="O18" s="358">
        <f t="shared" si="8"/>
        <v>6.6695552618036731E-3</v>
      </c>
      <c r="P18" s="358">
        <f t="shared" si="9"/>
        <v>6.1716512439955037E-3</v>
      </c>
      <c r="Q18" s="170"/>
      <c r="AF18" s="188">
        <f>_xll.qlCalendarAdvance(Calendar,AF17,"1d","mf",,Trigger)</f>
        <v>42146</v>
      </c>
      <c r="AG18" s="210">
        <f>_xll.qlDayCounterYearFraction(DayCounter,SettlementDate,AF18,,,Trigger)</f>
        <v>6.0273972602739728E-2</v>
      </c>
      <c r="AH18" s="189">
        <f t="shared" si="0"/>
        <v>2.4242771918876489E-3</v>
      </c>
      <c r="AI18" s="189">
        <f t="shared" si="1"/>
        <v>2.1450945119520348E-3</v>
      </c>
      <c r="AJ18" s="161">
        <f t="shared" si="2"/>
        <v>1.8134218641539122E-3</v>
      </c>
    </row>
    <row r="19" spans="3:36" ht="12" customHeight="1" x14ac:dyDescent="0.2">
      <c r="C19" s="198" t="s">
        <v>38</v>
      </c>
      <c r="D19" s="159">
        <f t="shared" si="5"/>
        <v>42124</v>
      </c>
      <c r="E19" s="196">
        <f>_xll.qlCalendarAdvance(Calendar,SettlementDate,C19,"mf",TRUE,Trigger)</f>
        <v>42153</v>
      </c>
      <c r="J19" s="210">
        <f>_xll.qlDayCounterYearFraction(DayCounter,D19,E19,,,Trigger)</f>
        <v>7.9452054794520555E-2</v>
      </c>
      <c r="K19" s="348">
        <f>_xll.qlYieldTSDiscount(Discounting,D19,,AllTriggers)</f>
        <v>1</v>
      </c>
      <c r="L19" s="348">
        <f>_xll.qlYieldTSDiscount(Discounting,E19,,AllTriggers)</f>
        <v>0.99963763135863237</v>
      </c>
      <c r="M19" s="181">
        <f t="shared" si="7"/>
        <v>4.5625000000005453E-3</v>
      </c>
      <c r="N19" s="358">
        <f t="shared" si="6"/>
        <v>6.987889566626858E-3</v>
      </c>
      <c r="O19" s="358">
        <f t="shared" si="8"/>
        <v>6.678411332386427E-3</v>
      </c>
      <c r="P19" s="358">
        <f t="shared" si="9"/>
        <v>6.2369676438894595E-3</v>
      </c>
      <c r="Q19" s="170"/>
      <c r="AF19" s="188">
        <f>_xll.qlCalendarAdvance(Calendar,AF18,"1d","mf",,Trigger)</f>
        <v>42150</v>
      </c>
      <c r="AG19" s="210">
        <f>_xll.qlDayCounterYearFraction(DayCounter,SettlementDate,AF19,,,Trigger)</f>
        <v>7.1232876712328766E-2</v>
      </c>
      <c r="AH19" s="189">
        <f t="shared" si="0"/>
        <v>2.4242771918876489E-3</v>
      </c>
      <c r="AI19" s="189">
        <f t="shared" si="1"/>
        <v>2.1611625798619977E-3</v>
      </c>
      <c r="AJ19" s="161">
        <f t="shared" si="2"/>
        <v>1.8814321975426419E-3</v>
      </c>
    </row>
    <row r="20" spans="3:36" ht="12" customHeight="1" x14ac:dyDescent="0.2">
      <c r="C20" s="198" t="s">
        <v>45</v>
      </c>
      <c r="D20" s="159">
        <f t="shared" si="5"/>
        <v>42124</v>
      </c>
      <c r="E20" s="196">
        <f>_xll.qlCalendarAdvance(Calendar,SettlementDate,C20,"mf",TRUE,Trigger)</f>
        <v>42185</v>
      </c>
      <c r="J20" s="210">
        <f>_xll.qlDayCounterYearFraction(DayCounter,D20,E20,,,Trigger)</f>
        <v>0.16712328767123288</v>
      </c>
      <c r="K20" s="348">
        <f>_xll.qlYieldTSDiscount(Discounting,D20,,AllTriggers)</f>
        <v>1</v>
      </c>
      <c r="L20" s="348">
        <f>_xll.qlYieldTSDiscount(Discounting,E20,,AllTriggers)</f>
        <v>0.9992422526985788</v>
      </c>
      <c r="M20" s="181">
        <f t="shared" si="7"/>
        <v>4.5374999999987032E-3</v>
      </c>
      <c r="N20" s="358">
        <f t="shared" si="6"/>
        <v>6.96410711500999E-3</v>
      </c>
      <c r="O20" s="358">
        <f t="shared" si="8"/>
        <v>6.7187889114343046E-3</v>
      </c>
      <c r="P20" s="358">
        <f t="shared" si="9"/>
        <v>6.4701413919893416E-3</v>
      </c>
      <c r="Q20" s="170"/>
      <c r="AF20" s="188">
        <f>_xll.qlCalendarAdvance(Calendar,AF19,"1d","mf",,Trigger)</f>
        <v>42151</v>
      </c>
      <c r="AG20" s="210">
        <f>_xll.qlDayCounterYearFraction(DayCounter,SettlementDate,AF20,,,Trigger)</f>
        <v>7.3972602739726029E-2</v>
      </c>
      <c r="AH20" s="189">
        <f t="shared" si="0"/>
        <v>2.4242771918876489E-3</v>
      </c>
      <c r="AI20" s="189">
        <f t="shared" si="1"/>
        <v>2.1651795968394886E-3</v>
      </c>
      <c r="AJ20" s="161">
        <f t="shared" si="2"/>
        <v>1.8980460949202646E-3</v>
      </c>
    </row>
    <row r="21" spans="3:36" ht="12" customHeight="1" x14ac:dyDescent="0.2">
      <c r="C21" s="198" t="s">
        <v>39</v>
      </c>
      <c r="D21" s="159">
        <f t="shared" si="5"/>
        <v>42124</v>
      </c>
      <c r="E21" s="196">
        <f>_xll.qlCalendarAdvance(Calendar,SettlementDate,C21,"mf",TRUE,Trigger)</f>
        <v>42216</v>
      </c>
      <c r="J21" s="210">
        <f>_xll.qlDayCounterYearFraction(DayCounter,D21,E21,,,Trigger)</f>
        <v>0.25205479452054796</v>
      </c>
      <c r="K21" s="348">
        <f>_xll.qlYieldTSDiscount(Discounting,D21,,AllTriggers)</f>
        <v>1</v>
      </c>
      <c r="L21" s="348">
        <f>_xll.qlYieldTSDiscount(Discounting,E21,,AllTriggers)</f>
        <v>0.99886075142329978</v>
      </c>
      <c r="M21" s="181">
        <f t="shared" si="7"/>
        <v>4.5249999964968781E-3</v>
      </c>
      <c r="N21" s="358">
        <f t="shared" si="6"/>
        <v>6.952783866714927E-3</v>
      </c>
      <c r="O21" s="358">
        <f t="shared" si="8"/>
        <v>6.7696935029628903E-3</v>
      </c>
      <c r="P21" s="358">
        <f t="shared" si="9"/>
        <v>6.6573401606192587E-3</v>
      </c>
      <c r="Q21" s="170"/>
      <c r="AF21" s="188">
        <f>_xll.qlCalendarAdvance(Calendar,AF20,"1d","mf",,Trigger)</f>
        <v>42152</v>
      </c>
      <c r="AG21" s="210">
        <f>_xll.qlDayCounterYearFraction(DayCounter,SettlementDate,AF21,,,Trigger)</f>
        <v>7.6712328767123292E-2</v>
      </c>
      <c r="AH21" s="189">
        <f t="shared" si="0"/>
        <v>2.4242771918876489E-3</v>
      </c>
      <c r="AI21" s="189">
        <f t="shared" si="1"/>
        <v>2.1691966138169794E-3</v>
      </c>
      <c r="AJ21" s="161">
        <f t="shared" si="2"/>
        <v>1.9145045179100634E-3</v>
      </c>
    </row>
    <row r="22" spans="3:36" ht="12" customHeight="1" x14ac:dyDescent="0.2">
      <c r="C22" s="198" t="s">
        <v>46</v>
      </c>
      <c r="D22" s="159">
        <f t="shared" si="5"/>
        <v>42124</v>
      </c>
      <c r="E22" s="196">
        <f>_xll.qlCalendarAdvance(Calendar,SettlementDate,C22,"mf",TRUE,Trigger)</f>
        <v>42244</v>
      </c>
      <c r="J22" s="210">
        <f>_xll.qlDayCounterYearFraction(DayCounter,D22,E22,,,Trigger)</f>
        <v>0.32876712328767121</v>
      </c>
      <c r="K22" s="348">
        <f>_xll.qlYieldTSDiscount(Discounting,D22,,AllTriggers)</f>
        <v>1</v>
      </c>
      <c r="L22" s="348">
        <f>_xll.qlYieldTSDiscount(Discounting,E22,,AllTriggers)</f>
        <v>0.99851453864524942</v>
      </c>
      <c r="M22" s="181">
        <f t="shared" si="7"/>
        <v>4.5249999999963748E-3</v>
      </c>
      <c r="N22" s="358">
        <f t="shared" si="6"/>
        <v>6.9538515155686178E-3</v>
      </c>
      <c r="O22" s="358">
        <f t="shared" si="8"/>
        <v>6.8270288323648105E-3</v>
      </c>
      <c r="P22" s="358">
        <f t="shared" si="9"/>
        <v>6.7950150931019582E-3</v>
      </c>
      <c r="Q22" s="170"/>
      <c r="AF22" s="188">
        <f>_xll.qlCalendarAdvance(Calendar,AF21,"1d","mf",,Trigger)</f>
        <v>42153</v>
      </c>
      <c r="AG22" s="210">
        <f>_xll.qlDayCounterYearFraction(DayCounter,SettlementDate,AF22,,,Trigger)</f>
        <v>7.9452054794520555E-2</v>
      </c>
      <c r="AH22" s="189">
        <f t="shared" si="0"/>
        <v>2.4242771918876489E-3</v>
      </c>
      <c r="AI22" s="189">
        <f t="shared" si="1"/>
        <v>2.1732136307944703E-3</v>
      </c>
      <c r="AJ22" s="161">
        <f t="shared" si="2"/>
        <v>1.9308074665120381E-3</v>
      </c>
    </row>
    <row r="23" spans="3:36" ht="12" customHeight="1" x14ac:dyDescent="0.2">
      <c r="C23" s="198" t="s">
        <v>47</v>
      </c>
      <c r="D23" s="159">
        <f t="shared" si="5"/>
        <v>42124</v>
      </c>
      <c r="E23" s="196">
        <f>_xll.qlCalendarAdvance(Calendar,SettlementDate,C23,"mf",TRUE,Trigger)</f>
        <v>42277</v>
      </c>
      <c r="J23" s="210">
        <f>_xll.qlDayCounterYearFraction(DayCounter,D23,E23,,,Trigger)</f>
        <v>0.41917808219178082</v>
      </c>
      <c r="K23" s="348">
        <f>_xll.qlYieldTSDiscount(Discounting,D23,,AllTriggers)</f>
        <v>1</v>
      </c>
      <c r="L23" s="348">
        <f>_xll.qlYieldTSDiscount(Discounting,E23,,AllTriggers)</f>
        <v>0.99810159026638001</v>
      </c>
      <c r="M23" s="181">
        <f t="shared" si="7"/>
        <v>4.5374999999914963E-3</v>
      </c>
      <c r="N23" s="358">
        <f t="shared" si="6"/>
        <v>6.9676227578537933E-3</v>
      </c>
      <c r="O23" s="358">
        <f t="shared" si="8"/>
        <v>6.9071922803609917E-3</v>
      </c>
      <c r="P23" s="358">
        <f t="shared" si="9"/>
        <v>6.9176652348595389E-3</v>
      </c>
      <c r="Q23" s="170"/>
      <c r="AF23" s="188">
        <f>_xll.qlCalendarAdvance(Calendar,AF22,"1d","mf",,Trigger)</f>
        <v>42156</v>
      </c>
      <c r="AG23" s="210">
        <f>_xll.qlDayCounterYearFraction(DayCounter,SettlementDate,AF23,,,Trigger)</f>
        <v>8.7671232876712329E-2</v>
      </c>
      <c r="AH23" s="189">
        <f t="shared" si="0"/>
        <v>2.4242771918876489E-3</v>
      </c>
      <c r="AI23" s="189">
        <f t="shared" si="1"/>
        <v>2.1852646817269428E-3</v>
      </c>
      <c r="AJ23" s="161">
        <f t="shared" si="2"/>
        <v>1.9787834659910192E-3</v>
      </c>
    </row>
    <row r="24" spans="3:36" ht="12" customHeight="1" thickBot="1" x14ac:dyDescent="0.25">
      <c r="C24" s="199" t="s">
        <v>40</v>
      </c>
      <c r="D24" s="163">
        <f t="shared" si="5"/>
        <v>42124</v>
      </c>
      <c r="E24" s="197">
        <f>_xll.qlCalendarAdvance(Calendar,SettlementDate,C24,"mf",TRUE,Trigger)</f>
        <v>42307</v>
      </c>
      <c r="J24" s="211">
        <f>_xll.qlDayCounterYearFraction(DayCounter,D24,E24,,,Trigger)</f>
        <v>0.50136986301369868</v>
      </c>
      <c r="K24" s="349">
        <f>_xll.qlYieldTSDiscount(Discounting,D24,,AllTriggers)</f>
        <v>1</v>
      </c>
      <c r="L24" s="349">
        <f>_xll.qlYieldTSDiscount(Discounting,E24,,AllTriggers)</f>
        <v>0.99771772071387299</v>
      </c>
      <c r="M24" s="182">
        <f t="shared" si="7"/>
        <v>4.5624999999880379E-3</v>
      </c>
      <c r="N24" s="370">
        <f t="shared" si="6"/>
        <v>6.9938000000000344E-3</v>
      </c>
      <c r="O24" s="370">
        <f t="shared" si="8"/>
        <v>6.9938000000000344E-3</v>
      </c>
      <c r="P24" s="370">
        <f t="shared" si="9"/>
        <v>6.9938000000000344E-3</v>
      </c>
      <c r="AF24" s="188">
        <f>_xll.qlCalendarAdvance(Calendar,AF23,"1d","mf",,Trigger)</f>
        <v>42157</v>
      </c>
      <c r="AG24" s="210">
        <f>_xll.qlDayCounterYearFraction(DayCounter,SettlementDate,AF24,,,Trigger)</f>
        <v>9.0410958904109592E-2</v>
      </c>
      <c r="AH24" s="189">
        <f t="shared" si="0"/>
        <v>2.4242771918876489E-3</v>
      </c>
      <c r="AI24" s="189">
        <f t="shared" si="1"/>
        <v>2.1892816987044337E-3</v>
      </c>
      <c r="AJ24" s="161">
        <f t="shared" si="2"/>
        <v>1.9944645170416986E-3</v>
      </c>
    </row>
    <row r="25" spans="3:36" ht="12" customHeight="1" thickBot="1" x14ac:dyDescent="0.25">
      <c r="AF25" s="188">
        <f>_xll.qlCalendarAdvance(Calendar,AF24,"1d","mf",,Trigger)</f>
        <v>42158</v>
      </c>
      <c r="AG25" s="210">
        <f>_xll.qlDayCounterYearFraction(DayCounter,SettlementDate,AF25,,,Trigger)</f>
        <v>9.3150684931506855E-2</v>
      </c>
      <c r="AH25" s="189">
        <f t="shared" si="0"/>
        <v>2.4242771918876489E-3</v>
      </c>
      <c r="AI25" s="189">
        <f t="shared" si="1"/>
        <v>2.1932987156819245E-3</v>
      </c>
      <c r="AJ25" s="161">
        <f t="shared" si="2"/>
        <v>2.0099900937045538E-3</v>
      </c>
    </row>
    <row r="26" spans="3:36" ht="12" customHeight="1" x14ac:dyDescent="0.2">
      <c r="C26" s="212" t="s">
        <v>118</v>
      </c>
      <c r="AF26" s="188">
        <f>_xll.qlCalendarAdvance(Calendar,AF25,"1d","mf",,Trigger)</f>
        <v>42159</v>
      </c>
      <c r="AG26" s="210">
        <f>_xll.qlDayCounterYearFraction(DayCounter,SettlementDate,AF26,,,Trigger)</f>
        <v>9.5890410958904104E-2</v>
      </c>
      <c r="AH26" s="189">
        <f t="shared" si="0"/>
        <v>2.4242771918876489E-3</v>
      </c>
      <c r="AI26" s="189">
        <f t="shared" si="1"/>
        <v>2.1973157326594154E-3</v>
      </c>
      <c r="AJ26" s="161">
        <f t="shared" si="2"/>
        <v>2.0253601959795853E-3</v>
      </c>
    </row>
    <row r="27" spans="3:36" ht="12" customHeight="1" x14ac:dyDescent="0.2">
      <c r="C27" s="215" t="s">
        <v>103</v>
      </c>
      <c r="AF27" s="188">
        <f>_xll.qlCalendarAdvance(Calendar,AF26,"1d","mf",,Trigger)</f>
        <v>42160</v>
      </c>
      <c r="AG27" s="210">
        <f>_xll.qlDayCounterYearFraction(DayCounter,SettlementDate,AF27,,,Trigger)</f>
        <v>9.8630136986301367E-2</v>
      </c>
      <c r="AH27" s="189">
        <f t="shared" si="0"/>
        <v>2.4242771918876489E-3</v>
      </c>
      <c r="AI27" s="189">
        <f t="shared" si="1"/>
        <v>2.2013327496369062E-3</v>
      </c>
      <c r="AJ27" s="161">
        <f t="shared" si="2"/>
        <v>2.0405748238667928E-3</v>
      </c>
    </row>
    <row r="28" spans="3:36" ht="12" customHeight="1" x14ac:dyDescent="0.2">
      <c r="C28" s="189">
        <f t="shared" ref="C28:C37" si="10">IF($C$27="FLAT",N15,IF($C$27="linear",O15,P15))</f>
        <v>5.9793631507110145E-3</v>
      </c>
      <c r="AF28" s="188">
        <f>_xll.qlCalendarAdvance(Calendar,AF27,"1d","mf",,Trigger)</f>
        <v>42163</v>
      </c>
      <c r="AG28" s="210">
        <f>_xll.qlDayCounterYearFraction(DayCounter,SettlementDate,AF28,,,Trigger)</f>
        <v>0.10684931506849316</v>
      </c>
      <c r="AH28" s="189">
        <f t="shared" si="0"/>
        <v>2.4242771918876489E-3</v>
      </c>
      <c r="AI28" s="189">
        <f t="shared" si="1"/>
        <v>2.2133838005693788E-3</v>
      </c>
      <c r="AJ28" s="161">
        <f t="shared" si="2"/>
        <v>2.0852858612014726E-3</v>
      </c>
    </row>
    <row r="29" spans="3:36" ht="12" customHeight="1" x14ac:dyDescent="0.2">
      <c r="C29" s="189">
        <f t="shared" si="10"/>
        <v>6.0413477748609357E-3</v>
      </c>
      <c r="AF29" s="188">
        <f>_xll.qlCalendarAdvance(Calendar,AF28,"1d","mf",,Trigger)</f>
        <v>42164</v>
      </c>
      <c r="AG29" s="210">
        <f>_xll.qlDayCounterYearFraction(DayCounter,SettlementDate,AF29,,,Trigger)</f>
        <v>0.1095890410958904</v>
      </c>
      <c r="AH29" s="189">
        <f t="shared" si="0"/>
        <v>2.4242771918876489E-3</v>
      </c>
      <c r="AI29" s="189">
        <f t="shared" si="1"/>
        <v>2.2174008175468696E-3</v>
      </c>
      <c r="AJ29" s="161">
        <f t="shared" si="2"/>
        <v>2.0998785915373845E-3</v>
      </c>
    </row>
    <row r="30" spans="3:36" ht="12" customHeight="1" x14ac:dyDescent="0.2">
      <c r="C30" s="189">
        <f t="shared" si="10"/>
        <v>6.1102728540572493E-3</v>
      </c>
      <c r="AF30" s="188">
        <f>_xll.qlCalendarAdvance(Calendar,AF29,"1d","mf",,Trigger)</f>
        <v>42165</v>
      </c>
      <c r="AG30" s="210">
        <f>_xll.qlDayCounterYearFraction(DayCounter,SettlementDate,AF30,,,Trigger)</f>
        <v>0.11232876712328767</v>
      </c>
      <c r="AH30" s="189">
        <f t="shared" si="0"/>
        <v>2.4242771918876489E-3</v>
      </c>
      <c r="AI30" s="189">
        <f t="shared" si="1"/>
        <v>2.2214178345243605E-3</v>
      </c>
      <c r="AJ30" s="161">
        <f t="shared" si="2"/>
        <v>2.1143158474854727E-3</v>
      </c>
    </row>
    <row r="31" spans="3:36" ht="12" customHeight="1" x14ac:dyDescent="0.2">
      <c r="C31" s="189">
        <f t="shared" si="10"/>
        <v>6.1716512439955037E-3</v>
      </c>
      <c r="AF31" s="188">
        <f>_xll.qlCalendarAdvance(Calendar,AF30,"1d","mf",,Trigger)</f>
        <v>42166</v>
      </c>
      <c r="AG31" s="210">
        <f>_xll.qlDayCounterYearFraction(DayCounter,SettlementDate,AF31,,,Trigger)</f>
        <v>0.11506849315068493</v>
      </c>
      <c r="AH31" s="189">
        <f t="shared" si="0"/>
        <v>2.4242771918876489E-3</v>
      </c>
      <c r="AI31" s="189">
        <f t="shared" si="1"/>
        <v>2.2254348515018513E-3</v>
      </c>
      <c r="AJ31" s="161">
        <f t="shared" si="2"/>
        <v>2.1285976290457368E-3</v>
      </c>
    </row>
    <row r="32" spans="3:36" ht="12" customHeight="1" x14ac:dyDescent="0.2">
      <c r="C32" s="189">
        <f t="shared" si="10"/>
        <v>6.2369676438894595E-3</v>
      </c>
      <c r="AF32" s="188">
        <f>_xll.qlCalendarAdvance(Calendar,AF31,"1d","mf",,Trigger)</f>
        <v>42167</v>
      </c>
      <c r="AG32" s="210">
        <f>_xll.qlDayCounterYearFraction(DayCounter,SettlementDate,AF32,,,Trigger)</f>
        <v>0.11780821917808219</v>
      </c>
      <c r="AH32" s="189">
        <f t="shared" si="0"/>
        <v>2.4242771918876489E-3</v>
      </c>
      <c r="AI32" s="189">
        <f t="shared" si="1"/>
        <v>2.2294518684793422E-3</v>
      </c>
      <c r="AJ32" s="161">
        <f t="shared" si="2"/>
        <v>2.1427239362181772E-3</v>
      </c>
    </row>
    <row r="33" spans="3:36" ht="12" customHeight="1" x14ac:dyDescent="0.2">
      <c r="C33" s="189">
        <f t="shared" si="10"/>
        <v>6.4701413919893416E-3</v>
      </c>
      <c r="AF33" s="188">
        <f>_xll.qlCalendarAdvance(Calendar,AF32,"1d","mf",,Trigger)</f>
        <v>42170</v>
      </c>
      <c r="AG33" s="210">
        <f>_xll.qlDayCounterYearFraction(DayCounter,SettlementDate,AF33,,,Trigger)</f>
        <v>0.12602739726027398</v>
      </c>
      <c r="AH33" s="189">
        <f t="shared" si="0"/>
        <v>2.4242771918876489E-3</v>
      </c>
      <c r="AI33" s="189">
        <f t="shared" si="1"/>
        <v>2.2415029194118147E-3</v>
      </c>
      <c r="AJ33" s="161">
        <f t="shared" si="2"/>
        <v>2.1841700114085551E-3</v>
      </c>
    </row>
    <row r="34" spans="3:36" ht="12" customHeight="1" x14ac:dyDescent="0.2">
      <c r="C34" s="189">
        <f t="shared" si="10"/>
        <v>6.6573401606192587E-3</v>
      </c>
      <c r="AF34" s="188">
        <f>_xll.qlCalendarAdvance(Calendar,AF33,"1d","mf",,Trigger)</f>
        <v>42171</v>
      </c>
      <c r="AG34" s="210">
        <f>_xll.qlDayCounterYearFraction(DayCounter,SettlementDate,AF34,,,Trigger)</f>
        <v>0.12876712328767123</v>
      </c>
      <c r="AH34" s="189">
        <f t="shared" si="0"/>
        <v>2.4242771918876489E-3</v>
      </c>
      <c r="AI34" s="189">
        <f t="shared" si="1"/>
        <v>2.2455199363893056E-3</v>
      </c>
      <c r="AJ34" s="161">
        <f t="shared" si="2"/>
        <v>2.1976744210296995E-3</v>
      </c>
    </row>
    <row r="35" spans="3:36" ht="12" customHeight="1" x14ac:dyDescent="0.2">
      <c r="C35" s="189">
        <f t="shared" si="10"/>
        <v>6.7950150931019582E-3</v>
      </c>
      <c r="AF35" s="188">
        <f>_xll.qlCalendarAdvance(Calendar,AF34,"1d","mf",,Trigger)</f>
        <v>42172</v>
      </c>
      <c r="AG35" s="210">
        <f>_xll.qlDayCounterYearFraction(DayCounter,SettlementDate,AF35,,,Trigger)</f>
        <v>0.13150684931506848</v>
      </c>
      <c r="AH35" s="189">
        <f t="shared" ref="AH35:AH66" si="11">$W$13</f>
        <v>2.4242771918876489E-3</v>
      </c>
      <c r="AI35" s="189">
        <f t="shared" ref="AI35:AI66" si="12">$W$10+$W$9*AG35</f>
        <v>2.2495369533667964E-3</v>
      </c>
      <c r="AJ35" s="161">
        <f t="shared" ref="AJ35:AJ66" si="13">($W$5+$W$4*AG35+$W$3*AG35^2)</f>
        <v>2.2110233562630203E-3</v>
      </c>
    </row>
    <row r="36" spans="3:36" ht="12" customHeight="1" x14ac:dyDescent="0.2">
      <c r="C36" s="189">
        <f t="shared" si="10"/>
        <v>6.9176652348595389E-3</v>
      </c>
      <c r="AF36" s="188">
        <f>_xll.qlCalendarAdvance(Calendar,AF35,"1d","mf",,Trigger)</f>
        <v>42173</v>
      </c>
      <c r="AG36" s="210">
        <f>_xll.qlDayCounterYearFraction(DayCounter,SettlementDate,AF36,,,Trigger)</f>
        <v>0.13424657534246576</v>
      </c>
      <c r="AH36" s="189">
        <f t="shared" si="11"/>
        <v>2.4242771918876489E-3</v>
      </c>
      <c r="AI36" s="189">
        <f t="shared" si="12"/>
        <v>2.2535539703442873E-3</v>
      </c>
      <c r="AJ36" s="161">
        <f t="shared" si="13"/>
        <v>2.2242168171085173E-3</v>
      </c>
    </row>
    <row r="37" spans="3:36" ht="12" customHeight="1" thickBot="1" x14ac:dyDescent="0.25">
      <c r="C37" s="191">
        <f t="shared" si="10"/>
        <v>6.9938000000000344E-3</v>
      </c>
      <c r="AF37" s="188">
        <f>_xll.qlCalendarAdvance(Calendar,AF36,"1d","mf",,Trigger)</f>
        <v>42174</v>
      </c>
      <c r="AG37" s="210">
        <f>_xll.qlDayCounterYearFraction(DayCounter,SettlementDate,AF37,,,Trigger)</f>
        <v>0.13698630136986301</v>
      </c>
      <c r="AH37" s="189">
        <f t="shared" si="11"/>
        <v>2.4242771918876489E-3</v>
      </c>
      <c r="AI37" s="189">
        <f t="shared" si="12"/>
        <v>2.2575709873217781E-3</v>
      </c>
      <c r="AJ37" s="161">
        <f t="shared" si="13"/>
        <v>2.2372548035661903E-3</v>
      </c>
    </row>
    <row r="38" spans="3:36" x14ac:dyDescent="0.2">
      <c r="AF38" s="188">
        <f>_xll.qlCalendarAdvance(Calendar,AF37,"1d","mf",,Trigger)</f>
        <v>42177</v>
      </c>
      <c r="AG38" s="210">
        <f>_xll.qlDayCounterYearFraction(DayCounter,SettlementDate,AF38,,,Trigger)</f>
        <v>0.14520547945205478</v>
      </c>
      <c r="AH38" s="189">
        <f t="shared" si="11"/>
        <v>2.4242771918876489E-3</v>
      </c>
      <c r="AI38" s="189">
        <f t="shared" si="12"/>
        <v>2.2696220382542507E-3</v>
      </c>
      <c r="AJ38" s="161">
        <f t="shared" si="13"/>
        <v>2.2754359166122663E-3</v>
      </c>
    </row>
    <row r="39" spans="3:36" x14ac:dyDescent="0.2">
      <c r="AF39" s="188">
        <f>_xll.qlCalendarAdvance(Calendar,AF38,"1d","mf",,Trigger)</f>
        <v>42178</v>
      </c>
      <c r="AG39" s="210">
        <f>_xll.qlDayCounterYearFraction(DayCounter,SettlementDate,AF39,,,Trigger)</f>
        <v>0.14794520547945206</v>
      </c>
      <c r="AH39" s="189">
        <f t="shared" si="11"/>
        <v>2.4242771918876489E-3</v>
      </c>
      <c r="AI39" s="189">
        <f t="shared" si="12"/>
        <v>2.2736390552317415E-3</v>
      </c>
      <c r="AJ39" s="161">
        <f t="shared" si="13"/>
        <v>2.2878520055186436E-3</v>
      </c>
    </row>
    <row r="40" spans="3:36" x14ac:dyDescent="0.2">
      <c r="AF40" s="188">
        <f>_xll.qlCalendarAdvance(Calendar,AF39,"1d","mf",,Trigger)</f>
        <v>42179</v>
      </c>
      <c r="AG40" s="210">
        <f>_xll.qlDayCounterYearFraction(DayCounter,SettlementDate,AF40,,,Trigger)</f>
        <v>0.15068493150684931</v>
      </c>
      <c r="AH40" s="189">
        <f t="shared" si="11"/>
        <v>2.4242771918876489E-3</v>
      </c>
      <c r="AI40" s="189">
        <f t="shared" si="12"/>
        <v>2.2776560722092324E-3</v>
      </c>
      <c r="AJ40" s="161">
        <f t="shared" si="13"/>
        <v>2.3001126200371969E-3</v>
      </c>
    </row>
    <row r="41" spans="3:36" x14ac:dyDescent="0.2">
      <c r="N41" s="170"/>
      <c r="O41" s="170"/>
      <c r="AF41" s="188">
        <f>_xll.qlCalendarAdvance(Calendar,AF40,"1d","mf",,Trigger)</f>
        <v>42180</v>
      </c>
      <c r="AG41" s="210">
        <f>_xll.qlDayCounterYearFraction(DayCounter,SettlementDate,AF41,,,Trigger)</f>
        <v>0.15342465753424658</v>
      </c>
      <c r="AH41" s="189">
        <f t="shared" si="11"/>
        <v>2.4242771918876489E-3</v>
      </c>
      <c r="AI41" s="189">
        <f t="shared" si="12"/>
        <v>2.2816730891867232E-3</v>
      </c>
      <c r="AJ41" s="161">
        <f t="shared" si="13"/>
        <v>2.3122177601679265E-3</v>
      </c>
    </row>
    <row r="42" spans="3:36" x14ac:dyDescent="0.2">
      <c r="AF42" s="188">
        <f>_xll.qlCalendarAdvance(Calendar,AF41,"1d","mf",,Trigger)</f>
        <v>42181</v>
      </c>
      <c r="AG42" s="210">
        <f>_xll.qlDayCounterYearFraction(DayCounter,SettlementDate,AF42,,,Trigger)</f>
        <v>0.15616438356164383</v>
      </c>
      <c r="AH42" s="189">
        <f t="shared" si="11"/>
        <v>2.4242771918876489E-3</v>
      </c>
      <c r="AI42" s="189">
        <f t="shared" si="12"/>
        <v>2.2856901061642141E-3</v>
      </c>
      <c r="AJ42" s="161">
        <f t="shared" si="13"/>
        <v>2.3241674259108325E-3</v>
      </c>
    </row>
    <row r="43" spans="3:36" ht="11.25" customHeight="1" x14ac:dyDescent="0.2">
      <c r="AF43" s="188">
        <f>_xll.qlCalendarAdvance(Calendar,AF42,"1d","mf",,Trigger)</f>
        <v>42184</v>
      </c>
      <c r="AG43" s="210">
        <f>_xll.qlDayCounterYearFraction(DayCounter,SettlementDate,AF43,,,Trigger)</f>
        <v>0.16438356164383561</v>
      </c>
      <c r="AH43" s="189">
        <f t="shared" si="11"/>
        <v>2.4242771918876489E-3</v>
      </c>
      <c r="AI43" s="189">
        <f t="shared" si="12"/>
        <v>2.2977411570966866E-3</v>
      </c>
      <c r="AJ43" s="161">
        <f t="shared" si="13"/>
        <v>2.359083576812606E-3</v>
      </c>
    </row>
    <row r="44" spans="3:36" x14ac:dyDescent="0.2">
      <c r="AF44" s="188">
        <f>_xll.qlCalendarAdvance(Calendar,AF43,"1d","mf",,Trigger)</f>
        <v>42185</v>
      </c>
      <c r="AG44" s="210">
        <f>_xll.qlDayCounterYearFraction(DayCounter,SettlementDate,AF44,,,Trigger)</f>
        <v>0.16712328767123288</v>
      </c>
      <c r="AH44" s="189">
        <f t="shared" si="11"/>
        <v>2.4242771918876489E-3</v>
      </c>
      <c r="AI44" s="189">
        <f t="shared" si="12"/>
        <v>2.3017581740741775E-3</v>
      </c>
      <c r="AJ44" s="161">
        <f t="shared" si="13"/>
        <v>2.370411345004216E-3</v>
      </c>
    </row>
    <row r="45" spans="3:36" x14ac:dyDescent="0.2">
      <c r="AF45" s="188">
        <f>_xll.qlCalendarAdvance(Calendar,AF44,"1d","mf",,Trigger)</f>
        <v>42186</v>
      </c>
      <c r="AG45" s="210">
        <f>_xll.qlDayCounterYearFraction(DayCounter,SettlementDate,AF45,,,Trigger)</f>
        <v>0.16986301369863013</v>
      </c>
      <c r="AH45" s="189">
        <f t="shared" si="11"/>
        <v>2.4242771918876489E-3</v>
      </c>
      <c r="AI45" s="189">
        <f t="shared" si="12"/>
        <v>2.3057751910516683E-3</v>
      </c>
      <c r="AJ45" s="161">
        <f t="shared" si="13"/>
        <v>2.3815836388080022E-3</v>
      </c>
    </row>
    <row r="46" spans="3:36" x14ac:dyDescent="0.2">
      <c r="AF46" s="188">
        <f>_xll.qlCalendarAdvance(Calendar,AF45,"1d","mf",,Trigger)</f>
        <v>42187</v>
      </c>
      <c r="AG46" s="210">
        <f>_xll.qlDayCounterYearFraction(DayCounter,SettlementDate,AF46,,,Trigger)</f>
        <v>0.17260273972602741</v>
      </c>
      <c r="AH46" s="189">
        <f t="shared" si="11"/>
        <v>2.4242771918876489E-3</v>
      </c>
      <c r="AI46" s="189">
        <f t="shared" si="12"/>
        <v>2.3097922080291592E-3</v>
      </c>
      <c r="AJ46" s="161">
        <f t="shared" si="13"/>
        <v>2.3926004582239648E-3</v>
      </c>
    </row>
    <row r="47" spans="3:36" x14ac:dyDescent="0.2">
      <c r="AF47" s="188">
        <f>_xll.qlCalendarAdvance(Calendar,AF46,"1d","mf",,Trigger)</f>
        <v>42188</v>
      </c>
      <c r="AG47" s="210">
        <f>_xll.qlDayCounterYearFraction(DayCounter,SettlementDate,AF47,,,Trigger)</f>
        <v>0.17534246575342466</v>
      </c>
      <c r="AH47" s="189">
        <f t="shared" si="11"/>
        <v>2.4242771918876489E-3</v>
      </c>
      <c r="AI47" s="189">
        <f t="shared" si="12"/>
        <v>2.31380922500665E-3</v>
      </c>
      <c r="AJ47" s="161">
        <f t="shared" si="13"/>
        <v>2.4034618032521033E-3</v>
      </c>
    </row>
    <row r="48" spans="3:36" x14ac:dyDescent="0.2">
      <c r="AF48" s="188">
        <f>_xll.qlCalendarAdvance(Calendar,AF47,"1d","mf",,Trigger)</f>
        <v>42191</v>
      </c>
      <c r="AG48" s="210">
        <f>_xll.qlDayCounterYearFraction(DayCounter,SettlementDate,AF48,,,Trigger)</f>
        <v>0.18356164383561643</v>
      </c>
      <c r="AH48" s="189">
        <f t="shared" si="11"/>
        <v>2.4242771918876489E-3</v>
      </c>
      <c r="AI48" s="189">
        <f t="shared" si="12"/>
        <v>2.3258602759391222E-3</v>
      </c>
      <c r="AJ48" s="161">
        <f t="shared" si="13"/>
        <v>2.4351129920095749E-3</v>
      </c>
    </row>
    <row r="49" spans="14:36" x14ac:dyDescent="0.2">
      <c r="AF49" s="188">
        <f>_xll.qlCalendarAdvance(Calendar,AF48,"1d","mf",,Trigger)</f>
        <v>42192</v>
      </c>
      <c r="AG49" s="210">
        <f>_xll.qlDayCounterYearFraction(DayCounter,SettlementDate,AF49,,,Trigger)</f>
        <v>0.18630136986301371</v>
      </c>
      <c r="AH49" s="189">
        <f t="shared" si="11"/>
        <v>2.4242771918876489E-3</v>
      </c>
      <c r="AI49" s="189">
        <f t="shared" si="12"/>
        <v>2.329877292916613E-3</v>
      </c>
      <c r="AJ49" s="161">
        <f t="shared" si="13"/>
        <v>2.4453524394864182E-3</v>
      </c>
    </row>
    <row r="50" spans="14:36" x14ac:dyDescent="0.2">
      <c r="AF50" s="188">
        <f>_xll.qlCalendarAdvance(Calendar,AF49,"1d","mf",,Trigger)</f>
        <v>42193</v>
      </c>
      <c r="AG50" s="210">
        <f>_xll.qlDayCounterYearFraction(DayCounter,SettlementDate,AF50,,,Trigger)</f>
        <v>0.18904109589041096</v>
      </c>
      <c r="AH50" s="189">
        <f t="shared" si="11"/>
        <v>2.4242771918876489E-3</v>
      </c>
      <c r="AI50" s="189">
        <f t="shared" si="12"/>
        <v>2.3338943098941039E-3</v>
      </c>
      <c r="AJ50" s="161">
        <f t="shared" si="13"/>
        <v>2.4554364125754374E-3</v>
      </c>
    </row>
    <row r="51" spans="14:36" x14ac:dyDescent="0.2">
      <c r="AF51" s="188">
        <f>_xll.qlCalendarAdvance(Calendar,AF50,"1d","mf",,Trigger)</f>
        <v>42194</v>
      </c>
      <c r="AG51" s="210">
        <f>_xll.qlDayCounterYearFraction(DayCounter,SettlementDate,AF51,,,Trigger)</f>
        <v>0.19178082191780821</v>
      </c>
      <c r="AH51" s="189">
        <f t="shared" si="11"/>
        <v>2.4242771918876489E-3</v>
      </c>
      <c r="AI51" s="189">
        <f t="shared" si="12"/>
        <v>2.3379113268715947E-3</v>
      </c>
      <c r="AJ51" s="161">
        <f t="shared" si="13"/>
        <v>2.4653649112766321E-3</v>
      </c>
    </row>
    <row r="52" spans="14:36" x14ac:dyDescent="0.2">
      <c r="AF52" s="188">
        <f>_xll.qlCalendarAdvance(Calendar,AF51,"1d","mf",,Trigger)</f>
        <v>42195</v>
      </c>
      <c r="AG52" s="210">
        <f>_xll.qlDayCounterYearFraction(DayCounter,SettlementDate,AF52,,,Trigger)</f>
        <v>0.19452054794520549</v>
      </c>
      <c r="AH52" s="189">
        <f t="shared" si="11"/>
        <v>2.4242771918876489E-3</v>
      </c>
      <c r="AI52" s="189">
        <f t="shared" si="12"/>
        <v>2.3419283438490856E-3</v>
      </c>
      <c r="AJ52" s="161">
        <f t="shared" si="13"/>
        <v>2.4751379355900036E-3</v>
      </c>
    </row>
    <row r="53" spans="14:36" x14ac:dyDescent="0.2">
      <c r="AF53" s="188">
        <f>_xll.qlCalendarAdvance(Calendar,AF52,"1d","mf",,Trigger)</f>
        <v>42198</v>
      </c>
      <c r="AG53" s="210">
        <f>_xll.qlDayCounterYearFraction(DayCounter,SettlementDate,AF53,,,Trigger)</f>
        <v>0.20273972602739726</v>
      </c>
      <c r="AH53" s="189">
        <f t="shared" si="11"/>
        <v>2.4242771918876489E-3</v>
      </c>
      <c r="AI53" s="189">
        <f t="shared" si="12"/>
        <v>2.3539793947815581E-3</v>
      </c>
      <c r="AJ53" s="161">
        <f t="shared" si="13"/>
        <v>2.5035241622031737E-3</v>
      </c>
    </row>
    <row r="54" spans="14:36" x14ac:dyDescent="0.2">
      <c r="AF54" s="188">
        <f>_xll.qlCalendarAdvance(Calendar,AF53,"1d","mf",,Trigger)</f>
        <v>42199</v>
      </c>
      <c r="AG54" s="210">
        <f>_xll.qlDayCounterYearFraction(DayCounter,SettlementDate,AF54,,,Trigger)</f>
        <v>0.20547945205479451</v>
      </c>
      <c r="AH54" s="189">
        <f t="shared" si="11"/>
        <v>2.4242771918876489E-3</v>
      </c>
      <c r="AI54" s="189">
        <f t="shared" si="12"/>
        <v>2.357996411759049E-3</v>
      </c>
      <c r="AJ54" s="161">
        <f t="shared" si="13"/>
        <v>2.5126752889652491E-3</v>
      </c>
    </row>
    <row r="55" spans="14:36" x14ac:dyDescent="0.2">
      <c r="AF55" s="188">
        <f>_xll.qlCalendarAdvance(Calendar,AF54,"1d","mf",,Trigger)</f>
        <v>42200</v>
      </c>
      <c r="AG55" s="210">
        <f>_xll.qlDayCounterYearFraction(DayCounter,SettlementDate,AF55,,,Trigger)</f>
        <v>0.20821917808219179</v>
      </c>
      <c r="AH55" s="189">
        <f t="shared" si="11"/>
        <v>2.4242771918876489E-3</v>
      </c>
      <c r="AI55" s="189">
        <f t="shared" si="12"/>
        <v>2.3620134287365398E-3</v>
      </c>
      <c r="AJ55" s="161">
        <f t="shared" si="13"/>
        <v>2.5216709413395013E-3</v>
      </c>
    </row>
    <row r="56" spans="14:36" x14ac:dyDescent="0.2">
      <c r="AF56" s="188">
        <f>_xll.qlCalendarAdvance(Calendar,AF55,"1d","mf",,Trigger)</f>
        <v>42201</v>
      </c>
      <c r="AG56" s="210">
        <f>_xll.qlDayCounterYearFraction(DayCounter,SettlementDate,AF56,,,Trigger)</f>
        <v>0.21095890410958903</v>
      </c>
      <c r="AH56" s="189">
        <f t="shared" si="11"/>
        <v>2.4242771918876489E-3</v>
      </c>
      <c r="AI56" s="189">
        <f t="shared" si="12"/>
        <v>2.3660304457140307E-3</v>
      </c>
      <c r="AJ56" s="161">
        <f t="shared" si="13"/>
        <v>2.530511119325929E-3</v>
      </c>
    </row>
    <row r="57" spans="14:36" x14ac:dyDescent="0.2">
      <c r="AF57" s="188">
        <f>_xll.qlCalendarAdvance(Calendar,AF56,"1d","mf",,Trigger)</f>
        <v>42202</v>
      </c>
      <c r="AG57" s="210">
        <f>_xll.qlDayCounterYearFraction(DayCounter,SettlementDate,AF57,,,Trigger)</f>
        <v>0.21369863013698631</v>
      </c>
      <c r="AH57" s="189">
        <f t="shared" si="11"/>
        <v>2.4242771918876489E-3</v>
      </c>
      <c r="AI57" s="189">
        <f t="shared" si="12"/>
        <v>2.3700474626915215E-3</v>
      </c>
      <c r="AJ57" s="161">
        <f t="shared" si="13"/>
        <v>2.5391958229245325E-3</v>
      </c>
    </row>
    <row r="58" spans="14:36" x14ac:dyDescent="0.2">
      <c r="AF58" s="188">
        <f>_xll.qlCalendarAdvance(Calendar,AF57,"1d","mf",,Trigger)</f>
        <v>42205</v>
      </c>
      <c r="AG58" s="210">
        <f>_xll.qlDayCounterYearFraction(DayCounter,SettlementDate,AF58,,,Trigger)</f>
        <v>0.22191780821917809</v>
      </c>
      <c r="AH58" s="189">
        <f t="shared" si="11"/>
        <v>2.4242771918876489E-3</v>
      </c>
      <c r="AI58" s="189">
        <f t="shared" si="12"/>
        <v>2.3820985136239941E-3</v>
      </c>
      <c r="AJ58" s="161">
        <f t="shared" si="13"/>
        <v>2.5643170873934007E-3</v>
      </c>
    </row>
    <row r="59" spans="14:36" x14ac:dyDescent="0.2">
      <c r="AF59" s="188">
        <f>_xll.qlCalendarAdvance(Calendar,AF58,"1d","mf",,Trigger)</f>
        <v>42206</v>
      </c>
      <c r="AG59" s="210">
        <f>_xll.qlDayCounterYearFraction(DayCounter,SettlementDate,AF59,,,Trigger)</f>
        <v>0.22465753424657534</v>
      </c>
      <c r="AH59" s="189">
        <f t="shared" si="11"/>
        <v>2.4242771918876489E-3</v>
      </c>
      <c r="AI59" s="189">
        <f t="shared" si="12"/>
        <v>2.3861155306014849E-3</v>
      </c>
      <c r="AJ59" s="161">
        <f t="shared" si="13"/>
        <v>2.5723798934407091E-3</v>
      </c>
    </row>
    <row r="60" spans="14:36" x14ac:dyDescent="0.2">
      <c r="N60" s="170"/>
      <c r="AF60" s="188">
        <f>_xll.qlCalendarAdvance(Calendar,AF59,"1d","mf",,Trigger)</f>
        <v>42207</v>
      </c>
      <c r="AG60" s="210">
        <f>_xll.qlDayCounterYearFraction(DayCounter,SettlementDate,AF60,,,Trigger)</f>
        <v>0.22739726027397261</v>
      </c>
      <c r="AH60" s="189">
        <f t="shared" si="11"/>
        <v>2.4242771918876489E-3</v>
      </c>
      <c r="AI60" s="189">
        <f t="shared" si="12"/>
        <v>2.3901325475789758E-3</v>
      </c>
      <c r="AJ60" s="161">
        <f t="shared" si="13"/>
        <v>2.5802872251001934E-3</v>
      </c>
    </row>
    <row r="61" spans="14:36" x14ac:dyDescent="0.2">
      <c r="N61" s="170"/>
      <c r="AF61" s="188">
        <f>_xll.qlCalendarAdvance(Calendar,AF60,"1d","mf",,Trigger)</f>
        <v>42208</v>
      </c>
      <c r="AG61" s="210">
        <f>_xll.qlDayCounterYearFraction(DayCounter,SettlementDate,AF61,,,Trigger)</f>
        <v>0.23013698630136986</v>
      </c>
      <c r="AH61" s="189">
        <f t="shared" si="11"/>
        <v>2.4242771918876489E-3</v>
      </c>
      <c r="AI61" s="189">
        <f t="shared" si="12"/>
        <v>2.3941495645564666E-3</v>
      </c>
      <c r="AJ61" s="161">
        <f t="shared" si="13"/>
        <v>2.588039082371854E-3</v>
      </c>
    </row>
    <row r="62" spans="14:36" x14ac:dyDescent="0.2">
      <c r="N62" s="170"/>
      <c r="AF62" s="188">
        <f>_xll.qlCalendarAdvance(Calendar,AF61,"1d","mf",,Trigger)</f>
        <v>42209</v>
      </c>
      <c r="AG62" s="210">
        <f>_xll.qlDayCounterYearFraction(DayCounter,SettlementDate,AF62,,,Trigger)</f>
        <v>0.23287671232876711</v>
      </c>
      <c r="AH62" s="189">
        <f t="shared" si="11"/>
        <v>2.4242771918876489E-3</v>
      </c>
      <c r="AI62" s="189">
        <f t="shared" si="12"/>
        <v>2.3981665815339575E-3</v>
      </c>
      <c r="AJ62" s="161">
        <f t="shared" si="13"/>
        <v>2.5956354652556905E-3</v>
      </c>
    </row>
    <row r="63" spans="14:36" x14ac:dyDescent="0.2">
      <c r="N63" s="170"/>
      <c r="AF63" s="188">
        <f>_xll.qlCalendarAdvance(Calendar,AF62,"1d","mf",,Trigger)</f>
        <v>42212</v>
      </c>
      <c r="AG63" s="210">
        <f>_xll.qlDayCounterYearFraction(DayCounter,SettlementDate,AF63,,,Trigger)</f>
        <v>0.24109589041095891</v>
      </c>
      <c r="AH63" s="189">
        <f t="shared" si="11"/>
        <v>2.4242771918876489E-3</v>
      </c>
      <c r="AI63" s="189">
        <f t="shared" si="12"/>
        <v>2.41021763246643E-3</v>
      </c>
      <c r="AJ63" s="161">
        <f t="shared" si="13"/>
        <v>2.6174917675802567E-3</v>
      </c>
    </row>
    <row r="64" spans="14:36" x14ac:dyDescent="0.2">
      <c r="N64" s="170"/>
      <c r="AF64" s="188">
        <f>_xll.qlCalendarAdvance(Calendar,AF63,"1d","mf",,Trigger)</f>
        <v>42213</v>
      </c>
      <c r="AG64" s="210">
        <f>_xll.qlDayCounterYearFraction(DayCounter,SettlementDate,AF64,,,Trigger)</f>
        <v>0.24383561643835616</v>
      </c>
      <c r="AH64" s="189">
        <f t="shared" si="11"/>
        <v>2.4242771918876489E-3</v>
      </c>
      <c r="AI64" s="189">
        <f t="shared" si="12"/>
        <v>2.4142346494439209E-3</v>
      </c>
      <c r="AJ64" s="161">
        <f t="shared" si="13"/>
        <v>2.6244662529127981E-3</v>
      </c>
    </row>
    <row r="65" spans="14:36" x14ac:dyDescent="0.2">
      <c r="N65" s="170"/>
      <c r="AF65" s="188">
        <f>_xll.qlCalendarAdvance(Calendar,AF64,"1d","mf",,Trigger)</f>
        <v>42214</v>
      </c>
      <c r="AG65" s="210">
        <f>_xll.qlDayCounterYearFraction(DayCounter,SettlementDate,AF65,,,Trigger)</f>
        <v>0.24657534246575341</v>
      </c>
      <c r="AH65" s="189">
        <f t="shared" si="11"/>
        <v>2.4242771918876489E-3</v>
      </c>
      <c r="AI65" s="189">
        <f t="shared" si="12"/>
        <v>2.4182516664214117E-3</v>
      </c>
      <c r="AJ65" s="161">
        <f t="shared" si="13"/>
        <v>2.631285263857515E-3</v>
      </c>
    </row>
    <row r="66" spans="14:36" x14ac:dyDescent="0.2">
      <c r="N66" s="170"/>
      <c r="O66" s="170"/>
      <c r="AF66" s="188">
        <f>_xll.qlCalendarAdvance(Calendar,AF65,"1d","mf",,Trigger)</f>
        <v>42215</v>
      </c>
      <c r="AG66" s="210">
        <f>_xll.qlDayCounterYearFraction(DayCounter,SettlementDate,AF66,,,Trigger)</f>
        <v>0.24931506849315069</v>
      </c>
      <c r="AH66" s="189">
        <f t="shared" si="11"/>
        <v>2.4242771918876489E-3</v>
      </c>
      <c r="AI66" s="189">
        <f t="shared" si="12"/>
        <v>2.4222686833989026E-3</v>
      </c>
      <c r="AJ66" s="161">
        <f t="shared" si="13"/>
        <v>2.6379488004144081E-3</v>
      </c>
    </row>
    <row r="67" spans="14:36" x14ac:dyDescent="0.2">
      <c r="N67" s="170"/>
      <c r="O67" s="170"/>
      <c r="AF67" s="188">
        <f>_xll.qlCalendarAdvance(Calendar,AF66,"1d","mf",,Trigger)</f>
        <v>42216</v>
      </c>
      <c r="AG67" s="210">
        <f>_xll.qlDayCounterYearFraction(DayCounter,SettlementDate,AF67,,,Trigger)</f>
        <v>0.25205479452054796</v>
      </c>
      <c r="AH67" s="189">
        <f t="shared" ref="AH67:AH98" si="14">$W$13</f>
        <v>2.4242771918876489E-3</v>
      </c>
      <c r="AI67" s="189">
        <f t="shared" ref="AI67:AI98" si="15">$W$10+$W$9*AG67</f>
        <v>2.4262857003763934E-3</v>
      </c>
      <c r="AJ67" s="161">
        <f t="shared" ref="AJ67:AJ98" si="16">($W$5+$W$4*AG67+$W$3*AG67^2)</f>
        <v>2.6444568625834776E-3</v>
      </c>
    </row>
    <row r="68" spans="14:36" x14ac:dyDescent="0.2">
      <c r="N68" s="170"/>
      <c r="O68" s="170"/>
      <c r="AF68" s="188">
        <f>_xll.qlCalendarAdvance(Calendar,AF67,"1d","mf",,Trigger)</f>
        <v>42219</v>
      </c>
      <c r="AG68" s="210">
        <f>_xll.qlDayCounterYearFraction(DayCounter,SettlementDate,AF68,,,Trigger)</f>
        <v>0.26027397260273971</v>
      </c>
      <c r="AH68" s="189">
        <f t="shared" si="14"/>
        <v>2.4242771918876489E-3</v>
      </c>
      <c r="AI68" s="189">
        <f t="shared" si="15"/>
        <v>2.438336751308866E-3</v>
      </c>
      <c r="AJ68" s="161">
        <f t="shared" si="16"/>
        <v>2.6630482027637423E-3</v>
      </c>
    </row>
    <row r="69" spans="14:36" x14ac:dyDescent="0.2">
      <c r="N69" s="170"/>
      <c r="O69" s="170"/>
      <c r="AF69" s="188">
        <f>_xll.qlCalendarAdvance(Calendar,AF68,"1d","mf",,Trigger)</f>
        <v>42220</v>
      </c>
      <c r="AG69" s="210">
        <f>_xll.qlDayCounterYearFraction(DayCounter,SettlementDate,AF69,,,Trigger)</f>
        <v>0.26301369863013696</v>
      </c>
      <c r="AH69" s="189">
        <f t="shared" si="14"/>
        <v>2.4242771918876489E-3</v>
      </c>
      <c r="AI69" s="189">
        <f t="shared" si="15"/>
        <v>2.4423537682863568E-3</v>
      </c>
      <c r="AJ69" s="161">
        <f t="shared" si="16"/>
        <v>2.6689343673815158E-3</v>
      </c>
    </row>
    <row r="70" spans="14:36" x14ac:dyDescent="0.2">
      <c r="N70" s="170"/>
      <c r="O70" s="170"/>
      <c r="AF70" s="188">
        <f>_xll.qlCalendarAdvance(Calendar,AF69,"1d","mf",,Trigger)</f>
        <v>42221</v>
      </c>
      <c r="AG70" s="210">
        <f>_xll.qlDayCounterYearFraction(DayCounter,SettlementDate,AF70,,,Trigger)</f>
        <v>0.26575342465753427</v>
      </c>
      <c r="AH70" s="189">
        <f t="shared" si="14"/>
        <v>2.4242771918876489E-3</v>
      </c>
      <c r="AI70" s="189">
        <f t="shared" si="15"/>
        <v>2.4463707852638477E-3</v>
      </c>
      <c r="AJ70" s="161">
        <f t="shared" si="16"/>
        <v>2.6746650576114656E-3</v>
      </c>
    </row>
    <row r="71" spans="14:36" x14ac:dyDescent="0.2">
      <c r="N71" s="170"/>
      <c r="O71" s="170"/>
      <c r="AF71" s="188">
        <f>_xll.qlCalendarAdvance(Calendar,AF70,"1d","mf",,Trigger)</f>
        <v>42222</v>
      </c>
      <c r="AG71" s="210">
        <f>_xll.qlDayCounterYearFraction(DayCounter,SettlementDate,AF71,,,Trigger)</f>
        <v>0.26849315068493151</v>
      </c>
      <c r="AH71" s="189">
        <f t="shared" si="14"/>
        <v>2.4242771918876489E-3</v>
      </c>
      <c r="AI71" s="189">
        <f t="shared" si="15"/>
        <v>2.4503878022413385E-3</v>
      </c>
      <c r="AJ71" s="161">
        <f t="shared" si="16"/>
        <v>2.6802402734535918E-3</v>
      </c>
    </row>
    <row r="72" spans="14:36" x14ac:dyDescent="0.2">
      <c r="N72" s="170"/>
      <c r="O72" s="170"/>
      <c r="AF72" s="188">
        <f>_xll.qlCalendarAdvance(Calendar,AF71,"1d","mf",,Trigger)</f>
        <v>42223</v>
      </c>
      <c r="AG72" s="210">
        <f>_xll.qlDayCounterYearFraction(DayCounter,SettlementDate,AF72,,,Trigger)</f>
        <v>0.27123287671232876</v>
      </c>
      <c r="AH72" s="189">
        <f t="shared" si="14"/>
        <v>2.4242771918876489E-3</v>
      </c>
      <c r="AI72" s="189">
        <f t="shared" si="15"/>
        <v>2.4544048192188294E-3</v>
      </c>
      <c r="AJ72" s="161">
        <f t="shared" si="16"/>
        <v>2.6856600149078938E-3</v>
      </c>
    </row>
    <row r="73" spans="14:36" x14ac:dyDescent="0.2">
      <c r="N73" s="170"/>
      <c r="O73" s="170"/>
      <c r="AF73" s="188">
        <f>_xll.qlCalendarAdvance(Calendar,AF72,"1d","mf",,Trigger)</f>
        <v>42226</v>
      </c>
      <c r="AG73" s="210">
        <f>_xll.qlDayCounterYearFraction(DayCounter,SettlementDate,AF73,,,Trigger)</f>
        <v>0.27945205479452057</v>
      </c>
      <c r="AH73" s="189">
        <f t="shared" si="14"/>
        <v>2.4242771918876489E-3</v>
      </c>
      <c r="AI73" s="189">
        <f t="shared" si="15"/>
        <v>2.4664558701513019E-3</v>
      </c>
      <c r="AJ73" s="161">
        <f t="shared" si="16"/>
        <v>2.700986392943857E-3</v>
      </c>
    </row>
    <row r="74" spans="14:36" x14ac:dyDescent="0.2">
      <c r="N74" s="170"/>
      <c r="O74" s="170"/>
      <c r="AF74" s="188">
        <f>_xll.qlCalendarAdvance(Calendar,AF73,"1d","mf",,Trigger)</f>
        <v>42227</v>
      </c>
      <c r="AG74" s="210">
        <f>_xll.qlDayCounterYearFraction(DayCounter,SettlementDate,AF74,,,Trigger)</f>
        <v>0.28219178082191781</v>
      </c>
      <c r="AH74" s="189">
        <f t="shared" si="14"/>
        <v>2.4242771918876489E-3</v>
      </c>
      <c r="AI74" s="189">
        <f t="shared" si="15"/>
        <v>2.4704728871287928E-3</v>
      </c>
      <c r="AJ74" s="161">
        <f t="shared" si="16"/>
        <v>2.7057842368468626E-3</v>
      </c>
    </row>
    <row r="75" spans="14:36" x14ac:dyDescent="0.2">
      <c r="N75" s="170"/>
      <c r="O75" s="170"/>
      <c r="AF75" s="188">
        <f>_xll.qlCalendarAdvance(Calendar,AF74,"1d","mf",,Trigger)</f>
        <v>42228</v>
      </c>
      <c r="AG75" s="210">
        <f>_xll.qlDayCounterYearFraction(DayCounter,SettlementDate,AF75,,,Trigger)</f>
        <v>0.28493150684931506</v>
      </c>
      <c r="AH75" s="189">
        <f t="shared" si="14"/>
        <v>2.4242771918876489E-3</v>
      </c>
      <c r="AI75" s="189">
        <f t="shared" si="15"/>
        <v>2.4744899041062836E-3</v>
      </c>
      <c r="AJ75" s="161">
        <f t="shared" si="16"/>
        <v>2.7104266063620454E-3</v>
      </c>
    </row>
    <row r="76" spans="14:36" x14ac:dyDescent="0.2">
      <c r="N76" s="170"/>
      <c r="O76" s="170"/>
      <c r="AF76" s="188">
        <f>_xll.qlCalendarAdvance(Calendar,AF75,"1d","mf",,Trigger)</f>
        <v>42229</v>
      </c>
      <c r="AG76" s="210">
        <f>_xll.qlDayCounterYearFraction(DayCounter,SettlementDate,AF76,,,Trigger)</f>
        <v>0.28767123287671231</v>
      </c>
      <c r="AH76" s="189">
        <f t="shared" si="14"/>
        <v>2.4242771918876489E-3</v>
      </c>
      <c r="AI76" s="189">
        <f t="shared" si="15"/>
        <v>2.4785069210837745E-3</v>
      </c>
      <c r="AJ76" s="161">
        <f t="shared" si="16"/>
        <v>2.714913501489404E-3</v>
      </c>
    </row>
    <row r="77" spans="14:36" x14ac:dyDescent="0.2">
      <c r="N77" s="170"/>
      <c r="O77" s="170"/>
      <c r="AF77" s="188">
        <f>_xll.qlCalendarAdvance(Calendar,AF76,"1d","mf",,Trigger)</f>
        <v>42230</v>
      </c>
      <c r="AG77" s="210">
        <f>_xll.qlDayCounterYearFraction(DayCounter,SettlementDate,AF77,,,Trigger)</f>
        <v>0.29041095890410956</v>
      </c>
      <c r="AH77" s="189">
        <f t="shared" si="14"/>
        <v>2.4242771918876489E-3</v>
      </c>
      <c r="AI77" s="189">
        <f t="shared" si="15"/>
        <v>2.4825239380612653E-3</v>
      </c>
      <c r="AJ77" s="161">
        <f t="shared" si="16"/>
        <v>2.7192449222289391E-3</v>
      </c>
    </row>
    <row r="78" spans="14:36" x14ac:dyDescent="0.2">
      <c r="N78" s="170"/>
      <c r="O78" s="170"/>
      <c r="AF78" s="188">
        <f>_xll.qlCalendarAdvance(Calendar,AF77,"1d","mf",,Trigger)</f>
        <v>42233</v>
      </c>
      <c r="AG78" s="210">
        <f>_xll.qlDayCounterYearFraction(DayCounter,SettlementDate,AF78,,,Trigger)</f>
        <v>0.29863013698630136</v>
      </c>
      <c r="AH78" s="189">
        <f t="shared" si="14"/>
        <v>2.4242771918876489E-3</v>
      </c>
      <c r="AI78" s="189">
        <f t="shared" si="15"/>
        <v>2.4945749889937379E-3</v>
      </c>
      <c r="AJ78" s="161">
        <f t="shared" si="16"/>
        <v>2.7313063381205998E-3</v>
      </c>
    </row>
    <row r="79" spans="14:36" x14ac:dyDescent="0.2">
      <c r="N79" s="170"/>
      <c r="O79" s="170"/>
      <c r="AF79" s="188">
        <f>_xll.qlCalendarAdvance(Calendar,AF78,"1d","mf",,Trigger)</f>
        <v>42234</v>
      </c>
      <c r="AG79" s="210">
        <f>_xll.qlDayCounterYearFraction(DayCounter,SettlementDate,AF79,,,Trigger)</f>
        <v>0.30136986301369861</v>
      </c>
      <c r="AH79" s="189">
        <f t="shared" si="14"/>
        <v>2.4242771918876489E-3</v>
      </c>
      <c r="AI79" s="189">
        <f t="shared" si="15"/>
        <v>2.4985920059712287E-3</v>
      </c>
      <c r="AJ79" s="161">
        <f t="shared" si="16"/>
        <v>2.7350158613088393E-3</v>
      </c>
    </row>
    <row r="80" spans="14:36" x14ac:dyDescent="0.2">
      <c r="N80" s="170"/>
      <c r="O80" s="170"/>
      <c r="AF80" s="188">
        <f>_xll.qlCalendarAdvance(Calendar,AF79,"1d","mf",,Trigger)</f>
        <v>42235</v>
      </c>
      <c r="AG80" s="210">
        <f>_xll.qlDayCounterYearFraction(DayCounter,SettlementDate,AF80,,,Trigger)</f>
        <v>0.30410958904109592</v>
      </c>
      <c r="AH80" s="189">
        <f t="shared" si="14"/>
        <v>2.4242771918876489E-3</v>
      </c>
      <c r="AI80" s="189">
        <f t="shared" si="15"/>
        <v>2.5026090229487196E-3</v>
      </c>
      <c r="AJ80" s="161">
        <f t="shared" si="16"/>
        <v>2.7385699101092542E-3</v>
      </c>
    </row>
    <row r="81" spans="14:36" x14ac:dyDescent="0.2">
      <c r="N81" s="170"/>
      <c r="O81" s="170"/>
      <c r="AF81" s="188">
        <f>_xll.qlCalendarAdvance(Calendar,AF80,"1d","mf",,Trigger)</f>
        <v>42236</v>
      </c>
      <c r="AG81" s="210">
        <f>_xll.qlDayCounterYearFraction(DayCounter,SettlementDate,AF81,,,Trigger)</f>
        <v>0.30684931506849317</v>
      </c>
      <c r="AH81" s="189">
        <f t="shared" si="14"/>
        <v>2.4242771918876489E-3</v>
      </c>
      <c r="AI81" s="189">
        <f t="shared" si="15"/>
        <v>2.5066260399262104E-3</v>
      </c>
      <c r="AJ81" s="161">
        <f t="shared" si="16"/>
        <v>2.7419684845218454E-3</v>
      </c>
    </row>
    <row r="82" spans="14:36" x14ac:dyDescent="0.2">
      <c r="N82" s="170"/>
      <c r="O82" s="170"/>
      <c r="AF82" s="188">
        <f>_xll.qlCalendarAdvance(Calendar,AF81,"1d","mf",,Trigger)</f>
        <v>42237</v>
      </c>
      <c r="AG82" s="210">
        <f>_xll.qlDayCounterYearFraction(DayCounter,SettlementDate,AF82,,,Trigger)</f>
        <v>0.30958904109589042</v>
      </c>
      <c r="AH82" s="189">
        <f t="shared" si="14"/>
        <v>2.4242771918876489E-3</v>
      </c>
      <c r="AI82" s="189">
        <f t="shared" si="15"/>
        <v>2.5106430569037013E-3</v>
      </c>
      <c r="AJ82" s="161">
        <f t="shared" si="16"/>
        <v>2.7452115845466129E-3</v>
      </c>
    </row>
    <row r="83" spans="14:36" x14ac:dyDescent="0.2">
      <c r="N83" s="170"/>
      <c r="O83" s="170"/>
      <c r="AF83" s="188">
        <f>_xll.qlCalendarAdvance(Calendar,AF82,"1d","mf",,Trigger)</f>
        <v>42240</v>
      </c>
      <c r="AG83" s="210">
        <f>_xll.qlDayCounterYearFraction(DayCounter,SettlementDate,AF83,,,Trigger)</f>
        <v>0.31780821917808222</v>
      </c>
      <c r="AH83" s="189">
        <f t="shared" si="14"/>
        <v>2.4242771918876489E-3</v>
      </c>
      <c r="AI83" s="189">
        <f t="shared" si="15"/>
        <v>2.5226941078361738E-3</v>
      </c>
      <c r="AJ83" s="161">
        <f t="shared" si="16"/>
        <v>2.7540080382939722E-3</v>
      </c>
    </row>
    <row r="84" spans="14:36" x14ac:dyDescent="0.2">
      <c r="N84" s="170"/>
      <c r="O84" s="170"/>
      <c r="AF84" s="188">
        <f>_xll.qlCalendarAdvance(Calendar,AF83,"1d","mf",,Trigger)</f>
        <v>42241</v>
      </c>
      <c r="AG84" s="210">
        <f>_xll.qlDayCounterYearFraction(DayCounter,SettlementDate,AF84,,,Trigger)</f>
        <v>0.32054794520547947</v>
      </c>
      <c r="AH84" s="189">
        <f t="shared" si="14"/>
        <v>2.4242771918876489E-3</v>
      </c>
      <c r="AI84" s="189">
        <f t="shared" si="15"/>
        <v>2.5267111248136647E-3</v>
      </c>
      <c r="AJ84" s="161">
        <f t="shared" si="16"/>
        <v>2.7566292407674442E-3</v>
      </c>
    </row>
    <row r="85" spans="14:36" x14ac:dyDescent="0.2">
      <c r="N85" s="170"/>
      <c r="O85" s="170"/>
      <c r="AF85" s="188">
        <f>_xll.qlCalendarAdvance(Calendar,AF84,"1d","mf",,Trigger)</f>
        <v>42242</v>
      </c>
      <c r="AG85" s="210">
        <f>_xll.qlDayCounterYearFraction(DayCounter,SettlementDate,AF85,,,Trigger)</f>
        <v>0.32328767123287672</v>
      </c>
      <c r="AH85" s="189">
        <f t="shared" si="14"/>
        <v>2.4242771918876489E-3</v>
      </c>
      <c r="AI85" s="189">
        <f t="shared" si="15"/>
        <v>2.5307281417911551E-3</v>
      </c>
      <c r="AJ85" s="161">
        <f t="shared" si="16"/>
        <v>2.7590949688530916E-3</v>
      </c>
    </row>
    <row r="86" spans="14:36" x14ac:dyDescent="0.2">
      <c r="N86" s="170"/>
      <c r="O86" s="170"/>
      <c r="AF86" s="188">
        <f>_xll.qlCalendarAdvance(Calendar,AF85,"1d","mf",,Trigger)</f>
        <v>42243</v>
      </c>
      <c r="AG86" s="210">
        <f>_xll.qlDayCounterYearFraction(DayCounter,SettlementDate,AF86,,,Trigger)</f>
        <v>0.32602739726027397</v>
      </c>
      <c r="AH86" s="189">
        <f t="shared" si="14"/>
        <v>2.4242771918876489E-3</v>
      </c>
      <c r="AI86" s="189">
        <f t="shared" si="15"/>
        <v>2.5347451587686459E-3</v>
      </c>
      <c r="AJ86" s="161">
        <f t="shared" si="16"/>
        <v>2.7614052225509158E-3</v>
      </c>
    </row>
    <row r="87" spans="14:36" x14ac:dyDescent="0.2">
      <c r="N87" s="170"/>
      <c r="O87" s="170"/>
      <c r="AF87" s="188">
        <f>_xll.qlCalendarAdvance(Calendar,AF86,"1d","mf",,Trigger)</f>
        <v>42244</v>
      </c>
      <c r="AG87" s="210">
        <f>_xll.qlDayCounterYearFraction(DayCounter,SettlementDate,AF87,,,Trigger)</f>
        <v>0.32876712328767121</v>
      </c>
      <c r="AH87" s="189">
        <f t="shared" si="14"/>
        <v>2.4242771918876489E-3</v>
      </c>
      <c r="AI87" s="189">
        <f t="shared" si="15"/>
        <v>2.5387621757461368E-3</v>
      </c>
      <c r="AJ87" s="161">
        <f t="shared" si="16"/>
        <v>2.7635600018609159E-3</v>
      </c>
    </row>
    <row r="88" spans="14:36" x14ac:dyDescent="0.2">
      <c r="N88" s="170"/>
      <c r="O88" s="170"/>
      <c r="AF88" s="188">
        <f>_xll.qlCalendarAdvance(Calendar,AF87,"1d","mf",,Trigger)</f>
        <v>42248</v>
      </c>
      <c r="AG88" s="210">
        <f>_xll.qlDayCounterYearFraction(DayCounter,SettlementDate,AF88,,,Trigger)</f>
        <v>0.33972602739726027</v>
      </c>
      <c r="AH88" s="189">
        <f t="shared" si="14"/>
        <v>2.4242771918876489E-3</v>
      </c>
      <c r="AI88" s="189">
        <f t="shared" si="15"/>
        <v>2.5548302436561002E-3</v>
      </c>
      <c r="AJ88" s="161">
        <f t="shared" si="16"/>
        <v>2.7706243752226778E-3</v>
      </c>
    </row>
    <row r="89" spans="14:36" x14ac:dyDescent="0.2">
      <c r="N89" s="170"/>
      <c r="O89" s="170"/>
      <c r="AF89" s="188">
        <f>_xll.qlCalendarAdvance(Calendar,AF88,"1d","mf",,Trigger)</f>
        <v>42249</v>
      </c>
      <c r="AG89" s="210">
        <f>_xll.qlDayCounterYearFraction(DayCounter,SettlementDate,AF89,,,Trigger)</f>
        <v>0.34246575342465752</v>
      </c>
      <c r="AH89" s="189">
        <f t="shared" si="14"/>
        <v>2.4242771918876489E-3</v>
      </c>
      <c r="AI89" s="189">
        <f t="shared" si="15"/>
        <v>2.558847260633591E-3</v>
      </c>
      <c r="AJ89" s="161">
        <f t="shared" si="16"/>
        <v>2.772001782593559E-3</v>
      </c>
    </row>
    <row r="90" spans="14:36" x14ac:dyDescent="0.2">
      <c r="N90" s="170"/>
      <c r="O90" s="170"/>
      <c r="AF90" s="188">
        <f>_xll.qlCalendarAdvance(Calendar,AF89,"1d","mf",,Trigger)</f>
        <v>42250</v>
      </c>
      <c r="AG90" s="210">
        <f>_xll.qlDayCounterYearFraction(DayCounter,SettlementDate,AF90,,,Trigger)</f>
        <v>0.34520547945205482</v>
      </c>
      <c r="AH90" s="189">
        <f t="shared" si="14"/>
        <v>2.4242771918876489E-3</v>
      </c>
      <c r="AI90" s="189">
        <f t="shared" si="15"/>
        <v>2.5628642776110819E-3</v>
      </c>
      <c r="AJ90" s="161">
        <f t="shared" si="16"/>
        <v>2.7732237155766145E-3</v>
      </c>
    </row>
    <row r="91" spans="14:36" x14ac:dyDescent="0.2">
      <c r="N91" s="170"/>
      <c r="O91" s="170"/>
      <c r="AF91" s="188">
        <f>_xll.qlCalendarAdvance(Calendar,AF90,"1d","mf",,Trigger)</f>
        <v>42251</v>
      </c>
      <c r="AG91" s="210">
        <f>_xll.qlDayCounterYearFraction(DayCounter,SettlementDate,AF91,,,Trigger)</f>
        <v>0.34794520547945207</v>
      </c>
      <c r="AH91" s="189">
        <f t="shared" si="14"/>
        <v>2.4242771918876489E-3</v>
      </c>
      <c r="AI91" s="189">
        <f t="shared" si="15"/>
        <v>2.5668812945885727E-3</v>
      </c>
      <c r="AJ91" s="161">
        <f t="shared" si="16"/>
        <v>2.7742901741718484E-3</v>
      </c>
    </row>
    <row r="92" spans="14:36" x14ac:dyDescent="0.2">
      <c r="N92" s="170"/>
      <c r="O92" s="170"/>
      <c r="AF92" s="188">
        <f>_xll.qlCalendarAdvance(Calendar,AF91,"1d","mf",,Trigger)</f>
        <v>42254</v>
      </c>
      <c r="AG92" s="210">
        <f>_xll.qlDayCounterYearFraction(DayCounter,SettlementDate,AF92,,,Trigger)</f>
        <v>0.35616438356164382</v>
      </c>
      <c r="AH92" s="189">
        <f t="shared" si="14"/>
        <v>2.4242771918876489E-3</v>
      </c>
      <c r="AI92" s="189">
        <f t="shared" si="15"/>
        <v>2.5789323455210453E-3</v>
      </c>
      <c r="AJ92" s="161">
        <f t="shared" si="16"/>
        <v>2.7765567036306029E-3</v>
      </c>
    </row>
    <row r="93" spans="14:36" x14ac:dyDescent="0.2">
      <c r="N93" s="170"/>
      <c r="O93" s="170"/>
      <c r="AF93" s="188">
        <f>_xll.qlCalendarAdvance(Calendar,AF92,"1d","mf",,Trigger)</f>
        <v>42255</v>
      </c>
      <c r="AG93" s="210">
        <f>_xll.qlDayCounterYearFraction(DayCounter,SettlementDate,AF93,,,Trigger)</f>
        <v>0.35890410958904112</v>
      </c>
      <c r="AH93" s="189">
        <f t="shared" si="14"/>
        <v>2.4242771918876489E-3</v>
      </c>
      <c r="AI93" s="189">
        <f t="shared" si="15"/>
        <v>2.5829493624985361E-3</v>
      </c>
      <c r="AJ93" s="161">
        <f t="shared" si="16"/>
        <v>2.7770012646745413E-3</v>
      </c>
    </row>
    <row r="94" spans="14:36" x14ac:dyDescent="0.2">
      <c r="N94" s="170"/>
      <c r="O94" s="170"/>
      <c r="AF94" s="188">
        <f>_xll.qlCalendarAdvance(Calendar,AF93,"1d","mf",,Trigger)</f>
        <v>42256</v>
      </c>
      <c r="AG94" s="210">
        <f>_xll.qlDayCounterYearFraction(DayCounter,SettlementDate,AF94,,,Trigger)</f>
        <v>0.36164383561643837</v>
      </c>
      <c r="AH94" s="189">
        <f t="shared" si="14"/>
        <v>2.4242771918876489E-3</v>
      </c>
      <c r="AI94" s="189">
        <f t="shared" si="15"/>
        <v>2.586966379476027E-3</v>
      </c>
      <c r="AJ94" s="161">
        <f t="shared" si="16"/>
        <v>2.7772903513306546E-3</v>
      </c>
    </row>
    <row r="95" spans="14:36" x14ac:dyDescent="0.2">
      <c r="N95" s="170"/>
      <c r="O95" s="170"/>
      <c r="AF95" s="188">
        <f>_xll.qlCalendarAdvance(Calendar,AF94,"1d","mf",,Trigger)</f>
        <v>42257</v>
      </c>
      <c r="AG95" s="210">
        <f>_xll.qlDayCounterYearFraction(DayCounter,SettlementDate,AF95,,,Trigger)</f>
        <v>0.36438356164383562</v>
      </c>
      <c r="AH95" s="189">
        <f t="shared" si="14"/>
        <v>2.4242771918876489E-3</v>
      </c>
      <c r="AI95" s="189">
        <f t="shared" si="15"/>
        <v>2.5909833964535178E-3</v>
      </c>
      <c r="AJ95" s="161">
        <f t="shared" si="16"/>
        <v>2.7774239635989439E-3</v>
      </c>
    </row>
    <row r="96" spans="14:36" x14ac:dyDescent="0.2">
      <c r="N96" s="170"/>
      <c r="O96" s="170"/>
      <c r="AF96" s="188">
        <f>_xll.qlCalendarAdvance(Calendar,AF95,"1d","mf",,Trigger)</f>
        <v>42258</v>
      </c>
      <c r="AG96" s="210">
        <f>_xll.qlDayCounterYearFraction(DayCounter,SettlementDate,AF96,,,Trigger)</f>
        <v>0.36712328767123287</v>
      </c>
      <c r="AH96" s="189">
        <f t="shared" si="14"/>
        <v>2.4242771918876489E-3</v>
      </c>
      <c r="AI96" s="189">
        <f t="shared" si="15"/>
        <v>2.5950004134310087E-3</v>
      </c>
      <c r="AJ96" s="161">
        <f t="shared" si="16"/>
        <v>2.7774021014794086E-3</v>
      </c>
    </row>
    <row r="97" spans="14:36" x14ac:dyDescent="0.2">
      <c r="N97" s="170"/>
      <c r="O97" s="170"/>
      <c r="AF97" s="188">
        <f>_xll.qlCalendarAdvance(Calendar,AF96,"1d","mf",,Trigger)</f>
        <v>42261</v>
      </c>
      <c r="AG97" s="210">
        <f>_xll.qlDayCounterYearFraction(DayCounter,SettlementDate,AF97,,,Trigger)</f>
        <v>0.37534246575342467</v>
      </c>
      <c r="AH97" s="189">
        <f t="shared" si="14"/>
        <v>2.4242771918876489E-3</v>
      </c>
      <c r="AI97" s="189">
        <f t="shared" si="15"/>
        <v>2.6070514643634812E-3</v>
      </c>
      <c r="AJ97" s="161">
        <f t="shared" si="16"/>
        <v>2.7764036687938629E-3</v>
      </c>
    </row>
    <row r="98" spans="14:36" x14ac:dyDescent="0.2">
      <c r="N98" s="170"/>
      <c r="O98" s="170"/>
      <c r="AF98" s="188">
        <f>_xll.qlCalendarAdvance(Calendar,AF97,"1d","mf",,Trigger)</f>
        <v>42262</v>
      </c>
      <c r="AG98" s="210">
        <f>_xll.qlDayCounterYearFraction(DayCounter,SettlementDate,AF98,,,Trigger)</f>
        <v>0.37808219178082192</v>
      </c>
      <c r="AH98" s="189">
        <f t="shared" si="14"/>
        <v>2.4242771918876489E-3</v>
      </c>
      <c r="AI98" s="189">
        <f t="shared" si="15"/>
        <v>2.6110684813409721E-3</v>
      </c>
      <c r="AJ98" s="161">
        <f t="shared" si="16"/>
        <v>2.775759909123033E-3</v>
      </c>
    </row>
    <row r="99" spans="14:36" x14ac:dyDescent="0.2">
      <c r="N99" s="170"/>
      <c r="O99" s="170"/>
      <c r="AF99" s="188">
        <f>_xll.qlCalendarAdvance(Calendar,AF98,"1d","mf",,Trigger)</f>
        <v>42263</v>
      </c>
      <c r="AG99" s="210">
        <f>_xll.qlDayCounterYearFraction(DayCounter,SettlementDate,AF99,,,Trigger)</f>
        <v>0.38082191780821917</v>
      </c>
      <c r="AH99" s="189">
        <f t="shared" ref="AH99:AH132" si="17">$W$13</f>
        <v>2.4242771918876489E-3</v>
      </c>
      <c r="AI99" s="189">
        <f t="shared" ref="AI99:AI132" si="18">$W$10+$W$9*AG99</f>
        <v>2.6150854983184629E-3</v>
      </c>
      <c r="AJ99" s="161">
        <f t="shared" ref="AJ99:AJ132" si="19">($W$5+$W$4*AG99+$W$3*AG99^2)</f>
        <v>2.7749606750643793E-3</v>
      </c>
    </row>
    <row r="100" spans="14:36" x14ac:dyDescent="0.2">
      <c r="N100" s="170"/>
      <c r="O100" s="170"/>
      <c r="AF100" s="188">
        <f>_xll.qlCalendarAdvance(Calendar,AF99,"1d","mf",,Trigger)</f>
        <v>42264</v>
      </c>
      <c r="AG100" s="210">
        <f>_xll.qlDayCounterYearFraction(DayCounter,SettlementDate,AF100,,,Trigger)</f>
        <v>0.38356164383561642</v>
      </c>
      <c r="AH100" s="189">
        <f t="shared" si="17"/>
        <v>2.4242771918876489E-3</v>
      </c>
      <c r="AI100" s="189">
        <f t="shared" si="18"/>
        <v>2.6191025152959538E-3</v>
      </c>
      <c r="AJ100" s="161">
        <f t="shared" si="19"/>
        <v>2.7740059666179016E-3</v>
      </c>
    </row>
    <row r="101" spans="14:36" x14ac:dyDescent="0.2">
      <c r="N101" s="170"/>
      <c r="O101" s="170"/>
      <c r="AF101" s="188">
        <f>_xll.qlCalendarAdvance(Calendar,AF100,"1d","mf",,Trigger)</f>
        <v>42265</v>
      </c>
      <c r="AG101" s="210">
        <f>_xll.qlDayCounterYearFraction(DayCounter,SettlementDate,AF101,,,Trigger)</f>
        <v>0.38630136986301372</v>
      </c>
      <c r="AH101" s="189">
        <f t="shared" si="17"/>
        <v>2.4242771918876489E-3</v>
      </c>
      <c r="AI101" s="189">
        <f t="shared" si="18"/>
        <v>2.6231195322734446E-3</v>
      </c>
      <c r="AJ101" s="161">
        <f t="shared" si="19"/>
        <v>2.7728957837835997E-3</v>
      </c>
    </row>
    <row r="102" spans="14:36" x14ac:dyDescent="0.2">
      <c r="N102" s="170"/>
      <c r="O102" s="170"/>
      <c r="AF102" s="188">
        <f>_xll.qlCalendarAdvance(Calendar,AF101,"1d","mf",,Trigger)</f>
        <v>42268</v>
      </c>
      <c r="AG102" s="210">
        <f>_xll.qlDayCounterYearFraction(DayCounter,SettlementDate,AF102,,,Trigger)</f>
        <v>0.39452054794520547</v>
      </c>
      <c r="AH102" s="189">
        <f t="shared" si="17"/>
        <v>2.4242771918876489E-3</v>
      </c>
      <c r="AI102" s="189">
        <f t="shared" si="18"/>
        <v>2.6351705832059172E-3</v>
      </c>
      <c r="AJ102" s="161">
        <f t="shared" si="19"/>
        <v>2.7686323889537512E-3</v>
      </c>
    </row>
    <row r="103" spans="14:36" x14ac:dyDescent="0.2">
      <c r="N103" s="170"/>
      <c r="O103" s="170"/>
      <c r="AF103" s="188">
        <f>_xll.qlCalendarAdvance(Calendar,AF102,"1d","mf",,Trigger)</f>
        <v>42269</v>
      </c>
      <c r="AG103" s="210">
        <f>_xll.qlDayCounterYearFraction(DayCounter,SettlementDate,AF103,,,Trigger)</f>
        <v>0.39726027397260272</v>
      </c>
      <c r="AH103" s="189">
        <f t="shared" si="17"/>
        <v>2.4242771918876489E-3</v>
      </c>
      <c r="AI103" s="189">
        <f t="shared" si="18"/>
        <v>2.6391876001834081E-3</v>
      </c>
      <c r="AJ103" s="161">
        <f t="shared" si="19"/>
        <v>2.7669003085681542E-3</v>
      </c>
    </row>
    <row r="104" spans="14:36" x14ac:dyDescent="0.2">
      <c r="N104" s="170"/>
      <c r="O104" s="170"/>
      <c r="AF104" s="188">
        <f>_xll.qlCalendarAdvance(Calendar,AF103,"1d","mf",,Trigger)</f>
        <v>42270</v>
      </c>
      <c r="AG104" s="210">
        <f>_xll.qlDayCounterYearFraction(DayCounter,SettlementDate,AF104,,,Trigger)</f>
        <v>0.4</v>
      </c>
      <c r="AH104" s="189">
        <f t="shared" si="17"/>
        <v>2.4242771918876489E-3</v>
      </c>
      <c r="AI104" s="189">
        <f t="shared" si="18"/>
        <v>2.6432046171608989E-3</v>
      </c>
      <c r="AJ104" s="161">
        <f t="shared" si="19"/>
        <v>2.7650127537947331E-3</v>
      </c>
    </row>
    <row r="105" spans="14:36" x14ac:dyDescent="0.2">
      <c r="N105" s="170"/>
      <c r="O105" s="170"/>
      <c r="AF105" s="188">
        <f>_xll.qlCalendarAdvance(Calendar,AF104,"1d","mf",,Trigger)</f>
        <v>42271</v>
      </c>
      <c r="AG105" s="210">
        <f>_xll.qlDayCounterYearFraction(DayCounter,SettlementDate,AF105,,,Trigger)</f>
        <v>0.40273972602739727</v>
      </c>
      <c r="AH105" s="189">
        <f t="shared" si="17"/>
        <v>2.4242771918876489E-3</v>
      </c>
      <c r="AI105" s="189">
        <f t="shared" si="18"/>
        <v>2.6472216341383898E-3</v>
      </c>
      <c r="AJ105" s="161">
        <f t="shared" si="19"/>
        <v>2.7629697246334874E-3</v>
      </c>
    </row>
    <row r="106" spans="14:36" x14ac:dyDescent="0.2">
      <c r="N106" s="170"/>
      <c r="O106" s="170"/>
      <c r="AF106" s="188">
        <f>_xll.qlCalendarAdvance(Calendar,AF105,"1d","mf",,Trigger)</f>
        <v>42272</v>
      </c>
      <c r="AG106" s="210">
        <f>_xll.qlDayCounterYearFraction(DayCounter,SettlementDate,AF106,,,Trigger)</f>
        <v>0.40547945205479452</v>
      </c>
      <c r="AH106" s="189">
        <f t="shared" si="17"/>
        <v>2.4242771918876489E-3</v>
      </c>
      <c r="AI106" s="189">
        <f t="shared" si="18"/>
        <v>2.6512386511158806E-3</v>
      </c>
      <c r="AJ106" s="161">
        <f t="shared" si="19"/>
        <v>2.7607712210844194E-3</v>
      </c>
    </row>
    <row r="107" spans="14:36" x14ac:dyDescent="0.2">
      <c r="N107" s="170"/>
      <c r="O107" s="170"/>
      <c r="AF107" s="188">
        <f>_xll.qlCalendarAdvance(Calendar,AF106,"1d","mf",,Trigger)</f>
        <v>42275</v>
      </c>
      <c r="AG107" s="210">
        <f>_xll.qlDayCounterYearFraction(DayCounter,SettlementDate,AF107,,,Trigger)</f>
        <v>0.41369863013698632</v>
      </c>
      <c r="AH107" s="189">
        <f t="shared" si="17"/>
        <v>2.4242771918876489E-3</v>
      </c>
      <c r="AI107" s="189">
        <f t="shared" si="18"/>
        <v>2.6632897020483532E-3</v>
      </c>
      <c r="AJ107" s="161">
        <f t="shared" si="19"/>
        <v>2.7532428641102681E-3</v>
      </c>
    </row>
    <row r="108" spans="14:36" x14ac:dyDescent="0.2">
      <c r="N108" s="170"/>
      <c r="O108" s="170"/>
      <c r="AF108" s="188">
        <f>_xll.qlCalendarAdvance(Calendar,AF107,"1d","mf",,Trigger)</f>
        <v>42276</v>
      </c>
      <c r="AG108" s="210">
        <f>_xll.qlDayCounterYearFraction(DayCounter,SettlementDate,AF108,,,Trigger)</f>
        <v>0.41643835616438357</v>
      </c>
      <c r="AH108" s="189">
        <f t="shared" si="17"/>
        <v>2.4242771918876489E-3</v>
      </c>
      <c r="AI108" s="189">
        <f t="shared" si="18"/>
        <v>2.667306719025844E-3</v>
      </c>
      <c r="AJ108" s="161">
        <f t="shared" si="19"/>
        <v>2.7504224630099045E-3</v>
      </c>
    </row>
    <row r="109" spans="14:36" x14ac:dyDescent="0.2">
      <c r="N109" s="170"/>
      <c r="O109" s="170"/>
      <c r="AF109" s="188">
        <f>_xll.qlCalendarAdvance(Calendar,AF108,"1d","mf",,Trigger)</f>
        <v>42277</v>
      </c>
      <c r="AG109" s="210">
        <f>_xll.qlDayCounterYearFraction(DayCounter,SettlementDate,AF109,,,Trigger)</f>
        <v>0.41917808219178082</v>
      </c>
      <c r="AH109" s="189">
        <f t="shared" si="17"/>
        <v>2.4242771918876489E-3</v>
      </c>
      <c r="AI109" s="189">
        <f t="shared" si="18"/>
        <v>2.6713237360033349E-3</v>
      </c>
      <c r="AJ109" s="161">
        <f t="shared" si="19"/>
        <v>2.747446587521715E-3</v>
      </c>
    </row>
    <row r="110" spans="14:36" x14ac:dyDescent="0.2">
      <c r="N110" s="170"/>
      <c r="O110" s="170"/>
      <c r="AF110" s="188">
        <f>_xll.qlCalendarAdvance(Calendar,AF109,"1d","mf",,Trigger)</f>
        <v>42278</v>
      </c>
      <c r="AG110" s="210">
        <f>_xll.qlDayCounterYearFraction(DayCounter,SettlementDate,AF110,,,Trigger)</f>
        <v>0.42191780821917807</v>
      </c>
      <c r="AH110" s="189">
        <f t="shared" si="17"/>
        <v>2.4242771918876489E-3</v>
      </c>
      <c r="AI110" s="189">
        <f t="shared" si="18"/>
        <v>2.6753407529808253E-3</v>
      </c>
      <c r="AJ110" s="161">
        <f t="shared" si="19"/>
        <v>2.7443152376457037E-3</v>
      </c>
    </row>
    <row r="111" spans="14:36" x14ac:dyDescent="0.2">
      <c r="N111" s="170"/>
      <c r="O111" s="170"/>
      <c r="AF111" s="188">
        <f>_xll.qlCalendarAdvance(Calendar,AF110,"1d","mf",,Trigger)</f>
        <v>42279</v>
      </c>
      <c r="AG111" s="210">
        <f>_xll.qlDayCounterYearFraction(DayCounter,SettlementDate,AF111,,,Trigger)</f>
        <v>0.42465753424657532</v>
      </c>
      <c r="AH111" s="189">
        <f t="shared" si="17"/>
        <v>2.4242771918876489E-3</v>
      </c>
      <c r="AI111" s="189">
        <f t="shared" si="18"/>
        <v>2.6793577699583161E-3</v>
      </c>
      <c r="AJ111" s="161">
        <f t="shared" si="19"/>
        <v>2.7410284133818669E-3</v>
      </c>
    </row>
    <row r="112" spans="14:36" x14ac:dyDescent="0.2">
      <c r="N112" s="170"/>
      <c r="O112" s="170"/>
      <c r="AF112" s="188">
        <f>_xll.qlCalendarAdvance(Calendar,AF111,"1d","mf",,Trigger)</f>
        <v>42282</v>
      </c>
      <c r="AG112" s="210">
        <f>_xll.qlDayCounterYearFraction(DayCounter,SettlementDate,AF112,,,Trigger)</f>
        <v>0.43287671232876712</v>
      </c>
      <c r="AH112" s="189">
        <f t="shared" si="17"/>
        <v>2.4242771918876489E-3</v>
      </c>
      <c r="AI112" s="189">
        <f t="shared" si="18"/>
        <v>2.6914088208907887E-3</v>
      </c>
      <c r="AJ112" s="161">
        <f t="shared" si="19"/>
        <v>2.7302350942634149E-3</v>
      </c>
    </row>
    <row r="113" spans="14:36" x14ac:dyDescent="0.2">
      <c r="N113" s="157"/>
      <c r="O113" s="170"/>
      <c r="AF113" s="188">
        <f>_xll.qlCalendarAdvance(Calendar,AF112,"1d","mf",,Trigger)</f>
        <v>42283</v>
      </c>
      <c r="AG113" s="210">
        <f>_xll.qlDayCounterYearFraction(DayCounter,SettlementDate,AF113,,,Trigger)</f>
        <v>0.43561643835616437</v>
      </c>
      <c r="AH113" s="189">
        <f t="shared" si="17"/>
        <v>2.4242771918876489E-3</v>
      </c>
      <c r="AI113" s="189">
        <f t="shared" si="18"/>
        <v>2.6954258378682795E-3</v>
      </c>
      <c r="AJ113" s="161">
        <f t="shared" si="19"/>
        <v>2.7263263724482826E-3</v>
      </c>
    </row>
    <row r="114" spans="14:36" x14ac:dyDescent="0.2">
      <c r="N114" s="157"/>
      <c r="O114" s="170"/>
      <c r="AF114" s="188">
        <f>_xll.qlCalendarAdvance(Calendar,AF113,"1d","mf",,Trigger)</f>
        <v>42284</v>
      </c>
      <c r="AG114" s="210">
        <f>_xll.qlDayCounterYearFraction(DayCounter,SettlementDate,AF114,,,Trigger)</f>
        <v>0.43835616438356162</v>
      </c>
      <c r="AH114" s="189">
        <f t="shared" si="17"/>
        <v>2.4242771918876489E-3</v>
      </c>
      <c r="AI114" s="189">
        <f t="shared" si="18"/>
        <v>2.6994428548457704E-3</v>
      </c>
      <c r="AJ114" s="161">
        <f t="shared" si="19"/>
        <v>2.7222621762453278E-3</v>
      </c>
    </row>
    <row r="115" spans="14:36" x14ac:dyDescent="0.2">
      <c r="N115" s="157"/>
      <c r="O115" s="170"/>
      <c r="AF115" s="188">
        <f>_xll.qlCalendarAdvance(Calendar,AF114,"1d","mf",,Trigger)</f>
        <v>42285</v>
      </c>
      <c r="AG115" s="210">
        <f>_xll.qlDayCounterYearFraction(DayCounter,SettlementDate,AF115,,,Trigger)</f>
        <v>0.44109589041095892</v>
      </c>
      <c r="AH115" s="189">
        <f t="shared" si="17"/>
        <v>2.4242771918876489E-3</v>
      </c>
      <c r="AI115" s="189">
        <f t="shared" si="18"/>
        <v>2.7034598718232612E-3</v>
      </c>
      <c r="AJ115" s="161">
        <f t="shared" si="19"/>
        <v>2.7180425056545477E-3</v>
      </c>
    </row>
    <row r="116" spans="14:36" x14ac:dyDescent="0.2">
      <c r="N116" s="157"/>
      <c r="O116" s="170"/>
      <c r="AF116" s="188">
        <f>_xll.qlCalendarAdvance(Calendar,AF115,"1d","mf",,Trigger)</f>
        <v>42286</v>
      </c>
      <c r="AG116" s="210">
        <f>_xll.qlDayCounterYearFraction(DayCounter,SettlementDate,AF116,,,Trigger)</f>
        <v>0.44383561643835617</v>
      </c>
      <c r="AH116" s="189">
        <f t="shared" si="17"/>
        <v>2.4242771918876489E-3</v>
      </c>
      <c r="AI116" s="189">
        <f t="shared" si="18"/>
        <v>2.7074768888007521E-3</v>
      </c>
      <c r="AJ116" s="161">
        <f t="shared" si="19"/>
        <v>2.7136673606759443E-3</v>
      </c>
    </row>
    <row r="117" spans="14:36" x14ac:dyDescent="0.2">
      <c r="N117" s="157"/>
      <c r="O117" s="170"/>
      <c r="AF117" s="188">
        <f>_xll.qlCalendarAdvance(Calendar,AF116,"1d","mf",,Trigger)</f>
        <v>42289</v>
      </c>
      <c r="AG117" s="210">
        <f>_xll.qlDayCounterYearFraction(DayCounter,SettlementDate,AF117,,,Trigger)</f>
        <v>0.45205479452054792</v>
      </c>
      <c r="AH117" s="189">
        <f t="shared" si="17"/>
        <v>2.4242771918876489E-3</v>
      </c>
      <c r="AI117" s="189">
        <f t="shared" si="18"/>
        <v>2.7195279397332246E-3</v>
      </c>
      <c r="AJ117" s="161">
        <f t="shared" si="19"/>
        <v>2.6996090794131895E-3</v>
      </c>
    </row>
    <row r="118" spans="14:36" x14ac:dyDescent="0.2">
      <c r="N118" s="157"/>
      <c r="O118" s="170"/>
      <c r="AF118" s="188">
        <f>_xll.qlCalendarAdvance(Calendar,AF117,"1d","mf",,Trigger)</f>
        <v>42290</v>
      </c>
      <c r="AG118" s="210">
        <f>_xll.qlDayCounterYearFraction(DayCounter,SettlementDate,AF118,,,Trigger)</f>
        <v>0.45479452054794522</v>
      </c>
      <c r="AH118" s="189">
        <f t="shared" si="17"/>
        <v>2.4242771918876489E-3</v>
      </c>
      <c r="AI118" s="189">
        <f t="shared" si="18"/>
        <v>2.7235449567107155E-3</v>
      </c>
      <c r="AJ118" s="161">
        <f t="shared" si="19"/>
        <v>2.694612036883291E-3</v>
      </c>
    </row>
    <row r="119" spans="14:36" x14ac:dyDescent="0.2">
      <c r="N119" s="157"/>
      <c r="O119" s="157"/>
      <c r="AF119" s="188">
        <f>_xll.qlCalendarAdvance(Calendar,AF118,"1d","mf",,Trigger)</f>
        <v>42291</v>
      </c>
      <c r="AG119" s="210">
        <f>_xll.qlDayCounterYearFraction(DayCounter,SettlementDate,AF119,,,Trigger)</f>
        <v>0.45753424657534247</v>
      </c>
      <c r="AH119" s="189">
        <f t="shared" si="17"/>
        <v>2.4242771918876489E-3</v>
      </c>
      <c r="AI119" s="189">
        <f t="shared" si="18"/>
        <v>2.7275619736882063E-3</v>
      </c>
      <c r="AJ119" s="161">
        <f t="shared" si="19"/>
        <v>2.6894595199655679E-3</v>
      </c>
    </row>
    <row r="120" spans="14:36" x14ac:dyDescent="0.2">
      <c r="N120" s="157"/>
      <c r="O120" s="157"/>
      <c r="AF120" s="188">
        <f>_xll.qlCalendarAdvance(Calendar,AF119,"1d","mf",,Trigger)</f>
        <v>42292</v>
      </c>
      <c r="AG120" s="210">
        <f>_xll.qlDayCounterYearFraction(DayCounter,SettlementDate,AF120,,,Trigger)</f>
        <v>0.46027397260273972</v>
      </c>
      <c r="AH120" s="189">
        <f t="shared" si="17"/>
        <v>2.4242771918876489E-3</v>
      </c>
      <c r="AI120" s="189">
        <f t="shared" si="18"/>
        <v>2.7315789906656972E-3</v>
      </c>
      <c r="AJ120" s="161">
        <f t="shared" si="19"/>
        <v>2.6841515286600212E-3</v>
      </c>
    </row>
    <row r="121" spans="14:36" x14ac:dyDescent="0.2">
      <c r="N121" s="157"/>
      <c r="O121" s="157"/>
      <c r="AF121" s="188">
        <f>_xll.qlCalendarAdvance(Calendar,AF120,"1d","mf",,Trigger)</f>
        <v>42293</v>
      </c>
      <c r="AG121" s="210">
        <f>_xll.qlDayCounterYearFraction(DayCounter,SettlementDate,AF121,,,Trigger)</f>
        <v>0.46301369863013697</v>
      </c>
      <c r="AH121" s="189">
        <f t="shared" si="17"/>
        <v>2.4242771918876489E-3</v>
      </c>
      <c r="AI121" s="189">
        <f t="shared" si="18"/>
        <v>2.735596007643188E-3</v>
      </c>
      <c r="AJ121" s="161">
        <f t="shared" si="19"/>
        <v>2.6786880629666504E-3</v>
      </c>
    </row>
    <row r="122" spans="14:36" x14ac:dyDescent="0.2">
      <c r="N122" s="157"/>
      <c r="O122" s="157"/>
      <c r="AF122" s="188">
        <f>_xll.qlCalendarAdvance(Calendar,AF121,"1d","mf",,Trigger)</f>
        <v>42296</v>
      </c>
      <c r="AG122" s="210">
        <f>_xll.qlDayCounterYearFraction(DayCounter,SettlementDate,AF122,,,Trigger)</f>
        <v>0.47123287671232877</v>
      </c>
      <c r="AH122" s="189">
        <f t="shared" si="17"/>
        <v>2.4242771918876489E-3</v>
      </c>
      <c r="AI122" s="189">
        <f t="shared" si="18"/>
        <v>2.7476470585756606E-3</v>
      </c>
      <c r="AJ122" s="161">
        <f t="shared" si="19"/>
        <v>2.6613648195595945E-3</v>
      </c>
    </row>
    <row r="123" spans="14:36" x14ac:dyDescent="0.2">
      <c r="N123" s="157"/>
      <c r="O123" s="157"/>
      <c r="AF123" s="188">
        <f>_xll.qlCalendarAdvance(Calendar,AF122,"1d","mf",,Trigger)</f>
        <v>42297</v>
      </c>
      <c r="AG123" s="210">
        <f>_xll.qlDayCounterYearFraction(DayCounter,SettlementDate,AF123,,,Trigger)</f>
        <v>0.47397260273972602</v>
      </c>
      <c r="AH123" s="189">
        <f t="shared" si="17"/>
        <v>2.4242771918876489E-3</v>
      </c>
      <c r="AI123" s="189">
        <f t="shared" si="18"/>
        <v>2.7516640755531514E-3</v>
      </c>
      <c r="AJ123" s="161">
        <f t="shared" si="19"/>
        <v>2.6552794563149281E-3</v>
      </c>
    </row>
    <row r="124" spans="14:36" x14ac:dyDescent="0.2">
      <c r="N124" s="157"/>
      <c r="O124" s="157"/>
      <c r="AF124" s="188">
        <f>_xll.qlCalendarAdvance(Calendar,AF123,"1d","mf",,Trigger)</f>
        <v>42298</v>
      </c>
      <c r="AG124" s="210">
        <f>_xll.qlDayCounterYearFraction(DayCounter,SettlementDate,AF124,,,Trigger)</f>
        <v>0.47671232876712327</v>
      </c>
      <c r="AH124" s="189">
        <f t="shared" si="17"/>
        <v>2.4242771918876489E-3</v>
      </c>
      <c r="AI124" s="189">
        <f t="shared" si="18"/>
        <v>2.7556810925306423E-3</v>
      </c>
      <c r="AJ124" s="161">
        <f t="shared" si="19"/>
        <v>2.649038618682438E-3</v>
      </c>
    </row>
    <row r="125" spans="14:36" x14ac:dyDescent="0.2">
      <c r="N125" s="157"/>
      <c r="O125" s="157"/>
      <c r="AF125" s="188">
        <f>_xll.qlCalendarAdvance(Calendar,AF124,"1d","mf",,Trigger)</f>
        <v>42299</v>
      </c>
      <c r="AG125" s="210">
        <f>_xll.qlDayCounterYearFraction(DayCounter,SettlementDate,AF125,,,Trigger)</f>
        <v>0.47945205479452052</v>
      </c>
      <c r="AH125" s="189">
        <f t="shared" si="17"/>
        <v>2.4242771918876489E-3</v>
      </c>
      <c r="AI125" s="189">
        <f t="shared" si="18"/>
        <v>2.7596981095081331E-3</v>
      </c>
      <c r="AJ125" s="161">
        <f t="shared" si="19"/>
        <v>2.6426423066621238E-3</v>
      </c>
    </row>
    <row r="126" spans="14:36" x14ac:dyDescent="0.2">
      <c r="N126" s="157"/>
      <c r="O126" s="157"/>
      <c r="AF126" s="188">
        <f>_xll.qlCalendarAdvance(Calendar,AF125,"1d","mf",,Trigger)</f>
        <v>42300</v>
      </c>
      <c r="AG126" s="210">
        <f>_xll.qlDayCounterYearFraction(DayCounter,SettlementDate,AF126,,,Trigger)</f>
        <v>0.48219178082191783</v>
      </c>
      <c r="AH126" s="189">
        <f t="shared" si="17"/>
        <v>2.4242771918876489E-3</v>
      </c>
      <c r="AI126" s="189">
        <f t="shared" si="18"/>
        <v>2.763715126485624E-3</v>
      </c>
      <c r="AJ126" s="161">
        <f t="shared" si="19"/>
        <v>2.6360905202539851E-3</v>
      </c>
    </row>
    <row r="127" spans="14:36" x14ac:dyDescent="0.2">
      <c r="N127" s="157"/>
      <c r="O127" s="157"/>
      <c r="AF127" s="188">
        <f>_xll.qlCalendarAdvance(Calendar,AF126,"1d","mf",,Trigger)</f>
        <v>42303</v>
      </c>
      <c r="AG127" s="210">
        <f>_xll.qlDayCounterYearFraction(DayCounter,SettlementDate,AF127,,,Trigger)</f>
        <v>0.49041095890410957</v>
      </c>
      <c r="AH127" s="189">
        <f t="shared" si="17"/>
        <v>2.4242771918876489E-3</v>
      </c>
      <c r="AI127" s="189">
        <f t="shared" si="18"/>
        <v>2.7757661774180965E-3</v>
      </c>
      <c r="AJ127" s="161">
        <f t="shared" si="19"/>
        <v>2.6155023147026277E-3</v>
      </c>
    </row>
    <row r="128" spans="14:36" x14ac:dyDescent="0.2">
      <c r="N128" s="157"/>
      <c r="O128" s="157"/>
      <c r="AF128" s="188">
        <f>_xll.qlCalendarAdvance(Calendar,AF127,"1d","mf",,Trigger)</f>
        <v>42304</v>
      </c>
      <c r="AG128" s="210">
        <f>_xll.qlDayCounterYearFraction(DayCounter,SettlementDate,AF128,,,Trigger)</f>
        <v>0.49315068493150682</v>
      </c>
      <c r="AH128" s="189">
        <f t="shared" si="17"/>
        <v>2.4242771918876489E-3</v>
      </c>
      <c r="AI128" s="189">
        <f t="shared" si="18"/>
        <v>2.7797831943955874E-3</v>
      </c>
      <c r="AJ128" s="161">
        <f t="shared" si="19"/>
        <v>2.6083286307431938E-3</v>
      </c>
    </row>
    <row r="129" spans="15:36" x14ac:dyDescent="0.2">
      <c r="O129" s="157"/>
      <c r="AF129" s="188">
        <f>_xll.qlCalendarAdvance(Calendar,AF128,"1d","mf",,Trigger)</f>
        <v>42305</v>
      </c>
      <c r="AG129" s="210">
        <f>_xll.qlDayCounterYearFraction(DayCounter,SettlementDate,AF129,,,Trigger)</f>
        <v>0.49589041095890413</v>
      </c>
      <c r="AH129" s="189">
        <f t="shared" si="17"/>
        <v>2.4242771918876489E-3</v>
      </c>
      <c r="AI129" s="189">
        <f t="shared" si="18"/>
        <v>2.7838002113730782E-3</v>
      </c>
      <c r="AJ129" s="161">
        <f t="shared" si="19"/>
        <v>2.6009994723959371E-3</v>
      </c>
    </row>
    <row r="130" spans="15:36" x14ac:dyDescent="0.2">
      <c r="O130" s="157"/>
      <c r="AF130" s="188">
        <f>_xll.qlCalendarAdvance(Calendar,AF129,"1d","mf",,Trigger)</f>
        <v>42306</v>
      </c>
      <c r="AG130" s="210">
        <f>_xll.qlDayCounterYearFraction(DayCounter,SettlementDate,AF130,,,Trigger)</f>
        <v>0.49863013698630138</v>
      </c>
      <c r="AH130" s="189">
        <f t="shared" si="17"/>
        <v>2.4242771918876489E-3</v>
      </c>
      <c r="AI130" s="189">
        <f t="shared" si="18"/>
        <v>2.7878172283505691E-3</v>
      </c>
      <c r="AJ130" s="161">
        <f t="shared" si="19"/>
        <v>2.5935148396608546E-3</v>
      </c>
    </row>
    <row r="131" spans="15:36" x14ac:dyDescent="0.2">
      <c r="O131" s="157"/>
      <c r="AF131" s="188">
        <f>_xll.qlCalendarAdvance(Calendar,AF130,"1d","mf",,Trigger)</f>
        <v>42307</v>
      </c>
      <c r="AG131" s="210">
        <f>_xll.qlDayCounterYearFraction(DayCounter,SettlementDate,AF131,,,Trigger)</f>
        <v>0.50136986301369868</v>
      </c>
      <c r="AH131" s="189">
        <f t="shared" si="17"/>
        <v>2.4242771918876489E-3</v>
      </c>
      <c r="AI131" s="189">
        <f t="shared" si="18"/>
        <v>2.7918342453280599E-3</v>
      </c>
      <c r="AJ131" s="161">
        <f t="shared" si="19"/>
        <v>2.5858747325379493E-3</v>
      </c>
    </row>
    <row r="132" spans="15:36" ht="12" thickBot="1" x14ac:dyDescent="0.25">
      <c r="O132" s="157"/>
      <c r="AF132" s="190">
        <f>_xll.qlCalendarAdvance(Calendar,AF131,"1d","mf",,Trigger)</f>
        <v>42310</v>
      </c>
      <c r="AG132" s="211">
        <f>_xll.qlDayCounterYearFraction(DayCounter,SettlementDate,AF132,,,Trigger)</f>
        <v>0.50958904109589043</v>
      </c>
      <c r="AH132" s="191">
        <f t="shared" si="17"/>
        <v>2.4242771918876489E-3</v>
      </c>
      <c r="AI132" s="191">
        <f t="shared" si="18"/>
        <v>2.8038852962605325E-3</v>
      </c>
      <c r="AJ132" s="164">
        <f t="shared" si="19"/>
        <v>2.5620215648422904E-3</v>
      </c>
    </row>
    <row r="133" spans="15:36" x14ac:dyDescent="0.2">
      <c r="O133" s="157"/>
    </row>
    <row r="134" spans="15:36" x14ac:dyDescent="0.2">
      <c r="O134" s="157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7"/>
  <sheetViews>
    <sheetView workbookViewId="0">
      <selection activeCell="C33" sqref="C33"/>
    </sheetView>
  </sheetViews>
  <sheetFormatPr defaultColWidth="9.5" defaultRowHeight="11.25" x14ac:dyDescent="0.2"/>
  <cols>
    <col min="1" max="2" width="3.5" style="156" customWidth="1"/>
    <col min="3" max="5" width="22.83203125" style="156" customWidth="1"/>
    <col min="6" max="6" width="10.5" style="156" bestFit="1" customWidth="1"/>
    <col min="7" max="8" width="14.1640625" style="156" bestFit="1" customWidth="1"/>
    <col min="9" max="9" width="10.5" style="156" bestFit="1" customWidth="1"/>
    <col min="10" max="11" width="9.33203125" style="156" bestFit="1" customWidth="1"/>
    <col min="12" max="12" width="10.5" style="156" bestFit="1" customWidth="1"/>
    <col min="13" max="13" width="10.83203125" style="156" customWidth="1"/>
    <col min="14" max="14" width="13.1640625" style="156" customWidth="1"/>
    <col min="15" max="17" width="6.83203125" style="156" customWidth="1"/>
    <col min="18" max="18" width="2.33203125" style="156" bestFit="1" customWidth="1"/>
    <col min="19" max="19" width="10.83203125" style="156" customWidth="1"/>
    <col min="20" max="20" width="2.33203125" style="156" bestFit="1" customWidth="1"/>
    <col min="21" max="21" width="10.83203125" style="156" customWidth="1"/>
    <col min="22" max="22" width="12.5" style="156" bestFit="1" customWidth="1"/>
    <col min="23" max="25" width="9.33203125" style="156" bestFit="1" customWidth="1"/>
    <col min="26" max="27" width="9.5" style="156"/>
    <col min="28" max="28" width="20.33203125" style="156" bestFit="1" customWidth="1"/>
    <col min="29" max="29" width="8.1640625" style="156" bestFit="1" customWidth="1"/>
    <col min="30" max="31" width="9.5" style="156" bestFit="1" customWidth="1"/>
    <col min="32" max="32" width="12.1640625" style="156" customWidth="1"/>
    <col min="33" max="16384" width="9.5" style="156"/>
  </cols>
  <sheetData>
    <row r="1" spans="1:32" ht="12" thickBot="1" x14ac:dyDescent="0.25"/>
    <row r="2" spans="1:32" ht="19.5" customHeight="1" x14ac:dyDescent="0.2">
      <c r="C2" s="165" t="s">
        <v>102</v>
      </c>
      <c r="D2" s="166" t="s">
        <v>87</v>
      </c>
      <c r="E2" s="166" t="s">
        <v>88</v>
      </c>
      <c r="F2" s="166" t="s">
        <v>141</v>
      </c>
      <c r="G2" s="166" t="s">
        <v>145</v>
      </c>
      <c r="H2" s="166" t="s">
        <v>146</v>
      </c>
      <c r="I2" s="166" t="s">
        <v>109</v>
      </c>
      <c r="J2" s="180" t="s">
        <v>110</v>
      </c>
      <c r="K2" s="166" t="s">
        <v>111</v>
      </c>
      <c r="L2" s="167" t="s">
        <v>117</v>
      </c>
      <c r="S2" s="206" t="s">
        <v>107</v>
      </c>
      <c r="W2" s="494" t="s">
        <v>106</v>
      </c>
      <c r="X2" s="494"/>
      <c r="Y2" s="494"/>
      <c r="AB2" s="165" t="s">
        <v>87</v>
      </c>
      <c r="AC2" s="165" t="s">
        <v>137</v>
      </c>
      <c r="AD2" s="166" t="s">
        <v>37</v>
      </c>
      <c r="AE2" s="166" t="s">
        <v>100</v>
      </c>
      <c r="AF2" s="167" t="s">
        <v>101</v>
      </c>
    </row>
    <row r="3" spans="1:32" ht="12" customHeight="1" x14ac:dyDescent="0.2">
      <c r="C3" s="329" t="str">
        <f>$D$10&amp;"LastFixing"&amp;QuoteSuffix</f>
        <v>GbpLibor1YLastFixing_Quote</v>
      </c>
      <c r="D3" s="330">
        <f>_xll.qlCalendarAdvance(Calendar,_xll.qlLastFixingQuoteReferenceDate($C$3),_xll.qlInterestRateIndexFixingDays($D$10)&amp;"D","f",,LastFixingsTrigger)</f>
        <v>42123</v>
      </c>
      <c r="E3" s="330">
        <f>_xll.qlInterestRateIndexMaturity($D$10,D3)</f>
        <v>42489</v>
      </c>
      <c r="F3" s="424">
        <f>'Delta 1Y'!W31</f>
        <v>4.7015019493089755E-3</v>
      </c>
      <c r="G3" s="350">
        <f>_xll.qlDayCounterYearFraction(DayCounter,SettlementDate,D3,,,Trigger)</f>
        <v>-2.7397260273972603E-3</v>
      </c>
      <c r="H3" s="350">
        <f>_xll.qlDayCounterYearFraction(DayCounter,SettlementDate,E3,,,Trigger)</f>
        <v>1</v>
      </c>
      <c r="I3" s="350">
        <f>H3-G3</f>
        <v>1.0027397260273974</v>
      </c>
      <c r="J3" s="350">
        <f>(H3^2-G3^2)/2</f>
        <v>0.49999624695064743</v>
      </c>
      <c r="K3" s="350">
        <f>(H3^3-G3^3)/3</f>
        <v>0.33333334018821797</v>
      </c>
      <c r="L3" s="331" t="b">
        <f>IF(D12="fixing",TRUE,FALSE)</f>
        <v>0</v>
      </c>
      <c r="N3" s="495" t="s">
        <v>103</v>
      </c>
      <c r="O3" s="172">
        <f t="array" ref="O3:O5">_xll.ohFilter(K3:K7,L3:L7)</f>
        <v>0.33333333333333331</v>
      </c>
      <c r="P3" s="173">
        <f t="array" ref="P3:P5">_xll.ohFilter(J3:J7,L3:L7)</f>
        <v>0.5</v>
      </c>
      <c r="Q3" s="174">
        <f t="array" ref="Q3:Q5">_xll.ohFilter(I3:I7,L3:L7)</f>
        <v>1</v>
      </c>
      <c r="R3" s="168"/>
      <c r="S3" s="176">
        <f t="array" ref="S3:S5">MMULT(W3:Y5,U3:U5)</f>
        <v>-4.7554760011965583E-3</v>
      </c>
      <c r="T3" s="177"/>
      <c r="U3" s="160">
        <f t="array" ref="U3:U5">_xll.ohFilter(F3:F7,L3:L7)</f>
        <v>4.7015019493089755E-3</v>
      </c>
      <c r="W3" s="172">
        <f t="array" ref="W3:Y5">MINVERSE(O3:Q5)</f>
        <v>7.900256584543488</v>
      </c>
      <c r="X3" s="173">
        <v>-15.630615178021522</v>
      </c>
      <c r="Y3" s="174">
        <v>7.6882312986906856</v>
      </c>
      <c r="AB3" s="185">
        <f>SettlementDate</f>
        <v>42124</v>
      </c>
      <c r="AC3" s="210">
        <f>_xll.qlDayCounterYearFraction(DayCounter,SettlementDate,AB3,,,Trigger)</f>
        <v>0</v>
      </c>
      <c r="AD3" s="186">
        <f t="shared" ref="AD3:AD66" si="0">$S$13</f>
        <v>4.7015019493089755E-3</v>
      </c>
      <c r="AE3" s="186">
        <f t="shared" ref="AE3:AE21" si="1">$S$10+$S$9*AC3</f>
        <v>3.9202665529506145E-3</v>
      </c>
      <c r="AF3" s="187">
        <f t="shared" ref="AF3:AF21" si="2">($S$5+$S$4*AC3+$S$3*AC3^2)</f>
        <v>2.5348813069399311E-3</v>
      </c>
    </row>
    <row r="4" spans="1:32" ht="12" customHeight="1" x14ac:dyDescent="0.2">
      <c r="A4" s="156">
        <v>0</v>
      </c>
      <c r="B4" s="156">
        <f>A4+12</f>
        <v>12</v>
      </c>
      <c r="C4" s="158" t="str">
        <f>"Delta("&amp;A4&amp;"M,"&amp;B4&amp;"M)"</f>
        <v>Delta(0M,12M)</v>
      </c>
      <c r="D4" s="159">
        <f>SettlementDate</f>
        <v>42124</v>
      </c>
      <c r="E4" s="159">
        <f>_xll.qlInterestRateIndexMaturity($D$10,D4)</f>
        <v>42489</v>
      </c>
      <c r="F4" s="425">
        <f t="array" ref="F4:F7">Delta1Y</f>
        <v>4.7015019493089755E-3</v>
      </c>
      <c r="G4" s="210">
        <f>_xll.qlDayCounterYearFraction(DayCounter,SettlementDate,D4,,,Trigger)</f>
        <v>0</v>
      </c>
      <c r="H4" s="210">
        <f>_xll.qlDayCounterYearFraction(DayCounter,SettlementDate,E4,,,Trigger)</f>
        <v>1</v>
      </c>
      <c r="I4" s="210">
        <f>H4-G4</f>
        <v>1</v>
      </c>
      <c r="J4" s="210">
        <f>(H4^2-G4^2)/2</f>
        <v>0.5</v>
      </c>
      <c r="K4" s="210">
        <f>(H4^3-G4^3)/3</f>
        <v>0.33333333333333331</v>
      </c>
      <c r="L4" s="192" t="b">
        <f>IF(D12="fixing",FALSE,TRUE)</f>
        <v>1</v>
      </c>
      <c r="N4" s="495"/>
      <c r="O4" s="172">
        <v>0.64480640520422849</v>
      </c>
      <c r="P4" s="173">
        <v>0.74931506849315066</v>
      </c>
      <c r="Q4" s="174">
        <v>1</v>
      </c>
      <c r="R4" s="169" t="s">
        <v>35</v>
      </c>
      <c r="S4" s="176">
        <v>7.50355861886913E-3</v>
      </c>
      <c r="T4" s="169" t="s">
        <v>36</v>
      </c>
      <c r="U4" s="160">
        <v>5.0910494620136923E-3</v>
      </c>
      <c r="W4" s="172">
        <v>-13.880898607021427</v>
      </c>
      <c r="X4" s="173">
        <v>23.538552082709053</v>
      </c>
      <c r="Y4" s="174">
        <v>-9.6050232115149417</v>
      </c>
      <c r="AB4" s="188">
        <f>_xll.qlCalendarAdvance(Calendar,AB3,"1d","mf",,Trigger)</f>
        <v>42125</v>
      </c>
      <c r="AC4" s="210">
        <f>_xll.qlDayCounterYearFraction(DayCounter,SettlementDate,AB4,,,Trigger)</f>
        <v>2.7397260273972603E-3</v>
      </c>
      <c r="AD4" s="189">
        <f t="shared" si="0"/>
        <v>4.7015019493089755E-3</v>
      </c>
      <c r="AE4" s="189">
        <f t="shared" si="1"/>
        <v>3.9245472948484681E-3</v>
      </c>
      <c r="AF4" s="161">
        <f t="shared" si="2"/>
        <v>2.5554033067138925E-3</v>
      </c>
    </row>
    <row r="5" spans="1:32" ht="12" customHeight="1" x14ac:dyDescent="0.2">
      <c r="A5" s="171">
        <v>3</v>
      </c>
      <c r="B5" s="156">
        <f t="shared" ref="B5:B7" si="3">A5+12</f>
        <v>15</v>
      </c>
      <c r="C5" s="158" t="str">
        <f>"Delta("&amp;A5&amp;"M,"&amp;B5&amp;"M)"</f>
        <v>Delta(3M,15M)</v>
      </c>
      <c r="D5" s="159">
        <f>_xll.qlCalendarAdvance(Calendar,SettlementDate,A5&amp;"M","f")</f>
        <v>42215</v>
      </c>
      <c r="E5" s="159">
        <f>_xll.qlInterestRateIndexMaturity($D$10,D5)</f>
        <v>42580</v>
      </c>
      <c r="F5" s="425">
        <v>5.0910494620136923E-3</v>
      </c>
      <c r="G5" s="210">
        <f>_xll.qlDayCounterYearFraction(DayCounter,SettlementDate,D5,,,Trigger)</f>
        <v>0.24931506849315069</v>
      </c>
      <c r="H5" s="210">
        <f>_xll.qlDayCounterYearFraction(DayCounter,SettlementDate,E5,,,Trigger)</f>
        <v>1.2493150684931507</v>
      </c>
      <c r="I5" s="210">
        <f>H5-G5</f>
        <v>1</v>
      </c>
      <c r="J5" s="210">
        <f>(H5^2-G5^2)/2</f>
        <v>0.74931506849315066</v>
      </c>
      <c r="K5" s="210">
        <f>(H5^3-G5^3)/3</f>
        <v>0.64480640520422849</v>
      </c>
      <c r="L5" s="192" t="b">
        <v>1</v>
      </c>
      <c r="N5" s="495"/>
      <c r="O5" s="172">
        <v>1.0984713641477535</v>
      </c>
      <c r="P5" s="173">
        <v>1.0096115593920061</v>
      </c>
      <c r="Q5" s="174">
        <v>1.0054794520547945</v>
      </c>
      <c r="R5" s="171"/>
      <c r="S5" s="176">
        <v>2.5348813069399311E-3</v>
      </c>
      <c r="T5" s="169"/>
      <c r="U5" s="160">
        <v>4.9006963755054084E-3</v>
      </c>
      <c r="W5" s="172">
        <v>5.3070304419962184</v>
      </c>
      <c r="X5" s="173">
        <v>-6.5590709820140214</v>
      </c>
      <c r="Y5" s="174">
        <v>2.2397678395272429</v>
      </c>
      <c r="AB5" s="188">
        <f>_xll.qlCalendarAdvance(Calendar,AB4,"1d","mf",,Trigger)</f>
        <v>42129</v>
      </c>
      <c r="AC5" s="210">
        <f>_xll.qlDayCounterYearFraction(DayCounter,SettlementDate,AB5,,,Trigger)</f>
        <v>1.3698630136986301E-2</v>
      </c>
      <c r="AD5" s="189">
        <f t="shared" si="0"/>
        <v>4.7015019493089755E-3</v>
      </c>
      <c r="AE5" s="189">
        <f t="shared" si="1"/>
        <v>3.9416702624398845E-3</v>
      </c>
      <c r="AF5" s="161">
        <f t="shared" si="2"/>
        <v>2.6367774043646354E-3</v>
      </c>
    </row>
    <row r="6" spans="1:32" ht="12" customHeight="1" x14ac:dyDescent="0.2">
      <c r="A6" s="171">
        <v>6</v>
      </c>
      <c r="B6" s="205">
        <f t="shared" si="3"/>
        <v>18</v>
      </c>
      <c r="C6" s="158" t="str">
        <f>"Delta("&amp;A6&amp;"M,"&amp;B6&amp;"M)"</f>
        <v>Delta(6M,18M)</v>
      </c>
      <c r="D6" s="159">
        <f>_xll.qlCalendarAdvance(Calendar,SettlementDate,A6&amp;"M","f")</f>
        <v>42307</v>
      </c>
      <c r="E6" s="159">
        <f>_xll.qlInterestRateIndexMaturity($D$10,D6)</f>
        <v>42674</v>
      </c>
      <c r="F6" s="425">
        <v>4.9006963755054084E-3</v>
      </c>
      <c r="G6" s="210">
        <f>_xll.qlDayCounterYearFraction(DayCounter,SettlementDate,D6,,,Trigger)</f>
        <v>0.50136986301369868</v>
      </c>
      <c r="H6" s="210">
        <f>_xll.qlDayCounterYearFraction(DayCounter,SettlementDate,E6,,,Trigger)</f>
        <v>1.5068493150684932</v>
      </c>
      <c r="I6" s="210">
        <f>H6-G6</f>
        <v>1.0054794520547945</v>
      </c>
      <c r="J6" s="210">
        <f>(H6^2-G6^2)/2</f>
        <v>1.0096115593920061</v>
      </c>
      <c r="K6" s="210">
        <f>(H6^3-G6^3)/3</f>
        <v>1.0984713641477535</v>
      </c>
      <c r="L6" s="192" t="b">
        <v>1</v>
      </c>
      <c r="S6" s="178"/>
      <c r="T6" s="207"/>
      <c r="U6" s="179"/>
      <c r="AB6" s="188">
        <f>_xll.qlCalendarAdvance(Calendar,AB5,"1d","mf",,Trigger)</f>
        <v>42130</v>
      </c>
      <c r="AC6" s="210">
        <f>_xll.qlDayCounterYearFraction(DayCounter,SettlementDate,AB6,,,Trigger)</f>
        <v>1.643835616438356E-2</v>
      </c>
      <c r="AD6" s="189">
        <f t="shared" si="0"/>
        <v>4.7015019493089755E-3</v>
      </c>
      <c r="AE6" s="189">
        <f t="shared" si="1"/>
        <v>3.945951004337739E-3</v>
      </c>
      <c r="AF6" s="161">
        <f t="shared" si="2"/>
        <v>2.656942453416045E-3</v>
      </c>
    </row>
    <row r="7" spans="1:32" ht="12" customHeight="1" thickBot="1" x14ac:dyDescent="0.25">
      <c r="A7" s="171">
        <v>12</v>
      </c>
      <c r="B7" s="205">
        <f t="shared" si="3"/>
        <v>24</v>
      </c>
      <c r="C7" s="162" t="str">
        <f>"Delta("&amp;A7&amp;"M,"&amp;B7&amp;"M)"</f>
        <v>Delta(12M,24M)</v>
      </c>
      <c r="D7" s="163">
        <f>_xll.qlCalendarAdvance(Calendar,SettlementDate,A7&amp;"M","f")</f>
        <v>42493</v>
      </c>
      <c r="E7" s="163">
        <f>_xll.qlInterestRateIndexMaturity($D$10,D7)</f>
        <v>42858</v>
      </c>
      <c r="F7" s="426">
        <v>4.7309804880119634E-3</v>
      </c>
      <c r="G7" s="211">
        <f>_xll.qlDayCounterYearFraction(DayCounter,SettlementDate,D7,,,Trigger)</f>
        <v>1.010958904109589</v>
      </c>
      <c r="H7" s="211">
        <f>_xll.qlDayCounterYearFraction(DayCounter,SettlementDate,E7,,,Trigger)</f>
        <v>2.010958904109589</v>
      </c>
      <c r="I7" s="211">
        <f>H7-G7</f>
        <v>1</v>
      </c>
      <c r="J7" s="211">
        <f>(H7^2-G7^2)/2</f>
        <v>1.510958904109589</v>
      </c>
      <c r="K7" s="211">
        <f>(H7^3-G7^3)/3</f>
        <v>2.3663301432413832</v>
      </c>
      <c r="L7" s="193" t="b">
        <v>0</v>
      </c>
      <c r="S7" s="178"/>
      <c r="T7" s="207"/>
      <c r="U7" s="179"/>
      <c r="AB7" s="188">
        <f>_xll.qlCalendarAdvance(Calendar,AB6,"1d","mf",,Trigger)</f>
        <v>42131</v>
      </c>
      <c r="AC7" s="210">
        <f>_xll.qlDayCounterYearFraction(DayCounter,SettlementDate,AB7,,,Trigger)</f>
        <v>1.9178082191780823E-2</v>
      </c>
      <c r="AD7" s="189">
        <f t="shared" si="0"/>
        <v>4.7015019493089755E-3</v>
      </c>
      <c r="AE7" s="189">
        <f t="shared" si="1"/>
        <v>3.9502317462355926E-3</v>
      </c>
      <c r="AF7" s="161">
        <f t="shared" si="2"/>
        <v>2.677036112322945E-3</v>
      </c>
    </row>
    <row r="8" spans="1:32" ht="12" customHeight="1" thickBot="1" x14ac:dyDescent="0.25">
      <c r="B8" s="400"/>
      <c r="C8" s="400"/>
      <c r="D8" s="401"/>
      <c r="E8" s="401"/>
      <c r="F8" s="402"/>
      <c r="G8" s="403"/>
      <c r="H8" s="403"/>
      <c r="I8" s="403"/>
      <c r="J8" s="403"/>
      <c r="K8" s="403"/>
      <c r="L8" s="404"/>
      <c r="S8" s="208" t="s">
        <v>108</v>
      </c>
      <c r="T8" s="207"/>
      <c r="U8" s="179"/>
      <c r="AB8" s="188">
        <f>_xll.qlCalendarAdvance(Calendar,AB7,"1d","mf",,Trigger)</f>
        <v>42132</v>
      </c>
      <c r="AC8" s="210">
        <f>_xll.qlDayCounterYearFraction(DayCounter,SettlementDate,AB8,,,Trigger)</f>
        <v>2.1917808219178082E-2</v>
      </c>
      <c r="AD8" s="189">
        <f t="shared" si="0"/>
        <v>4.7015019493089755E-3</v>
      </c>
      <c r="AE8" s="189">
        <f t="shared" si="1"/>
        <v>3.9545124881334472E-3</v>
      </c>
      <c r="AF8" s="161">
        <f t="shared" si="2"/>
        <v>2.6970583810853339E-3</v>
      </c>
    </row>
    <row r="9" spans="1:32" ht="12" customHeight="1" x14ac:dyDescent="0.2">
      <c r="C9" s="165" t="s">
        <v>153</v>
      </c>
      <c r="D9" s="203" t="s">
        <v>25</v>
      </c>
      <c r="N9" s="494" t="s">
        <v>104</v>
      </c>
      <c r="O9" s="209"/>
      <c r="P9" s="172">
        <f t="array" ref="P9:P10">_xll.ohFilter(J3:J7,L3:L7)</f>
        <v>0.5</v>
      </c>
      <c r="Q9" s="174">
        <f t="array" ref="Q9:Q10">_xll.ohFilter(I3:I7,L3:L7)</f>
        <v>1</v>
      </c>
      <c r="R9" s="496" t="s">
        <v>35</v>
      </c>
      <c r="S9" s="176">
        <f t="array" ref="S9:S10">MMULT(W9:X10,U9:U10)</f>
        <v>1.562470792716722E-3</v>
      </c>
      <c r="T9" s="496" t="s">
        <v>36</v>
      </c>
      <c r="U9" s="160">
        <f t="array" ref="U9:U10">_xll.ohFilter(F3:F7,L3:L7)</f>
        <v>4.7015019493089755E-3</v>
      </c>
      <c r="W9" s="172">
        <f t="array" ref="W9:X10">MINVERSE(P9:Q10)</f>
        <v>-4.0109890109890109</v>
      </c>
      <c r="X9" s="174">
        <v>4.0109890109890109</v>
      </c>
      <c r="AB9" s="188">
        <f>_xll.qlCalendarAdvance(Calendar,AB8,"1d","mf",,Trigger)</f>
        <v>42135</v>
      </c>
      <c r="AC9" s="210">
        <f>_xll.qlDayCounterYearFraction(DayCounter,SettlementDate,AB9,,,Trigger)</f>
        <v>3.0136986301369864E-2</v>
      </c>
      <c r="AD9" s="189">
        <f t="shared" si="0"/>
        <v>4.7015019493089755E-3</v>
      </c>
      <c r="AE9" s="189">
        <f t="shared" si="1"/>
        <v>3.967354713827009E-3</v>
      </c>
      <c r="AF9" s="161">
        <f t="shared" si="2"/>
        <v>2.7566968465054385E-3</v>
      </c>
    </row>
    <row r="10" spans="1:32" ht="12" customHeight="1" x14ac:dyDescent="0.2">
      <c r="C10" s="183" t="s">
        <v>116</v>
      </c>
      <c r="D10" s="204" t="str">
        <f>PROPER(Currency)&amp;IborType&amp;D9</f>
        <v>GbpLibor1Y</v>
      </c>
      <c r="N10" s="494"/>
      <c r="O10" s="209"/>
      <c r="P10" s="172">
        <v>0.74931506849315066</v>
      </c>
      <c r="Q10" s="174">
        <v>1</v>
      </c>
      <c r="R10" s="496"/>
      <c r="S10" s="176">
        <v>3.9202665529506145E-3</v>
      </c>
      <c r="T10" s="496"/>
      <c r="U10" s="160">
        <v>5.0910494620136923E-3</v>
      </c>
      <c r="W10" s="172">
        <v>3.0054945054945055</v>
      </c>
      <c r="X10" s="174">
        <v>-2.0054945054945055</v>
      </c>
      <c r="AB10" s="188">
        <f>_xll.qlCalendarAdvance(Calendar,AB9,"1d","mf",,Trigger)</f>
        <v>42136</v>
      </c>
      <c r="AC10" s="210">
        <f>_xll.qlDayCounterYearFraction(DayCounter,SettlementDate,AB10,,,Trigger)</f>
        <v>3.287671232876712E-2</v>
      </c>
      <c r="AD10" s="189">
        <f t="shared" si="0"/>
        <v>4.7015019493089755E-3</v>
      </c>
      <c r="AE10" s="189">
        <f t="shared" si="1"/>
        <v>3.9716354557248626E-3</v>
      </c>
      <c r="AF10" s="161">
        <f t="shared" si="2"/>
        <v>2.7764335546897863E-3</v>
      </c>
    </row>
    <row r="11" spans="1:32" ht="12" customHeight="1" x14ac:dyDescent="0.2">
      <c r="C11" s="183" t="s">
        <v>144</v>
      </c>
      <c r="D11" s="328" t="s">
        <v>96</v>
      </c>
      <c r="S11" s="178"/>
      <c r="T11" s="207"/>
      <c r="U11" s="179"/>
      <c r="AB11" s="188">
        <f>_xll.qlCalendarAdvance(Calendar,AB10,"1d","mf",,Trigger)</f>
        <v>42137</v>
      </c>
      <c r="AC11" s="210">
        <f>_xll.qlDayCounterYearFraction(DayCounter,SettlementDate,AB11,,,Trigger)</f>
        <v>3.5616438356164383E-2</v>
      </c>
      <c r="AD11" s="189">
        <f t="shared" si="0"/>
        <v>4.7015019493089755E-3</v>
      </c>
      <c r="AE11" s="189">
        <f t="shared" si="1"/>
        <v>3.9759161976227171E-3</v>
      </c>
      <c r="AF11" s="161">
        <f t="shared" si="2"/>
        <v>2.7960988727296237E-3</v>
      </c>
    </row>
    <row r="12" spans="1:32" ht="12" customHeight="1" thickBot="1" x14ac:dyDescent="0.25">
      <c r="C12" s="184" t="s">
        <v>143</v>
      </c>
      <c r="D12" s="359" t="s">
        <v>150</v>
      </c>
      <c r="S12" s="206" t="s">
        <v>33</v>
      </c>
      <c r="T12" s="207"/>
      <c r="U12" s="179"/>
      <c r="AB12" s="188">
        <f>_xll.qlCalendarAdvance(Calendar,AB11,"1d","mf",,Trigger)</f>
        <v>42138</v>
      </c>
      <c r="AC12" s="210">
        <f>_xll.qlDayCounterYearFraction(DayCounter,SettlementDate,AB12,,,Trigger)</f>
        <v>3.8356164383561646E-2</v>
      </c>
      <c r="AD12" s="189">
        <f t="shared" si="0"/>
        <v>4.7015019493089755E-3</v>
      </c>
      <c r="AE12" s="189">
        <f t="shared" si="1"/>
        <v>3.9801969395205708E-3</v>
      </c>
      <c r="AF12" s="161">
        <f t="shared" si="2"/>
        <v>2.8156928006249503E-3</v>
      </c>
    </row>
    <row r="13" spans="1:32" ht="12" customHeight="1" thickBot="1" x14ac:dyDescent="0.25">
      <c r="J13" s="363" t="str">
        <f>"Synthetic Deposits "&amp;D9</f>
        <v>Synthetic Deposits 1Y</v>
      </c>
      <c r="K13" s="364"/>
      <c r="L13" s="365"/>
      <c r="N13" s="355" t="s">
        <v>105</v>
      </c>
      <c r="Q13" s="175">
        <f t="array" ref="Q13">_xll.ohFilter(I3:I7,L3:L7)</f>
        <v>1</v>
      </c>
      <c r="R13" s="355" t="s">
        <v>35</v>
      </c>
      <c r="S13" s="176">
        <f>MMULT(W13,U13)</f>
        <v>4.7015019493089755E-3</v>
      </c>
      <c r="T13" s="355" t="s">
        <v>36</v>
      </c>
      <c r="U13" s="160">
        <f t="array" ref="U13">_xll.ohFilter(F3:F7,L3:L7)</f>
        <v>4.7015019493089755E-3</v>
      </c>
      <c r="W13" s="175">
        <f>MINVERSE(Q13)</f>
        <v>1</v>
      </c>
      <c r="AB13" s="188">
        <f>_xll.qlCalendarAdvance(Calendar,AB12,"1d","mf",,Trigger)</f>
        <v>42139</v>
      </c>
      <c r="AC13" s="210">
        <f>_xll.qlDayCounterYearFraction(DayCounter,SettlementDate,AB13,,,Trigger)</f>
        <v>4.1095890410958902E-2</v>
      </c>
      <c r="AD13" s="189">
        <f t="shared" si="0"/>
        <v>4.7015019493089755E-3</v>
      </c>
      <c r="AE13" s="189">
        <f t="shared" si="1"/>
        <v>3.9844776814184253E-3</v>
      </c>
      <c r="AF13" s="161">
        <f t="shared" si="2"/>
        <v>2.8352153383757674E-3</v>
      </c>
    </row>
    <row r="14" spans="1:32" ht="12" customHeight="1" thickBot="1" x14ac:dyDescent="0.25">
      <c r="C14" s="165" t="s">
        <v>112</v>
      </c>
      <c r="D14" s="166" t="s">
        <v>87</v>
      </c>
      <c r="E14" s="166" t="s">
        <v>88</v>
      </c>
      <c r="F14" s="180" t="s">
        <v>137</v>
      </c>
      <c r="G14" s="180" t="s">
        <v>138</v>
      </c>
      <c r="H14" s="166" t="s">
        <v>139</v>
      </c>
      <c r="I14" s="180" t="s">
        <v>140</v>
      </c>
      <c r="J14" s="369" t="s">
        <v>105</v>
      </c>
      <c r="K14" s="369" t="s">
        <v>104</v>
      </c>
      <c r="L14" s="369" t="s">
        <v>130</v>
      </c>
      <c r="AB14" s="188">
        <f>_xll.qlCalendarAdvance(Calendar,AB13,"1d","mf",,Trigger)</f>
        <v>42142</v>
      </c>
      <c r="AC14" s="210">
        <f>_xll.qlDayCounterYearFraction(DayCounter,SettlementDate,AB14,,,Trigger)</f>
        <v>4.9315068493150684E-2</v>
      </c>
      <c r="AD14" s="189">
        <f t="shared" si="0"/>
        <v>4.7015019493089755E-3</v>
      </c>
      <c r="AE14" s="189">
        <f t="shared" si="1"/>
        <v>3.9973199071119871E-3</v>
      </c>
      <c r="AF14" s="161">
        <f t="shared" si="2"/>
        <v>2.8933546107611547E-3</v>
      </c>
    </row>
    <row r="15" spans="1:32" ht="12" customHeight="1" x14ac:dyDescent="0.2">
      <c r="C15" s="200" t="s">
        <v>41</v>
      </c>
      <c r="D15" s="194">
        <f t="shared" ref="D15:D30" si="4">SettlementDate</f>
        <v>42124</v>
      </c>
      <c r="E15" s="195">
        <f>_xll.qlCalendarAdvance(Calendar,SettlementDate,C15,"Following",,Trigger)</f>
        <v>42125</v>
      </c>
      <c r="F15" s="354">
        <f>_xll.qlDayCounterYearFraction(DayCounter,D15,E15,,,Trigger)</f>
        <v>2.7397260273972603E-3</v>
      </c>
      <c r="G15" s="347">
        <f>_xll.qlYieldTSDiscount(Discounting,D15,,AllTriggers)</f>
        <v>1</v>
      </c>
      <c r="H15" s="419">
        <f>_xll.qlYieldTSDiscount(Discounting,E15,,AllTriggers)</f>
        <v>0.99998746836962482</v>
      </c>
      <c r="I15" s="361">
        <f>(G15/H15-1)/F15</f>
        <v>4.5741024078949089E-3</v>
      </c>
      <c r="J15" s="357">
        <f>((1+I15*F15)*EXP($S$13*F15)-1)/F15</f>
        <v>9.2756935556004283E-3</v>
      </c>
      <c r="K15" s="357">
        <f>((1+F15*I15)*EXP($S$10*F15+0.5*$S$9*F15^2)-1)/F15</f>
        <v>8.4965795626634755E-3</v>
      </c>
      <c r="L15" s="357">
        <f>((1+F15*I15)*EXP($S$5*F15+0.5*$S$4*F15^2+1/3*$S$3*F15^3)-1)/F15</f>
        <v>7.1192914329110124E-3</v>
      </c>
      <c r="AB15" s="188">
        <f>_xll.qlCalendarAdvance(Calendar,AB14,"1d","mf",,Trigger)</f>
        <v>42143</v>
      </c>
      <c r="AC15" s="210">
        <f>_xll.qlDayCounterYearFraction(DayCounter,SettlementDate,AB15,,,Trigger)</f>
        <v>5.2054794520547946E-2</v>
      </c>
      <c r="AD15" s="189">
        <f t="shared" si="0"/>
        <v>4.7015019493089755E-3</v>
      </c>
      <c r="AE15" s="189">
        <f t="shared" si="1"/>
        <v>4.0016006490098408E-3</v>
      </c>
      <c r="AF15" s="161">
        <f t="shared" si="2"/>
        <v>2.9125915879339294E-3</v>
      </c>
    </row>
    <row r="16" spans="1:32" ht="12" customHeight="1" x14ac:dyDescent="0.2">
      <c r="C16" s="198" t="s">
        <v>42</v>
      </c>
      <c r="D16" s="159">
        <f>SettlementDate</f>
        <v>42124</v>
      </c>
      <c r="E16" s="196">
        <f>_xll.qlCalendarAdvance(Calendar,SettlementDate,C16,"Following",,Trigger)</f>
        <v>42131</v>
      </c>
      <c r="F16" s="210">
        <f>_xll.qlDayCounterYearFraction(DayCounter,D16,E16,,,Trigger)</f>
        <v>1.9178082191780823E-2</v>
      </c>
      <c r="G16" s="348">
        <f>_xll.qlYieldTSDiscount(Discounting,D16,,AllTriggers)</f>
        <v>1</v>
      </c>
      <c r="H16" s="420">
        <f>_xll.qlYieldTSDiscount(Discounting,E16,,AllTriggers)</f>
        <v>0.99991226797200383</v>
      </c>
      <c r="I16" s="361">
        <f t="shared" ref="I16:I18" si="5">(G16/H16-1)/F16</f>
        <v>4.574999976686739E-3</v>
      </c>
      <c r="J16" s="358">
        <f t="shared" ref="J16:J18" si="6">((1+I16*F16)*EXP($S$13*F16)-1)/F16</f>
        <v>9.2771264167720458E-3</v>
      </c>
      <c r="K16" s="358">
        <f t="shared" ref="K16:K18" si="7">((1+F16*I16)*EXP($S$10*F16+0.5*$S$9*F16^2)-1)/F16</f>
        <v>8.5107429183964699E-3</v>
      </c>
      <c r="L16" s="358">
        <f t="shared" ref="L16:L18" si="8">((1+F16*I16)*EXP($S$5*F16+0.5*$S$4*F16^2+1/3*$S$3*F16^3)-1)/F16</f>
        <v>7.181544008500065E-3</v>
      </c>
      <c r="AB16" s="188">
        <f>_xll.qlCalendarAdvance(Calendar,AB15,"1d","mf",,Trigger)</f>
        <v>42144</v>
      </c>
      <c r="AC16" s="210">
        <f>_xll.qlDayCounterYearFraction(DayCounter,SettlementDate,AB16,,,Trigger)</f>
        <v>5.4794520547945202E-2</v>
      </c>
      <c r="AD16" s="189">
        <f t="shared" si="0"/>
        <v>4.7015019493089755E-3</v>
      </c>
      <c r="AE16" s="189">
        <f t="shared" si="1"/>
        <v>4.0058813909076953E-3</v>
      </c>
      <c r="AF16" s="161">
        <f t="shared" si="2"/>
        <v>2.9317571749621946E-3</v>
      </c>
    </row>
    <row r="17" spans="3:32" ht="12" customHeight="1" x14ac:dyDescent="0.2">
      <c r="C17" s="198" t="s">
        <v>43</v>
      </c>
      <c r="D17" s="159">
        <f t="shared" si="4"/>
        <v>42124</v>
      </c>
      <c r="E17" s="196">
        <f>_xll.qlCalendarAdvance(Calendar,SettlementDate,C17,"Following",,Trigger)</f>
        <v>42138</v>
      </c>
      <c r="F17" s="210">
        <f>_xll.qlDayCounterYearFraction(DayCounter,D17,E17,,,Trigger)</f>
        <v>3.8356164383561646E-2</v>
      </c>
      <c r="G17" s="348">
        <f>_xll.qlYieldTSDiscount(Discounting,D17,,AllTriggers)</f>
        <v>1</v>
      </c>
      <c r="H17" s="420">
        <f>_xll.qlYieldTSDiscount(Discounting,E17,,AllTriggers)</f>
        <v>0.99982455133558079</v>
      </c>
      <c r="I17" s="361">
        <f t="shared" si="5"/>
        <v>4.5749999999991232E-3</v>
      </c>
      <c r="J17" s="358">
        <f t="shared" si="6"/>
        <v>9.2777509808080905E-3</v>
      </c>
      <c r="K17" s="358">
        <f t="shared" si="7"/>
        <v>8.5262242595095829E-3</v>
      </c>
      <c r="L17" s="358">
        <f t="shared" si="8"/>
        <v>7.252060164436025E-3</v>
      </c>
      <c r="AB17" s="188">
        <f>_xll.qlCalendarAdvance(Calendar,AB16,"1d","mf",,Trigger)</f>
        <v>42145</v>
      </c>
      <c r="AC17" s="210">
        <f>_xll.qlDayCounterYearFraction(DayCounter,SettlementDate,AB17,,,Trigger)</f>
        <v>5.7534246575342465E-2</v>
      </c>
      <c r="AD17" s="189">
        <f t="shared" si="0"/>
        <v>4.7015019493089755E-3</v>
      </c>
      <c r="AE17" s="189">
        <f t="shared" si="1"/>
        <v>4.010162132805549E-3</v>
      </c>
      <c r="AF17" s="161">
        <f t="shared" si="2"/>
        <v>2.9508513718459486E-3</v>
      </c>
    </row>
    <row r="18" spans="3:32" ht="12" customHeight="1" x14ac:dyDescent="0.2">
      <c r="C18" s="198" t="s">
        <v>44</v>
      </c>
      <c r="D18" s="159">
        <f t="shared" si="4"/>
        <v>42124</v>
      </c>
      <c r="E18" s="196">
        <f>_xll.qlCalendarAdvance(Calendar,SettlementDate,C18,"Following",,Trigger)</f>
        <v>42145</v>
      </c>
      <c r="F18" s="210">
        <f>_xll.qlDayCounterYearFraction(DayCounter,D18,E18,,,Trigger)</f>
        <v>5.7534246575342465E-2</v>
      </c>
      <c r="G18" s="348">
        <f>_xll.qlYieldTSDiscount(Discounting,D18,,AllTriggers)</f>
        <v>1</v>
      </c>
      <c r="H18" s="420">
        <f>_xll.qlYieldTSDiscount(Discounting,E18,,AllTriggers)</f>
        <v>0.99973713888381299</v>
      </c>
      <c r="I18" s="361">
        <f t="shared" si="5"/>
        <v>4.5699778127179192E-3</v>
      </c>
      <c r="J18" s="358">
        <f t="shared" si="6"/>
        <v>9.2733520255229244E-3</v>
      </c>
      <c r="K18" s="358">
        <f t="shared" si="7"/>
        <v>8.5366871869624588E-3</v>
      </c>
      <c r="L18" s="358">
        <f t="shared" si="8"/>
        <v>7.3164065190263403E-3</v>
      </c>
      <c r="AB18" s="188">
        <f>_xll.qlCalendarAdvance(Calendar,AB17,"1d","mf",,Trigger)</f>
        <v>42146</v>
      </c>
      <c r="AC18" s="210">
        <f>_xll.qlDayCounterYearFraction(DayCounter,SettlementDate,AB18,,,Trigger)</f>
        <v>6.0273972602739728E-2</v>
      </c>
      <c r="AD18" s="189">
        <f t="shared" si="0"/>
        <v>4.7015019493089755E-3</v>
      </c>
      <c r="AE18" s="189">
        <f t="shared" si="1"/>
        <v>4.0144428747034035E-3</v>
      </c>
      <c r="AF18" s="161">
        <f t="shared" si="2"/>
        <v>2.9698741785851926E-3</v>
      </c>
    </row>
    <row r="19" spans="3:32" ht="12" customHeight="1" x14ac:dyDescent="0.2">
      <c r="C19" s="198" t="s">
        <v>38</v>
      </c>
      <c r="D19" s="159">
        <f t="shared" si="4"/>
        <v>42124</v>
      </c>
      <c r="E19" s="196">
        <f>_xll.qlCalendarAdvance(Calendar,SettlementDate,C19,"Following",,Trigger)</f>
        <v>42156</v>
      </c>
      <c r="F19" s="210">
        <f>_xll.qlDayCounterYearFraction(DayCounter,D19,E19,,,Trigger)</f>
        <v>8.7671232876712329E-2</v>
      </c>
      <c r="G19" s="348">
        <f>_xll.qlYieldTSDiscount(Discounting,D19,,AllTriggers)</f>
        <v>1</v>
      </c>
      <c r="H19" s="420">
        <f>_xll.qlYieldTSDiscount(Discounting,E19,,AllTriggers)</f>
        <v>0.99960040395345373</v>
      </c>
      <c r="I19" s="361">
        <f t="shared" ref="I19:I30" si="9">(G19/H19-1)/F19</f>
        <v>4.5597144497859857E-3</v>
      </c>
      <c r="J19" s="358">
        <f t="shared" ref="J19:J30" si="10">((1+I19*F19)*EXP($S$13*F19)-1)/F19</f>
        <v>9.2640653200003545E-3</v>
      </c>
      <c r="K19" s="358">
        <f t="shared" ref="K19:K30" si="11">((1+F19*I19)*EXP($S$10*F19+0.5*$S$9*F19^2)-1)/F19</f>
        <v>8.5507651956578251E-3</v>
      </c>
      <c r="L19" s="358">
        <f t="shared" ref="L19:L30" si="12">((1+F19*I19)*EXP($S$5*F19+0.5*$S$4*F19^2+1/3*$S$3*F19^3)-1)/F19</f>
        <v>7.4128315401009864E-3</v>
      </c>
      <c r="AB19" s="188">
        <f>_xll.qlCalendarAdvance(Calendar,AB18,"1d","mf",,Trigger)</f>
        <v>42150</v>
      </c>
      <c r="AC19" s="210">
        <f>_xll.qlDayCounterYearFraction(DayCounter,SettlementDate,AB19,,,Trigger)</f>
        <v>7.1232876712328766E-2</v>
      </c>
      <c r="AD19" s="189">
        <f t="shared" si="0"/>
        <v>4.7015019493089755E-3</v>
      </c>
      <c r="AE19" s="189">
        <f t="shared" si="1"/>
        <v>4.0315658422948189E-3</v>
      </c>
      <c r="AF19" s="161">
        <f t="shared" si="2"/>
        <v>3.045251504097065E-3</v>
      </c>
    </row>
    <row r="20" spans="3:32" ht="12" customHeight="1" x14ac:dyDescent="0.2">
      <c r="C20" s="198" t="s">
        <v>45</v>
      </c>
      <c r="D20" s="159">
        <f t="shared" si="4"/>
        <v>42124</v>
      </c>
      <c r="E20" s="196">
        <f>_xll.qlCalendarAdvance(Calendar,SettlementDate,C20,"Following",,Trigger)</f>
        <v>42185</v>
      </c>
      <c r="F20" s="210">
        <f>_xll.qlDayCounterYearFraction(DayCounter,D20,E20,,,Trigger)</f>
        <v>0.16712328767123288</v>
      </c>
      <c r="G20" s="348">
        <f>_xll.qlYieldTSDiscount(Discounting,D20,,AllTriggers)</f>
        <v>1</v>
      </c>
      <c r="H20" s="420">
        <f>_xll.qlYieldTSDiscount(Discounting,E20,,AllTriggers)</f>
        <v>0.9992422526985788</v>
      </c>
      <c r="I20" s="361">
        <f t="shared" si="9"/>
        <v>4.5374999999987032E-3</v>
      </c>
      <c r="J20" s="358">
        <f t="shared" si="10"/>
        <v>9.244416142822006E-3</v>
      </c>
      <c r="K20" s="358">
        <f t="shared" si="11"/>
        <v>8.5927735440470849E-3</v>
      </c>
      <c r="L20" s="358">
        <f t="shared" si="12"/>
        <v>7.6582943068284563E-3</v>
      </c>
      <c r="AB20" s="188">
        <f>_xll.qlCalendarAdvance(Calendar,AB19,"1d","mf",,Trigger)</f>
        <v>42151</v>
      </c>
      <c r="AC20" s="210">
        <f>_xll.qlDayCounterYearFraction(DayCounter,SettlementDate,AB20,,,Trigger)</f>
        <v>7.3972602739726029E-2</v>
      </c>
      <c r="AD20" s="189">
        <f t="shared" si="0"/>
        <v>4.7015019493089755E-3</v>
      </c>
      <c r="AE20" s="189">
        <f t="shared" si="1"/>
        <v>4.0358465841926735E-3</v>
      </c>
      <c r="AF20" s="161">
        <f t="shared" si="2"/>
        <v>3.0639173601137572E-3</v>
      </c>
    </row>
    <row r="21" spans="3:32" ht="12" customHeight="1" x14ac:dyDescent="0.2">
      <c r="C21" s="198" t="s">
        <v>39</v>
      </c>
      <c r="D21" s="159">
        <f t="shared" si="4"/>
        <v>42124</v>
      </c>
      <c r="E21" s="196">
        <f>_xll.qlCalendarAdvance(Calendar,SettlementDate,C21,"Following",,Trigger)</f>
        <v>42215</v>
      </c>
      <c r="F21" s="210">
        <f>_xll.qlDayCounterYearFraction(DayCounter,D21,E21,,,Trigger)</f>
        <v>0.24931506849315069</v>
      </c>
      <c r="G21" s="348">
        <f>_xll.qlYieldTSDiscount(Discounting,D21,,AllTriggers)</f>
        <v>1</v>
      </c>
      <c r="H21" s="420">
        <f>_xll.qlYieldTSDiscount(Discounting,E21,,AllTriggers)</f>
        <v>0.99887306669886999</v>
      </c>
      <c r="I21" s="361">
        <f t="shared" si="9"/>
        <v>4.5252167043489926E-3</v>
      </c>
      <c r="J21" s="358">
        <f t="shared" si="10"/>
        <v>9.2347825423212144E-3</v>
      </c>
      <c r="K21" s="358">
        <f t="shared" si="11"/>
        <v>8.6470136213589281E-3</v>
      </c>
      <c r="L21" s="358">
        <f t="shared" si="12"/>
        <v>7.9021659966076168E-3</v>
      </c>
      <c r="AB21" s="188">
        <f>_xll.qlCalendarAdvance(Calendar,AB20,"1d","mf",,Trigger)</f>
        <v>42152</v>
      </c>
      <c r="AC21" s="210">
        <f>_xll.qlDayCounterYearFraction(DayCounter,SettlementDate,AB21,,,Trigger)</f>
        <v>7.6712328767123292E-2</v>
      </c>
      <c r="AD21" s="189">
        <f t="shared" si="0"/>
        <v>4.7015019493089755E-3</v>
      </c>
      <c r="AE21" s="189">
        <f t="shared" si="1"/>
        <v>4.0401273260905271E-3</v>
      </c>
      <c r="AF21" s="161">
        <f t="shared" si="2"/>
        <v>3.082511825985939E-3</v>
      </c>
    </row>
    <row r="22" spans="3:32" ht="12" customHeight="1" x14ac:dyDescent="0.2">
      <c r="C22" s="198" t="s">
        <v>46</v>
      </c>
      <c r="D22" s="159">
        <f t="shared" si="4"/>
        <v>42124</v>
      </c>
      <c r="E22" s="196">
        <f>_xll.qlCalendarAdvance(Calendar,SettlementDate,C22,"Following",,Trigger)</f>
        <v>42248</v>
      </c>
      <c r="F22" s="210">
        <f>_xll.qlDayCounterYearFraction(DayCounter,D22,E22,,,Trigger)</f>
        <v>0.33972602739726027</v>
      </c>
      <c r="G22" s="348">
        <f>_xll.qlYieldTSDiscount(Discounting,D22,,AllTriggers)</f>
        <v>1</v>
      </c>
      <c r="H22" s="420">
        <f>_xll.qlYieldTSDiscount(Discounting,E22,,AllTriggers)</f>
        <v>0.99846473016435033</v>
      </c>
      <c r="I22" s="361">
        <f t="shared" si="9"/>
        <v>4.5260898176551429E-3</v>
      </c>
      <c r="J22" s="358">
        <f t="shared" si="10"/>
        <v>9.2385833885455688E-3</v>
      </c>
      <c r="K22" s="358">
        <f t="shared" si="11"/>
        <v>8.7211803506407944E-3</v>
      </c>
      <c r="L22" s="358">
        <f t="shared" si="12"/>
        <v>8.160413611997281E-3</v>
      </c>
      <c r="AB22" s="188">
        <f>_xll.qlCalendarAdvance(Calendar,AB21,"1d","mf",,Trigger)</f>
        <v>42153</v>
      </c>
      <c r="AC22" s="210">
        <f>_xll.qlDayCounterYearFraction(DayCounter,SettlementDate,AB22,,,Trigger)</f>
        <v>7.9452054794520555E-2</v>
      </c>
      <c r="AD22" s="189">
        <f t="shared" si="0"/>
        <v>4.7015019493089755E-3</v>
      </c>
      <c r="AE22" s="189">
        <f t="shared" ref="AE22:AE85" si="13">$S$10+$S$9*AC22</f>
        <v>4.0444080679883816E-3</v>
      </c>
      <c r="AF22" s="161">
        <f t="shared" ref="AF22:AF85" si="14">($S$5+$S$4*AC22+$S$3*AC22^2)</f>
        <v>3.1010349017136104E-3</v>
      </c>
    </row>
    <row r="23" spans="3:32" ht="12" customHeight="1" x14ac:dyDescent="0.2">
      <c r="C23" s="198" t="s">
        <v>47</v>
      </c>
      <c r="D23" s="159">
        <f t="shared" si="4"/>
        <v>42124</v>
      </c>
      <c r="E23" s="196">
        <f>_xll.qlCalendarAdvance(Calendar,SettlementDate,C23,"Following",,Trigger)</f>
        <v>42277</v>
      </c>
      <c r="F23" s="210">
        <f>_xll.qlDayCounterYearFraction(DayCounter,D23,E23,,,Trigger)</f>
        <v>0.41917808219178082</v>
      </c>
      <c r="G23" s="348">
        <f>_xll.qlYieldTSDiscount(Discounting,D23,,AllTriggers)</f>
        <v>1</v>
      </c>
      <c r="H23" s="420">
        <f>_xll.qlYieldTSDiscount(Discounting,E23,,AllTriggers)</f>
        <v>0.99810159026638001</v>
      </c>
      <c r="I23" s="361">
        <f t="shared" si="9"/>
        <v>4.5374999999914963E-3</v>
      </c>
      <c r="J23" s="358">
        <f t="shared" si="10"/>
        <v>9.2525889463644078E-3</v>
      </c>
      <c r="K23" s="358">
        <f t="shared" si="11"/>
        <v>8.7971137286069132E-3</v>
      </c>
      <c r="L23" s="358">
        <f t="shared" si="12"/>
        <v>8.3768795356495666E-3</v>
      </c>
      <c r="AB23" s="188">
        <f>_xll.qlCalendarAdvance(Calendar,AB22,"1d","mf",,Trigger)</f>
        <v>42156</v>
      </c>
      <c r="AC23" s="210">
        <f>_xll.qlDayCounterYearFraction(DayCounter,SettlementDate,AB23,,,Trigger)</f>
        <v>8.7671232876712329E-2</v>
      </c>
      <c r="AD23" s="189">
        <f t="shared" si="0"/>
        <v>4.7015019493089755E-3</v>
      </c>
      <c r="AE23" s="189">
        <f t="shared" si="13"/>
        <v>4.0572502936819434E-3</v>
      </c>
      <c r="AF23" s="161">
        <f t="shared" si="14"/>
        <v>3.1561757880295624E-3</v>
      </c>
    </row>
    <row r="24" spans="3:32" ht="12" customHeight="1" x14ac:dyDescent="0.2">
      <c r="C24" s="198" t="s">
        <v>40</v>
      </c>
      <c r="D24" s="159">
        <f t="shared" si="4"/>
        <v>42124</v>
      </c>
      <c r="E24" s="196">
        <f>_xll.qlCalendarAdvance(Calendar,SettlementDate,C24,"Following",,Trigger)</f>
        <v>42307</v>
      </c>
      <c r="F24" s="210">
        <f>_xll.qlDayCounterYearFraction(DayCounter,D24,E24,,,Trigger)</f>
        <v>0.50136986301369868</v>
      </c>
      <c r="G24" s="348">
        <f>_xll.qlYieldTSDiscount(Discounting,D24,,AllTriggers)</f>
        <v>1</v>
      </c>
      <c r="H24" s="420">
        <f>_xll.qlYieldTSDiscount(Discounting,E24,,AllTriggers)</f>
        <v>0.99771772071387299</v>
      </c>
      <c r="I24" s="361">
        <f t="shared" si="9"/>
        <v>4.5624999999880379E-3</v>
      </c>
      <c r="J24" s="358">
        <f t="shared" si="10"/>
        <v>9.2803148467843852E-3</v>
      </c>
      <c r="K24" s="358">
        <f t="shared" si="11"/>
        <v>8.8889930353358657E-3</v>
      </c>
      <c r="L24" s="358">
        <f t="shared" si="12"/>
        <v>8.5931942049587498E-3</v>
      </c>
      <c r="AB24" s="188">
        <f>_xll.qlCalendarAdvance(Calendar,AB23,"1d","mf",,Trigger)</f>
        <v>42157</v>
      </c>
      <c r="AC24" s="210">
        <f>_xll.qlDayCounterYearFraction(DayCounter,SettlementDate,AB24,,,Trigger)</f>
        <v>9.0410958904109592E-2</v>
      </c>
      <c r="AD24" s="189">
        <f t="shared" si="0"/>
        <v>4.7015019493089755E-3</v>
      </c>
      <c r="AE24" s="189">
        <f t="shared" si="13"/>
        <v>4.061531035579798E-3</v>
      </c>
      <c r="AF24" s="161">
        <f t="shared" si="14"/>
        <v>3.1744133031791927E-3</v>
      </c>
    </row>
    <row r="25" spans="3:32" ht="12" customHeight="1" x14ac:dyDescent="0.2">
      <c r="C25" s="198" t="s">
        <v>48</v>
      </c>
      <c r="D25" s="159">
        <f t="shared" si="4"/>
        <v>42124</v>
      </c>
      <c r="E25" s="196">
        <f>_xll.qlCalendarAdvance(Calendar,SettlementDate,C25,"Following",,Trigger)</f>
        <v>42338</v>
      </c>
      <c r="F25" s="210">
        <f>_xll.qlDayCounterYearFraction(DayCounter,D25,E25,,,Trigger)</f>
        <v>0.58630136986301373</v>
      </c>
      <c r="G25" s="348">
        <f>_xll.qlYieldTSDiscount(Discounting,D25,,AllTriggers)</f>
        <v>1</v>
      </c>
      <c r="H25" s="420">
        <f>_xll.qlYieldTSDiscount(Discounting,E25,,AllTriggers)</f>
        <v>0.99728840016294806</v>
      </c>
      <c r="I25" s="361">
        <f t="shared" si="9"/>
        <v>4.6374999999635597E-3</v>
      </c>
      <c r="J25" s="358">
        <f t="shared" si="10"/>
        <v>9.3582886350438155E-3</v>
      </c>
      <c r="K25" s="358">
        <f t="shared" si="11"/>
        <v>9.0333501044760414E-3</v>
      </c>
      <c r="L25" s="358">
        <f t="shared" si="12"/>
        <v>8.843713002870502E-3</v>
      </c>
      <c r="AB25" s="188">
        <f>_xll.qlCalendarAdvance(Calendar,AB24,"1d","mf",,Trigger)</f>
        <v>42158</v>
      </c>
      <c r="AC25" s="210">
        <f>_xll.qlDayCounterYearFraction(DayCounter,SettlementDate,AB25,,,Trigger)</f>
        <v>9.3150684931506855E-2</v>
      </c>
      <c r="AD25" s="189">
        <f t="shared" si="0"/>
        <v>4.7015019493089755E-3</v>
      </c>
      <c r="AE25" s="189">
        <f t="shared" si="13"/>
        <v>4.0658117774776516E-3</v>
      </c>
      <c r="AF25" s="161">
        <f t="shared" si="14"/>
        <v>3.1925794281843123E-3</v>
      </c>
    </row>
    <row r="26" spans="3:32" ht="12" customHeight="1" x14ac:dyDescent="0.2">
      <c r="C26" s="198" t="s">
        <v>49</v>
      </c>
      <c r="D26" s="159">
        <f t="shared" si="4"/>
        <v>42124</v>
      </c>
      <c r="E26" s="196">
        <f>_xll.qlCalendarAdvance(Calendar,SettlementDate,C26,"Following",,Trigger)</f>
        <v>42368</v>
      </c>
      <c r="F26" s="210">
        <f>_xll.qlDayCounterYearFraction(DayCounter,D26,E26,,,Trigger)</f>
        <v>0.66849315068493154</v>
      </c>
      <c r="G26" s="348">
        <f>_xll.qlYieldTSDiscount(Discounting,D26,,AllTriggers)</f>
        <v>1</v>
      </c>
      <c r="H26" s="420">
        <f>_xll.qlYieldTSDiscount(Discounting,E26,,AllTriggers)</f>
        <v>0.99686113136812649</v>
      </c>
      <c r="I26" s="361">
        <f t="shared" si="9"/>
        <v>4.710223504914568E-3</v>
      </c>
      <c r="J26" s="358">
        <f t="shared" si="10"/>
        <v>9.4339485795825358E-3</v>
      </c>
      <c r="K26" s="358">
        <f t="shared" si="11"/>
        <v>9.1733529578759878E-3</v>
      </c>
      <c r="L26" s="358">
        <f t="shared" si="12"/>
        <v>9.0647171315943013E-3</v>
      </c>
      <c r="AB26" s="188">
        <f>_xll.qlCalendarAdvance(Calendar,AB25,"1d","mf",,Trigger)</f>
        <v>42159</v>
      </c>
      <c r="AC26" s="210">
        <f>_xll.qlDayCounterYearFraction(DayCounter,SettlementDate,AB26,,,Trigger)</f>
        <v>9.5890410958904104E-2</v>
      </c>
      <c r="AD26" s="189">
        <f t="shared" si="0"/>
        <v>4.7015019493089755E-3</v>
      </c>
      <c r="AE26" s="189">
        <f t="shared" si="13"/>
        <v>4.0700925193755053E-3</v>
      </c>
      <c r="AF26" s="161">
        <f t="shared" si="14"/>
        <v>3.2106741630449215E-3</v>
      </c>
    </row>
    <row r="27" spans="3:32" ht="12" customHeight="1" x14ac:dyDescent="0.2">
      <c r="C27" s="198" t="s">
        <v>50</v>
      </c>
      <c r="D27" s="159">
        <f t="shared" si="4"/>
        <v>42124</v>
      </c>
      <c r="E27" s="196">
        <f>_xll.qlCalendarAdvance(Calendar,SettlementDate,C27,"Following",,Trigger)</f>
        <v>42401</v>
      </c>
      <c r="F27" s="210">
        <f>_xll.qlDayCounterYearFraction(DayCounter,D27,E27,,,Trigger)</f>
        <v>0.75890410958904109</v>
      </c>
      <c r="G27" s="348">
        <f>_xll.qlYieldTSDiscount(Discounting,D27,,AllTriggers)</f>
        <v>1</v>
      </c>
      <c r="H27" s="420">
        <f>_xll.qlYieldTSDiscount(Discounting,E27,,AllTriggers)</f>
        <v>0.99637228154929336</v>
      </c>
      <c r="I27" s="361">
        <f t="shared" si="9"/>
        <v>4.7976110047333858E-3</v>
      </c>
      <c r="J27" s="358">
        <f t="shared" si="10"/>
        <v>9.5246587908393507E-3</v>
      </c>
      <c r="K27" s="358">
        <f t="shared" si="11"/>
        <v>9.3349582357855378E-3</v>
      </c>
      <c r="L27" s="358">
        <f t="shared" si="12"/>
        <v>9.290671102600144E-3</v>
      </c>
      <c r="AB27" s="188">
        <f>_xll.qlCalendarAdvance(Calendar,AB26,"1d","mf",,Trigger)</f>
        <v>42160</v>
      </c>
      <c r="AC27" s="210">
        <f>_xll.qlDayCounterYearFraction(DayCounter,SettlementDate,AB27,,,Trigger)</f>
        <v>9.8630136986301367E-2</v>
      </c>
      <c r="AD27" s="189">
        <f t="shared" si="0"/>
        <v>4.7015019493089755E-3</v>
      </c>
      <c r="AE27" s="189">
        <f t="shared" si="13"/>
        <v>4.0743732612733598E-3</v>
      </c>
      <c r="AF27" s="161">
        <f t="shared" si="14"/>
        <v>3.2286975077610207E-3</v>
      </c>
    </row>
    <row r="28" spans="3:32" ht="12" customHeight="1" x14ac:dyDescent="0.2">
      <c r="C28" s="198" t="s">
        <v>51</v>
      </c>
      <c r="D28" s="159">
        <f t="shared" si="4"/>
        <v>42124</v>
      </c>
      <c r="E28" s="196">
        <f>_xll.qlCalendarAdvance(Calendar,SettlementDate,C28,"Following",,Trigger)</f>
        <v>42429</v>
      </c>
      <c r="F28" s="210">
        <f>_xll.qlDayCounterYearFraction(DayCounter,D28,E28,,,Trigger)</f>
        <v>0.83561643835616439</v>
      </c>
      <c r="G28" s="348">
        <f>_xll.qlYieldTSDiscount(Discounting,D28,,AllTriggers)</f>
        <v>1</v>
      </c>
      <c r="H28" s="420">
        <f>_xll.qlYieldTSDiscount(Discounting,E28,,AllTriggers)</f>
        <v>0.9959118161014725</v>
      </c>
      <c r="I28" s="361">
        <f t="shared" si="9"/>
        <v>4.9125000000000175E-3</v>
      </c>
      <c r="J28" s="358">
        <f t="shared" si="10"/>
        <v>9.6425868032322618E-3</v>
      </c>
      <c r="K28" s="358">
        <f t="shared" si="11"/>
        <v>9.513136729323763E-3</v>
      </c>
      <c r="L28" s="358">
        <f t="shared" si="12"/>
        <v>9.5030627005909182E-3</v>
      </c>
      <c r="AB28" s="188">
        <f>_xll.qlCalendarAdvance(Calendar,AB27,"1d","mf",,Trigger)</f>
        <v>42163</v>
      </c>
      <c r="AC28" s="210">
        <f>_xll.qlDayCounterYearFraction(DayCounter,SettlementDate,AB28,,,Trigger)</f>
        <v>0.10684931506849316</v>
      </c>
      <c r="AD28" s="189">
        <f t="shared" si="0"/>
        <v>4.7015019493089755E-3</v>
      </c>
      <c r="AE28" s="189">
        <f t="shared" si="13"/>
        <v>4.0872154869669216E-3</v>
      </c>
      <c r="AF28" s="161">
        <f t="shared" si="14"/>
        <v>3.2823392010422549E-3</v>
      </c>
    </row>
    <row r="29" spans="3:32" ht="12" customHeight="1" x14ac:dyDescent="0.2">
      <c r="C29" s="198" t="s">
        <v>52</v>
      </c>
      <c r="D29" s="159">
        <f t="shared" si="4"/>
        <v>42124</v>
      </c>
      <c r="E29" s="196">
        <f>_xll.qlCalendarAdvance(Calendar,SettlementDate,C29,"Following",,Trigger)</f>
        <v>42459</v>
      </c>
      <c r="F29" s="210">
        <f>_xll.qlDayCounterYearFraction(DayCounter,D29,E29,,,Trigger)</f>
        <v>0.9178082191780822</v>
      </c>
      <c r="G29" s="348">
        <f>_xll.qlYieldTSDiscount(Discounting,D29,,AllTriggers)</f>
        <v>1</v>
      </c>
      <c r="H29" s="420">
        <f>_xll.qlYieldTSDiscount(Discounting,E29,,AllTriggers)</f>
        <v>0.99539019524315053</v>
      </c>
      <c r="I29" s="361">
        <f t="shared" si="9"/>
        <v>5.0458836316513442E-3</v>
      </c>
      <c r="J29" s="358">
        <f t="shared" si="10"/>
        <v>9.7793642803388273E-3</v>
      </c>
      <c r="K29" s="358">
        <f t="shared" si="11"/>
        <v>9.7145787287304941E-3</v>
      </c>
      <c r="L29" s="358">
        <f t="shared" si="12"/>
        <v>9.7203408772418998E-3</v>
      </c>
      <c r="AB29" s="188">
        <f>_xll.qlCalendarAdvance(Calendar,AB28,"1d","mf",,Trigger)</f>
        <v>42164</v>
      </c>
      <c r="AC29" s="210">
        <f>_xll.qlDayCounterYearFraction(DayCounter,SettlementDate,AB29,,,Trigger)</f>
        <v>0.1095890410958904</v>
      </c>
      <c r="AD29" s="189">
        <f t="shared" si="0"/>
        <v>4.7015019493089755E-3</v>
      </c>
      <c r="AE29" s="189">
        <f t="shared" si="13"/>
        <v>4.0914962288647761E-3</v>
      </c>
      <c r="AF29" s="161">
        <f t="shared" si="14"/>
        <v>3.3000769851803122E-3</v>
      </c>
    </row>
    <row r="30" spans="3:32" ht="12" customHeight="1" thickBot="1" x14ac:dyDescent="0.25">
      <c r="C30" s="199" t="s">
        <v>53</v>
      </c>
      <c r="D30" s="163">
        <f t="shared" si="4"/>
        <v>42124</v>
      </c>
      <c r="E30" s="197">
        <f>_xll.qlCalendarAdvance(Calendar,SettlementDate,C30,"Following",,Trigger)</f>
        <v>42493</v>
      </c>
      <c r="F30" s="211">
        <f>_xll.qlDayCounterYearFraction(DayCounter,D30,E30,,,Trigger)</f>
        <v>1.010958904109589</v>
      </c>
      <c r="G30" s="349">
        <f>_xll.qlYieldTSDiscount(Discounting,D30,,AllTriggers)</f>
        <v>1</v>
      </c>
      <c r="H30" s="421">
        <f>_xll.qlYieldTSDiscount(Discounting,E30,,AllTriggers)</f>
        <v>0.99479199561661658</v>
      </c>
      <c r="I30" s="362">
        <f t="shared" si="9"/>
        <v>5.1785187999236603E-3</v>
      </c>
      <c r="J30" s="370">
        <f t="shared" si="10"/>
        <v>9.9158838692261185E-3</v>
      </c>
      <c r="K30" s="370">
        <f t="shared" si="11"/>
        <v>9.9245312154763125E-3</v>
      </c>
      <c r="L30" s="370">
        <f t="shared" si="12"/>
        <v>9.9221276709420859E-3</v>
      </c>
      <c r="AB30" s="188">
        <f>_xll.qlCalendarAdvance(Calendar,AB29,"1d","mf",,Trigger)</f>
        <v>42165</v>
      </c>
      <c r="AC30" s="210">
        <f>_xll.qlDayCounterYearFraction(DayCounter,SettlementDate,AB30,,,Trigger)</f>
        <v>0.11232876712328767</v>
      </c>
      <c r="AD30" s="189">
        <f t="shared" si="0"/>
        <v>4.7015019493089755E-3</v>
      </c>
      <c r="AE30" s="189">
        <f t="shared" si="13"/>
        <v>4.0957769707626298E-3</v>
      </c>
      <c r="AF30" s="161">
        <f t="shared" si="14"/>
        <v>3.3177433791738591E-3</v>
      </c>
    </row>
    <row r="31" spans="3:32" ht="12" customHeight="1" thickBot="1" x14ac:dyDescent="0.25">
      <c r="AB31" s="188">
        <f>_xll.qlCalendarAdvance(Calendar,AB30,"1d","mf",,Trigger)</f>
        <v>42166</v>
      </c>
      <c r="AC31" s="210">
        <f>_xll.qlDayCounterYearFraction(DayCounter,SettlementDate,AB31,,,Trigger)</f>
        <v>0.11506849315068493</v>
      </c>
      <c r="AD31" s="189">
        <f t="shared" si="0"/>
        <v>4.7015019493089755E-3</v>
      </c>
      <c r="AE31" s="189">
        <f t="shared" si="13"/>
        <v>4.1000577126604843E-3</v>
      </c>
      <c r="AF31" s="161">
        <f t="shared" si="14"/>
        <v>3.3353383830228961E-3</v>
      </c>
    </row>
    <row r="32" spans="3:32" ht="12" customHeight="1" x14ac:dyDescent="0.2">
      <c r="C32" s="212" t="s">
        <v>118</v>
      </c>
      <c r="AB32" s="188">
        <f>_xll.qlCalendarAdvance(Calendar,AB31,"1d","mf",,Trigger)</f>
        <v>42167</v>
      </c>
      <c r="AC32" s="210">
        <f>_xll.qlDayCounterYearFraction(DayCounter,SettlementDate,AB32,,,Trigger)</f>
        <v>0.11780821917808219</v>
      </c>
      <c r="AD32" s="189">
        <f t="shared" si="0"/>
        <v>4.7015019493089755E-3</v>
      </c>
      <c r="AE32" s="189">
        <f t="shared" si="13"/>
        <v>4.1043384545583379E-3</v>
      </c>
      <c r="AF32" s="161">
        <f t="shared" si="14"/>
        <v>3.3528619967274228E-3</v>
      </c>
    </row>
    <row r="33" spans="3:32" x14ac:dyDescent="0.2">
      <c r="C33" s="215" t="s">
        <v>104</v>
      </c>
      <c r="AB33" s="188">
        <f>_xll.qlCalendarAdvance(Calendar,AB32,"1d","mf",,Trigger)</f>
        <v>42170</v>
      </c>
      <c r="AC33" s="210">
        <f>_xll.qlDayCounterYearFraction(DayCounter,SettlementDate,AB33,,,Trigger)</f>
        <v>0.12602739726027398</v>
      </c>
      <c r="AD33" s="189">
        <f t="shared" si="0"/>
        <v>4.7015019493089755E-3</v>
      </c>
      <c r="AE33" s="189">
        <f t="shared" si="13"/>
        <v>4.1171806802518997E-3</v>
      </c>
      <c r="AF33" s="161">
        <f t="shared" si="14"/>
        <v>3.4050044969739395E-3</v>
      </c>
    </row>
    <row r="34" spans="3:32" x14ac:dyDescent="0.2">
      <c r="C34" s="189">
        <f t="shared" ref="C34:C49" si="15">IF($C$33="FLAT",J15,IF($C$33="linear",K15,L15))</f>
        <v>8.4965795626634755E-3</v>
      </c>
      <c r="AB34" s="188">
        <f>_xll.qlCalendarAdvance(Calendar,AB33,"1d","mf",,Trigger)</f>
        <v>42171</v>
      </c>
      <c r="AC34" s="210">
        <f>_xll.qlDayCounterYearFraction(DayCounter,SettlementDate,AB34,,,Trigger)</f>
        <v>0.12876712328767123</v>
      </c>
      <c r="AD34" s="189">
        <f t="shared" si="0"/>
        <v>4.7015019493089755E-3</v>
      </c>
      <c r="AE34" s="189">
        <f t="shared" si="13"/>
        <v>4.1214614221497543E-3</v>
      </c>
      <c r="AF34" s="161">
        <f t="shared" si="14"/>
        <v>3.4222425501004247E-3</v>
      </c>
    </row>
    <row r="35" spans="3:32" x14ac:dyDescent="0.2">
      <c r="C35" s="189">
        <f t="shared" si="15"/>
        <v>8.5107429183964699E-3</v>
      </c>
      <c r="AB35" s="188">
        <f>_xll.qlCalendarAdvance(Calendar,AB34,"1d","mf",,Trigger)</f>
        <v>42172</v>
      </c>
      <c r="AC35" s="210">
        <f>_xll.qlDayCounterYearFraction(DayCounter,SettlementDate,AB35,,,Trigger)</f>
        <v>0.13150684931506848</v>
      </c>
      <c r="AD35" s="189">
        <f t="shared" si="0"/>
        <v>4.7015019493089755E-3</v>
      </c>
      <c r="AE35" s="189">
        <f t="shared" si="13"/>
        <v>4.1257421640476079E-3</v>
      </c>
      <c r="AF35" s="161">
        <f t="shared" si="14"/>
        <v>3.439409213082399E-3</v>
      </c>
    </row>
    <row r="36" spans="3:32" x14ac:dyDescent="0.2">
      <c r="C36" s="189">
        <f t="shared" si="15"/>
        <v>8.5262242595095829E-3</v>
      </c>
      <c r="AB36" s="188">
        <f>_xll.qlCalendarAdvance(Calendar,AB35,"1d","mf",,Trigger)</f>
        <v>42173</v>
      </c>
      <c r="AC36" s="210">
        <f>_xll.qlDayCounterYearFraction(DayCounter,SettlementDate,AB36,,,Trigger)</f>
        <v>0.13424657534246576</v>
      </c>
      <c r="AD36" s="189">
        <f t="shared" si="0"/>
        <v>4.7015019493089755E-3</v>
      </c>
      <c r="AE36" s="189">
        <f t="shared" si="13"/>
        <v>4.1300229059454624E-3</v>
      </c>
      <c r="AF36" s="161">
        <f t="shared" si="14"/>
        <v>3.4565044859198634E-3</v>
      </c>
    </row>
    <row r="37" spans="3:32" x14ac:dyDescent="0.2">
      <c r="C37" s="189">
        <f t="shared" si="15"/>
        <v>8.5366871869624588E-3</v>
      </c>
      <c r="AB37" s="188">
        <f>_xll.qlCalendarAdvance(Calendar,AB36,"1d","mf",,Trigger)</f>
        <v>42174</v>
      </c>
      <c r="AC37" s="210">
        <f>_xll.qlDayCounterYearFraction(DayCounter,SettlementDate,AB37,,,Trigger)</f>
        <v>0.13698630136986301</v>
      </c>
      <c r="AD37" s="189">
        <f t="shared" si="0"/>
        <v>4.7015019493089755E-3</v>
      </c>
      <c r="AE37" s="189">
        <f t="shared" si="13"/>
        <v>4.1343036478433161E-3</v>
      </c>
      <c r="AF37" s="161">
        <f t="shared" si="14"/>
        <v>3.473528368612817E-3</v>
      </c>
    </row>
    <row r="38" spans="3:32" x14ac:dyDescent="0.2">
      <c r="C38" s="189">
        <f t="shared" si="15"/>
        <v>8.5507651956578251E-3</v>
      </c>
      <c r="AB38" s="188">
        <f>_xll.qlCalendarAdvance(Calendar,AB37,"1d","mf",,Trigger)</f>
        <v>42177</v>
      </c>
      <c r="AC38" s="210">
        <f>_xll.qlDayCounterYearFraction(DayCounter,SettlementDate,AB38,,,Trigger)</f>
        <v>0.14520547945205478</v>
      </c>
      <c r="AD38" s="189">
        <f t="shared" si="0"/>
        <v>4.7015019493089755E-3</v>
      </c>
      <c r="AE38" s="189">
        <f t="shared" si="13"/>
        <v>4.1471458735368779E-3</v>
      </c>
      <c r="AF38" s="161">
        <f t="shared" si="14"/>
        <v>3.5241716758246163E-3</v>
      </c>
    </row>
    <row r="39" spans="3:32" x14ac:dyDescent="0.2">
      <c r="C39" s="189">
        <f t="shared" si="15"/>
        <v>8.5927735440470849E-3</v>
      </c>
      <c r="AB39" s="188">
        <f>_xll.qlCalendarAdvance(Calendar,AB38,"1d","mf",,Trigger)</f>
        <v>42178</v>
      </c>
      <c r="AC39" s="210">
        <f>_xll.qlDayCounterYearFraction(DayCounter,SettlementDate,AB39,,,Trigger)</f>
        <v>0.14794520547945206</v>
      </c>
      <c r="AD39" s="189">
        <f t="shared" si="0"/>
        <v>4.7015019493089755E-3</v>
      </c>
      <c r="AE39" s="189">
        <f t="shared" si="13"/>
        <v>4.1514266154347324E-3</v>
      </c>
      <c r="AF39" s="161">
        <f t="shared" si="14"/>
        <v>3.5409099979395284E-3</v>
      </c>
    </row>
    <row r="40" spans="3:32" x14ac:dyDescent="0.2">
      <c r="C40" s="189">
        <f t="shared" si="15"/>
        <v>8.6470136213589281E-3</v>
      </c>
      <c r="AB40" s="188">
        <f>_xll.qlCalendarAdvance(Calendar,AB39,"1d","mf",,Trigger)</f>
        <v>42179</v>
      </c>
      <c r="AC40" s="210">
        <f>_xll.qlDayCounterYearFraction(DayCounter,SettlementDate,AB40,,,Trigger)</f>
        <v>0.15068493150684931</v>
      </c>
      <c r="AD40" s="189">
        <f t="shared" si="0"/>
        <v>4.7015019493089755E-3</v>
      </c>
      <c r="AE40" s="189">
        <f t="shared" si="13"/>
        <v>4.1557073573325861E-3</v>
      </c>
      <c r="AF40" s="161">
        <f t="shared" si="14"/>
        <v>3.5575769299099305E-3</v>
      </c>
    </row>
    <row r="41" spans="3:32" x14ac:dyDescent="0.2">
      <c r="C41" s="189">
        <f t="shared" si="15"/>
        <v>8.7211803506407944E-3</v>
      </c>
      <c r="AB41" s="188">
        <f>_xll.qlCalendarAdvance(Calendar,AB40,"1d","mf",,Trigger)</f>
        <v>42180</v>
      </c>
      <c r="AC41" s="210">
        <f>_xll.qlDayCounterYearFraction(DayCounter,SettlementDate,AB41,,,Trigger)</f>
        <v>0.15342465753424658</v>
      </c>
      <c r="AD41" s="189">
        <f t="shared" si="0"/>
        <v>4.7015019493089755E-3</v>
      </c>
      <c r="AE41" s="189">
        <f t="shared" si="13"/>
        <v>4.1599880992304406E-3</v>
      </c>
      <c r="AF41" s="161">
        <f t="shared" si="14"/>
        <v>3.5741724717358227E-3</v>
      </c>
    </row>
    <row r="42" spans="3:32" x14ac:dyDescent="0.2">
      <c r="C42" s="189">
        <f t="shared" si="15"/>
        <v>8.7971137286069132E-3</v>
      </c>
      <c r="AB42" s="188">
        <f>_xll.qlCalendarAdvance(Calendar,AB41,"1d","mf",,Trigger)</f>
        <v>42181</v>
      </c>
      <c r="AC42" s="210">
        <f>_xll.qlDayCounterYearFraction(DayCounter,SettlementDate,AB42,,,Trigger)</f>
        <v>0.15616438356164383</v>
      </c>
      <c r="AD42" s="189">
        <f t="shared" si="0"/>
        <v>4.7015019493089755E-3</v>
      </c>
      <c r="AE42" s="189">
        <f t="shared" si="13"/>
        <v>4.1642688411282942E-3</v>
      </c>
      <c r="AF42" s="161">
        <f t="shared" si="14"/>
        <v>3.5906966234172033E-3</v>
      </c>
    </row>
    <row r="43" spans="3:32" ht="11.25" customHeight="1" x14ac:dyDescent="0.2">
      <c r="C43" s="189">
        <f t="shared" si="15"/>
        <v>8.8889930353358657E-3</v>
      </c>
      <c r="M43" s="214"/>
      <c r="AB43" s="188">
        <f>_xll.qlCalendarAdvance(Calendar,AB42,"1d","mf",,Trigger)</f>
        <v>42184</v>
      </c>
      <c r="AC43" s="210">
        <f>_xll.qlDayCounterYearFraction(DayCounter,SettlementDate,AB43,,,Trigger)</f>
        <v>0.16438356164383561</v>
      </c>
      <c r="AD43" s="189">
        <f t="shared" si="0"/>
        <v>4.7015019493089755E-3</v>
      </c>
      <c r="AE43" s="189">
        <f t="shared" si="13"/>
        <v>4.1771110668218561E-3</v>
      </c>
      <c r="AF43" s="161">
        <f t="shared" si="14"/>
        <v>3.6398407375942848E-3</v>
      </c>
    </row>
    <row r="44" spans="3:32" x14ac:dyDescent="0.2">
      <c r="C44" s="189">
        <f t="shared" si="15"/>
        <v>9.0333501044760414E-3</v>
      </c>
      <c r="M44" s="214"/>
      <c r="AB44" s="188">
        <f>_xll.qlCalendarAdvance(Calendar,AB43,"1d","mf",,Trigger)</f>
        <v>42185</v>
      </c>
      <c r="AC44" s="210">
        <f>_xll.qlDayCounterYearFraction(DayCounter,SettlementDate,AB44,,,Trigger)</f>
        <v>0.16712328767123288</v>
      </c>
      <c r="AD44" s="189">
        <f t="shared" si="0"/>
        <v>4.7015019493089755E-3</v>
      </c>
      <c r="AE44" s="189">
        <f t="shared" si="13"/>
        <v>4.1813918087197106E-3</v>
      </c>
      <c r="AF44" s="161">
        <f t="shared" si="14"/>
        <v>3.6560793286976251E-3</v>
      </c>
    </row>
    <row r="45" spans="3:32" x14ac:dyDescent="0.2">
      <c r="C45" s="189">
        <f t="shared" si="15"/>
        <v>9.1733529578759878E-3</v>
      </c>
      <c r="M45" s="214"/>
      <c r="AB45" s="188">
        <f>_xll.qlCalendarAdvance(Calendar,AB44,"1d","mf",,Trigger)</f>
        <v>42186</v>
      </c>
      <c r="AC45" s="210">
        <f>_xll.qlDayCounterYearFraction(DayCounter,SettlementDate,AB45,,,Trigger)</f>
        <v>0.16986301369863013</v>
      </c>
      <c r="AD45" s="189">
        <f t="shared" si="0"/>
        <v>4.7015019493089755E-3</v>
      </c>
      <c r="AE45" s="189">
        <f t="shared" si="13"/>
        <v>4.1856725506175642E-3</v>
      </c>
      <c r="AF45" s="161">
        <f t="shared" si="14"/>
        <v>3.6722465296564546E-3</v>
      </c>
    </row>
    <row r="46" spans="3:32" x14ac:dyDescent="0.2">
      <c r="C46" s="189">
        <f t="shared" si="15"/>
        <v>9.3349582357855378E-3</v>
      </c>
      <c r="M46" s="214"/>
      <c r="AB46" s="188">
        <f>_xll.qlCalendarAdvance(Calendar,AB45,"1d","mf",,Trigger)</f>
        <v>42187</v>
      </c>
      <c r="AC46" s="210">
        <f>_xll.qlDayCounterYearFraction(DayCounter,SettlementDate,AB46,,,Trigger)</f>
        <v>0.17260273972602741</v>
      </c>
      <c r="AD46" s="189">
        <f t="shared" si="0"/>
        <v>4.7015019493089755E-3</v>
      </c>
      <c r="AE46" s="189">
        <f t="shared" si="13"/>
        <v>4.1899532925154187E-3</v>
      </c>
      <c r="AF46" s="161">
        <f t="shared" si="14"/>
        <v>3.6883423404707738E-3</v>
      </c>
    </row>
    <row r="47" spans="3:32" x14ac:dyDescent="0.2">
      <c r="C47" s="189">
        <f t="shared" si="15"/>
        <v>9.513136729323763E-3</v>
      </c>
      <c r="M47" s="214"/>
      <c r="AB47" s="188">
        <f>_xll.qlCalendarAdvance(Calendar,AB46,"1d","mf",,Trigger)</f>
        <v>42188</v>
      </c>
      <c r="AC47" s="210">
        <f>_xll.qlDayCounterYearFraction(DayCounter,SettlementDate,AB47,,,Trigger)</f>
        <v>0.17534246575342466</v>
      </c>
      <c r="AD47" s="189">
        <f t="shared" si="0"/>
        <v>4.7015019493089755E-3</v>
      </c>
      <c r="AE47" s="189">
        <f t="shared" si="13"/>
        <v>4.1942340344132724E-3</v>
      </c>
      <c r="AF47" s="161">
        <f t="shared" si="14"/>
        <v>3.7043667611405822E-3</v>
      </c>
    </row>
    <row r="48" spans="3:32" x14ac:dyDescent="0.2">
      <c r="C48" s="189">
        <f t="shared" si="15"/>
        <v>9.7145787287304941E-3</v>
      </c>
      <c r="AB48" s="188">
        <f>_xll.qlCalendarAdvance(Calendar,AB47,"1d","mf",,Trigger)</f>
        <v>42191</v>
      </c>
      <c r="AC48" s="210">
        <f>_xll.qlDayCounterYearFraction(DayCounter,SettlementDate,AB48,,,Trigger)</f>
        <v>0.18356164383561643</v>
      </c>
      <c r="AD48" s="189">
        <f t="shared" si="0"/>
        <v>4.7015019493089755E-3</v>
      </c>
      <c r="AE48" s="189">
        <f t="shared" si="13"/>
        <v>4.2070762601068351E-3</v>
      </c>
      <c r="AF48" s="161">
        <f t="shared" si="14"/>
        <v>3.7520116822829463E-3</v>
      </c>
    </row>
    <row r="49" spans="3:32" x14ac:dyDescent="0.2">
      <c r="C49" s="216">
        <f t="shared" si="15"/>
        <v>9.9245312154763125E-3</v>
      </c>
      <c r="AB49" s="188">
        <f>_xll.qlCalendarAdvance(Calendar,AB48,"1d","mf",,Trigger)</f>
        <v>42192</v>
      </c>
      <c r="AC49" s="210">
        <f>_xll.qlDayCounterYearFraction(DayCounter,SettlementDate,AB49,,,Trigger)</f>
        <v>0.18630136986301371</v>
      </c>
      <c r="AD49" s="189">
        <f t="shared" si="0"/>
        <v>4.7015019493089755E-3</v>
      </c>
      <c r="AE49" s="189">
        <f t="shared" si="13"/>
        <v>4.2113570020046887E-3</v>
      </c>
      <c r="AF49" s="161">
        <f t="shared" si="14"/>
        <v>3.7677505423747135E-3</v>
      </c>
    </row>
    <row r="50" spans="3:32" x14ac:dyDescent="0.2">
      <c r="I50" s="170"/>
      <c r="J50" s="170"/>
      <c r="AB50" s="188">
        <f>_xll.qlCalendarAdvance(Calendar,AB49,"1d","mf",,Trigger)</f>
        <v>42193</v>
      </c>
      <c r="AC50" s="210">
        <f>_xll.qlDayCounterYearFraction(DayCounter,SettlementDate,AB50,,,Trigger)</f>
        <v>0.18904109589041096</v>
      </c>
      <c r="AD50" s="189">
        <f t="shared" si="0"/>
        <v>4.7015019493089755E-3</v>
      </c>
      <c r="AE50" s="189">
        <f t="shared" si="13"/>
        <v>4.2156377439025424E-3</v>
      </c>
      <c r="AF50" s="161">
        <f t="shared" si="14"/>
        <v>3.7834180123219709E-3</v>
      </c>
    </row>
    <row r="51" spans="3:32" x14ac:dyDescent="0.2">
      <c r="AB51" s="188">
        <f>_xll.qlCalendarAdvance(Calendar,AB50,"1d","mf",,Trigger)</f>
        <v>42194</v>
      </c>
      <c r="AC51" s="210">
        <f>_xll.qlDayCounterYearFraction(DayCounter,SettlementDate,AB51,,,Trigger)</f>
        <v>0.19178082191780821</v>
      </c>
      <c r="AD51" s="189">
        <f t="shared" si="0"/>
        <v>4.7015019493089755E-3</v>
      </c>
      <c r="AE51" s="189">
        <f t="shared" si="13"/>
        <v>4.2199184858003969E-3</v>
      </c>
      <c r="AF51" s="161">
        <f t="shared" si="14"/>
        <v>3.799014092124717E-3</v>
      </c>
    </row>
    <row r="52" spans="3:32" x14ac:dyDescent="0.2">
      <c r="AB52" s="188">
        <f>_xll.qlCalendarAdvance(Calendar,AB51,"1d","mf",,Trigger)</f>
        <v>42195</v>
      </c>
      <c r="AC52" s="210">
        <f>_xll.qlDayCounterYearFraction(DayCounter,SettlementDate,AB52,,,Trigger)</f>
        <v>0.19452054794520549</v>
      </c>
      <c r="AD52" s="189">
        <f t="shared" si="0"/>
        <v>4.7015019493089755E-3</v>
      </c>
      <c r="AE52" s="189">
        <f t="shared" si="13"/>
        <v>4.2241992276982505E-3</v>
      </c>
      <c r="AF52" s="161">
        <f t="shared" si="14"/>
        <v>3.8145387817829536E-3</v>
      </c>
    </row>
    <row r="53" spans="3:32" x14ac:dyDescent="0.2">
      <c r="AB53" s="188">
        <f>_xll.qlCalendarAdvance(Calendar,AB52,"1d","mf",,Trigger)</f>
        <v>42198</v>
      </c>
      <c r="AC53" s="210">
        <f>_xll.qlDayCounterYearFraction(DayCounter,SettlementDate,AB53,,,Trigger)</f>
        <v>0.20273972602739726</v>
      </c>
      <c r="AD53" s="189">
        <f t="shared" si="0"/>
        <v>4.7015019493089755E-3</v>
      </c>
      <c r="AE53" s="189">
        <f t="shared" si="13"/>
        <v>4.2370414533918132E-3</v>
      </c>
      <c r="AF53" s="161">
        <f t="shared" si="14"/>
        <v>3.8606845098905999E-3</v>
      </c>
    </row>
    <row r="54" spans="3:32" x14ac:dyDescent="0.2">
      <c r="AB54" s="188">
        <f>_xll.qlCalendarAdvance(Calendar,AB53,"1d","mf",,Trigger)</f>
        <v>42199</v>
      </c>
      <c r="AC54" s="210">
        <f>_xll.qlDayCounterYearFraction(DayCounter,SettlementDate,AB54,,,Trigger)</f>
        <v>0.20547945205479451</v>
      </c>
      <c r="AD54" s="189">
        <f t="shared" si="0"/>
        <v>4.7015019493089755E-3</v>
      </c>
      <c r="AE54" s="189">
        <f t="shared" si="13"/>
        <v>4.2413221952896669E-3</v>
      </c>
      <c r="AF54" s="161">
        <f t="shared" si="14"/>
        <v>3.875923638970795E-3</v>
      </c>
    </row>
    <row r="55" spans="3:32" x14ac:dyDescent="0.2">
      <c r="AB55" s="188">
        <f>_xll.qlCalendarAdvance(Calendar,AB54,"1d","mf",,Trigger)</f>
        <v>42200</v>
      </c>
      <c r="AC55" s="210">
        <f>_xll.qlDayCounterYearFraction(DayCounter,SettlementDate,AB55,,,Trigger)</f>
        <v>0.20821917808219179</v>
      </c>
      <c r="AD55" s="189">
        <f t="shared" si="0"/>
        <v>4.7015019493089755E-3</v>
      </c>
      <c r="AE55" s="189">
        <f t="shared" si="13"/>
        <v>4.2456029371875214E-3</v>
      </c>
      <c r="AF55" s="161">
        <f t="shared" si="14"/>
        <v>3.8910913779064784E-3</v>
      </c>
    </row>
    <row r="56" spans="3:32" x14ac:dyDescent="0.2">
      <c r="AB56" s="188">
        <f>_xll.qlCalendarAdvance(Calendar,AB55,"1d","mf",,Trigger)</f>
        <v>42201</v>
      </c>
      <c r="AC56" s="210">
        <f>_xll.qlDayCounterYearFraction(DayCounter,SettlementDate,AB56,,,Trigger)</f>
        <v>0.21095890410958903</v>
      </c>
      <c r="AD56" s="189">
        <f t="shared" si="0"/>
        <v>4.7015019493089755E-3</v>
      </c>
      <c r="AE56" s="189">
        <f t="shared" si="13"/>
        <v>4.249883679085375E-3</v>
      </c>
      <c r="AF56" s="161">
        <f t="shared" si="14"/>
        <v>3.9061877266976528E-3</v>
      </c>
    </row>
    <row r="57" spans="3:32" x14ac:dyDescent="0.2">
      <c r="AB57" s="188">
        <f>_xll.qlCalendarAdvance(Calendar,AB56,"1d","mf",,Trigger)</f>
        <v>42202</v>
      </c>
      <c r="AC57" s="210">
        <f>_xll.qlDayCounterYearFraction(DayCounter,SettlementDate,AB57,,,Trigger)</f>
        <v>0.21369863013698631</v>
      </c>
      <c r="AD57" s="189">
        <f t="shared" si="0"/>
        <v>4.7015019493089755E-3</v>
      </c>
      <c r="AE57" s="189">
        <f t="shared" si="13"/>
        <v>4.2541644209832287E-3</v>
      </c>
      <c r="AF57" s="161">
        <f t="shared" si="14"/>
        <v>3.9212126853443163E-3</v>
      </c>
    </row>
    <row r="58" spans="3:32" x14ac:dyDescent="0.2">
      <c r="AB58" s="188">
        <f>_xll.qlCalendarAdvance(Calendar,AB57,"1d","mf",,Trigger)</f>
        <v>42205</v>
      </c>
      <c r="AC58" s="210">
        <f>_xll.qlDayCounterYearFraction(DayCounter,SettlementDate,AB58,,,Trigger)</f>
        <v>0.22191780821917809</v>
      </c>
      <c r="AD58" s="189">
        <f t="shared" si="0"/>
        <v>4.7015019493089755E-3</v>
      </c>
      <c r="AE58" s="189">
        <f t="shared" si="13"/>
        <v>4.2670066466767914E-3</v>
      </c>
      <c r="AF58" s="161">
        <f t="shared" si="14"/>
        <v>3.9658592204172456E-3</v>
      </c>
    </row>
    <row r="59" spans="3:32" x14ac:dyDescent="0.2">
      <c r="AB59" s="188">
        <f>_xll.qlCalendarAdvance(Calendar,AB58,"1d","mf",,Trigger)</f>
        <v>42206</v>
      </c>
      <c r="AC59" s="210">
        <f>_xll.qlDayCounterYearFraction(DayCounter,SettlementDate,AB59,,,Trigger)</f>
        <v>0.22465753424657534</v>
      </c>
      <c r="AD59" s="189">
        <f t="shared" si="0"/>
        <v>4.7015019493089755E-3</v>
      </c>
      <c r="AE59" s="189">
        <f t="shared" si="13"/>
        <v>4.271287388574645E-3</v>
      </c>
      <c r="AF59" s="161">
        <f t="shared" si="14"/>
        <v>3.9805986184858668E-3</v>
      </c>
    </row>
    <row r="60" spans="3:32" x14ac:dyDescent="0.2">
      <c r="AB60" s="188">
        <f>_xll.qlCalendarAdvance(Calendar,AB59,"1d","mf",,Trigger)</f>
        <v>42207</v>
      </c>
      <c r="AC60" s="210">
        <f>_xll.qlDayCounterYearFraction(DayCounter,SettlementDate,AB60,,,Trigger)</f>
        <v>0.22739726027397261</v>
      </c>
      <c r="AD60" s="189">
        <f t="shared" si="0"/>
        <v>4.7015019493089755E-3</v>
      </c>
      <c r="AE60" s="189">
        <f t="shared" si="13"/>
        <v>4.2755681304724995E-3</v>
      </c>
      <c r="AF60" s="161">
        <f t="shared" si="14"/>
        <v>3.9952666264099802E-3</v>
      </c>
    </row>
    <row r="61" spans="3:32" x14ac:dyDescent="0.2">
      <c r="AB61" s="188">
        <f>_xll.qlCalendarAdvance(Calendar,AB60,"1d","mf",,Trigger)</f>
        <v>42208</v>
      </c>
      <c r="AC61" s="210">
        <f>_xll.qlDayCounterYearFraction(DayCounter,SettlementDate,AB61,,,Trigger)</f>
        <v>0.23013698630136986</v>
      </c>
      <c r="AD61" s="189">
        <f t="shared" si="0"/>
        <v>4.7015019493089755E-3</v>
      </c>
      <c r="AE61" s="189">
        <f t="shared" si="13"/>
        <v>4.2798488723703532E-3</v>
      </c>
      <c r="AF61" s="161">
        <f t="shared" si="14"/>
        <v>4.0098632441895807E-3</v>
      </c>
    </row>
    <row r="62" spans="3:32" x14ac:dyDescent="0.2">
      <c r="AB62" s="188">
        <f>_xll.qlCalendarAdvance(Calendar,AB61,"1d","mf",,Trigger)</f>
        <v>42209</v>
      </c>
      <c r="AC62" s="210">
        <f>_xll.qlDayCounterYearFraction(DayCounter,SettlementDate,AB62,,,Trigger)</f>
        <v>0.23287671232876711</v>
      </c>
      <c r="AD62" s="189">
        <f t="shared" si="0"/>
        <v>4.7015019493089755E-3</v>
      </c>
      <c r="AE62" s="189">
        <f t="shared" si="13"/>
        <v>4.2841296142682068E-3</v>
      </c>
      <c r="AF62" s="161">
        <f t="shared" si="14"/>
        <v>4.0243884718246716E-3</v>
      </c>
    </row>
    <row r="63" spans="3:32" x14ac:dyDescent="0.2">
      <c r="AB63" s="188">
        <f>_xll.qlCalendarAdvance(Calendar,AB62,"1d","mf",,Trigger)</f>
        <v>42212</v>
      </c>
      <c r="AC63" s="210">
        <f>_xll.qlDayCounterYearFraction(DayCounter,SettlementDate,AB63,,,Trigger)</f>
        <v>0.24109589041095891</v>
      </c>
      <c r="AD63" s="189">
        <f t="shared" si="0"/>
        <v>4.7015019493089755E-3</v>
      </c>
      <c r="AE63" s="189">
        <f t="shared" si="13"/>
        <v>4.2969718399617695E-3</v>
      </c>
      <c r="AF63" s="161">
        <f t="shared" si="14"/>
        <v>4.0675358138628831E-3</v>
      </c>
    </row>
    <row r="64" spans="3:32" x14ac:dyDescent="0.2">
      <c r="AB64" s="188">
        <f>_xll.qlCalendarAdvance(Calendar,AB63,"1d","mf",,Trigger)</f>
        <v>42213</v>
      </c>
      <c r="AC64" s="210">
        <f>_xll.qlDayCounterYearFraction(DayCounter,SettlementDate,AB64,,,Trigger)</f>
        <v>0.24383561643835616</v>
      </c>
      <c r="AD64" s="189">
        <f t="shared" si="0"/>
        <v>4.7015019493089755E-3</v>
      </c>
      <c r="AE64" s="189">
        <f t="shared" si="13"/>
        <v>4.3012525818596232E-3</v>
      </c>
      <c r="AF64" s="161">
        <f t="shared" si="14"/>
        <v>4.0817754809199334E-3</v>
      </c>
    </row>
    <row r="65" spans="9:32" x14ac:dyDescent="0.2">
      <c r="AB65" s="188">
        <f>_xll.qlCalendarAdvance(Calendar,AB64,"1d","mf",,Trigger)</f>
        <v>42214</v>
      </c>
      <c r="AC65" s="210">
        <f>_xll.qlDayCounterYearFraction(DayCounter,SettlementDate,AB65,,,Trigger)</f>
        <v>0.24657534246575341</v>
      </c>
      <c r="AD65" s="189">
        <f t="shared" si="0"/>
        <v>4.7015019493089755E-3</v>
      </c>
      <c r="AE65" s="189">
        <f t="shared" si="13"/>
        <v>4.3055333237574777E-3</v>
      </c>
      <c r="AF65" s="161">
        <f t="shared" si="14"/>
        <v>4.0959437578324724E-3</v>
      </c>
    </row>
    <row r="66" spans="9:32" x14ac:dyDescent="0.2">
      <c r="AB66" s="188">
        <f>_xll.qlCalendarAdvance(Calendar,AB65,"1d","mf",,Trigger)</f>
        <v>42215</v>
      </c>
      <c r="AC66" s="210">
        <f>_xll.qlDayCounterYearFraction(DayCounter,SettlementDate,AB66,,,Trigger)</f>
        <v>0.24931506849315069</v>
      </c>
      <c r="AD66" s="189">
        <f t="shared" si="0"/>
        <v>4.7015019493089755E-3</v>
      </c>
      <c r="AE66" s="189">
        <f t="shared" si="13"/>
        <v>4.3098140656553314E-3</v>
      </c>
      <c r="AF66" s="161">
        <f t="shared" si="14"/>
        <v>4.1100406446005011E-3</v>
      </c>
    </row>
    <row r="67" spans="9:32" x14ac:dyDescent="0.2">
      <c r="AB67" s="188">
        <f>_xll.qlCalendarAdvance(Calendar,AB66,"1d","mf",,Trigger)</f>
        <v>42216</v>
      </c>
      <c r="AC67" s="210">
        <f>_xll.qlDayCounterYearFraction(DayCounter,SettlementDate,AB67,,,Trigger)</f>
        <v>0.25205479452054796</v>
      </c>
      <c r="AD67" s="189">
        <f t="shared" ref="AD67:AD130" si="16">$S$13</f>
        <v>4.7015019493089755E-3</v>
      </c>
      <c r="AE67" s="189">
        <f t="shared" si="13"/>
        <v>4.3140948075531859E-3</v>
      </c>
      <c r="AF67" s="161">
        <f t="shared" si="14"/>
        <v>4.1240661412240203E-3</v>
      </c>
    </row>
    <row r="68" spans="9:32" x14ac:dyDescent="0.2">
      <c r="AB68" s="188">
        <f>_xll.qlCalendarAdvance(Calendar,AB67,"1d","mf",,Trigger)</f>
        <v>42219</v>
      </c>
      <c r="AC68" s="210">
        <f>_xll.qlDayCounterYearFraction(DayCounter,SettlementDate,AB68,,,Trigger)</f>
        <v>0.26027397260273971</v>
      </c>
      <c r="AD68" s="189">
        <f t="shared" si="16"/>
        <v>4.7015019493089755E-3</v>
      </c>
      <c r="AE68" s="189">
        <f t="shared" si="13"/>
        <v>4.3269370332467477E-3</v>
      </c>
      <c r="AF68" s="161">
        <f t="shared" si="14"/>
        <v>4.1657142902275139E-3</v>
      </c>
    </row>
    <row r="69" spans="9:32" x14ac:dyDescent="0.2">
      <c r="I69" s="170"/>
      <c r="AB69" s="188">
        <f>_xll.qlCalendarAdvance(Calendar,AB68,"1d","mf",,Trigger)</f>
        <v>42220</v>
      </c>
      <c r="AC69" s="210">
        <f>_xll.qlDayCounterYearFraction(DayCounter,SettlementDate,AB69,,,Trigger)</f>
        <v>0.26301369863013696</v>
      </c>
      <c r="AD69" s="189">
        <f t="shared" si="16"/>
        <v>4.7015019493089755E-3</v>
      </c>
      <c r="AE69" s="189">
        <f t="shared" si="13"/>
        <v>4.3312177751446013E-3</v>
      </c>
      <c r="AF69" s="161">
        <f t="shared" si="14"/>
        <v>4.1794542262729899E-3</v>
      </c>
    </row>
    <row r="70" spans="9:32" x14ac:dyDescent="0.2">
      <c r="I70" s="170"/>
      <c r="AB70" s="188">
        <f>_xll.qlCalendarAdvance(Calendar,AB69,"1d","mf",,Trigger)</f>
        <v>42221</v>
      </c>
      <c r="AC70" s="210">
        <f>_xll.qlDayCounterYearFraction(DayCounter,SettlementDate,AB70,,,Trigger)</f>
        <v>0.26575342465753427</v>
      </c>
      <c r="AD70" s="189">
        <f t="shared" si="16"/>
        <v>4.7015019493089755E-3</v>
      </c>
      <c r="AE70" s="189">
        <f t="shared" si="13"/>
        <v>4.3354985170424559E-3</v>
      </c>
      <c r="AF70" s="161">
        <f t="shared" si="14"/>
        <v>4.1931227721739572E-3</v>
      </c>
    </row>
    <row r="71" spans="9:32" x14ac:dyDescent="0.2">
      <c r="I71" s="170"/>
      <c r="AB71" s="188">
        <f>_xll.qlCalendarAdvance(Calendar,AB70,"1d","mf",,Trigger)</f>
        <v>42222</v>
      </c>
      <c r="AC71" s="210">
        <f>_xll.qlDayCounterYearFraction(DayCounter,SettlementDate,AB71,,,Trigger)</f>
        <v>0.26849315068493151</v>
      </c>
      <c r="AD71" s="189">
        <f t="shared" si="16"/>
        <v>4.7015019493089755E-3</v>
      </c>
      <c r="AE71" s="189">
        <f t="shared" si="13"/>
        <v>4.3397792589403095E-3</v>
      </c>
      <c r="AF71" s="161">
        <f t="shared" si="14"/>
        <v>4.2067199279304142E-3</v>
      </c>
    </row>
    <row r="72" spans="9:32" x14ac:dyDescent="0.2">
      <c r="I72" s="170"/>
      <c r="AB72" s="188">
        <f>_xll.qlCalendarAdvance(Calendar,AB71,"1d","mf",,Trigger)</f>
        <v>42223</v>
      </c>
      <c r="AC72" s="210">
        <f>_xll.qlDayCounterYearFraction(DayCounter,SettlementDate,AB72,,,Trigger)</f>
        <v>0.27123287671232876</v>
      </c>
      <c r="AD72" s="189">
        <f t="shared" si="16"/>
        <v>4.7015019493089755E-3</v>
      </c>
      <c r="AE72" s="189">
        <f t="shared" si="13"/>
        <v>4.344060000838164E-3</v>
      </c>
      <c r="AF72" s="161">
        <f t="shared" si="14"/>
        <v>4.220245693542359E-3</v>
      </c>
    </row>
    <row r="73" spans="9:32" x14ac:dyDescent="0.2">
      <c r="I73" s="170"/>
      <c r="AB73" s="188">
        <f>_xll.qlCalendarAdvance(Calendar,AB72,"1d","mf",,Trigger)</f>
        <v>42226</v>
      </c>
      <c r="AC73" s="210">
        <f>_xll.qlDayCounterYearFraction(DayCounter,SettlementDate,AB73,,,Trigger)</f>
        <v>0.27945205479452057</v>
      </c>
      <c r="AD73" s="189">
        <f t="shared" si="16"/>
        <v>4.7015019493089755E-3</v>
      </c>
      <c r="AE73" s="189">
        <f t="shared" si="13"/>
        <v>4.3569022265317258E-3</v>
      </c>
      <c r="AF73" s="161">
        <f t="shared" si="14"/>
        <v>4.2603946495111348E-3</v>
      </c>
    </row>
    <row r="74" spans="9:32" x14ac:dyDescent="0.2">
      <c r="I74" s="170"/>
      <c r="AB74" s="188">
        <f>_xll.qlCalendarAdvance(Calendar,AB73,"1d","mf",,Trigger)</f>
        <v>42227</v>
      </c>
      <c r="AC74" s="210">
        <f>_xll.qlDayCounterYearFraction(DayCounter,SettlementDate,AB74,,,Trigger)</f>
        <v>0.28219178082191781</v>
      </c>
      <c r="AD74" s="189">
        <f t="shared" si="16"/>
        <v>4.7015019493089755E-3</v>
      </c>
      <c r="AE74" s="189">
        <f t="shared" si="13"/>
        <v>4.3611829684295795E-3</v>
      </c>
      <c r="AF74" s="161">
        <f t="shared" si="14"/>
        <v>4.2736348545450399E-3</v>
      </c>
    </row>
    <row r="75" spans="9:32" x14ac:dyDescent="0.2">
      <c r="I75" s="170"/>
      <c r="J75" s="170"/>
      <c r="AB75" s="188">
        <f>_xll.qlCalendarAdvance(Calendar,AB74,"1d","mf",,Trigger)</f>
        <v>42228</v>
      </c>
      <c r="AC75" s="210">
        <f>_xll.qlDayCounterYearFraction(DayCounter,SettlementDate,AB75,,,Trigger)</f>
        <v>0.28493150684931506</v>
      </c>
      <c r="AD75" s="189">
        <f t="shared" si="16"/>
        <v>4.7015019493089755E-3</v>
      </c>
      <c r="AE75" s="189">
        <f t="shared" si="13"/>
        <v>4.365463710327434E-3</v>
      </c>
      <c r="AF75" s="161">
        <f t="shared" si="14"/>
        <v>4.2868036694344346E-3</v>
      </c>
    </row>
    <row r="76" spans="9:32" x14ac:dyDescent="0.2">
      <c r="I76" s="170"/>
      <c r="J76" s="170"/>
      <c r="AB76" s="188">
        <f>_xll.qlCalendarAdvance(Calendar,AB75,"1d","mf",,Trigger)</f>
        <v>42229</v>
      </c>
      <c r="AC76" s="210">
        <f>_xll.qlDayCounterYearFraction(DayCounter,SettlementDate,AB76,,,Trigger)</f>
        <v>0.28767123287671231</v>
      </c>
      <c r="AD76" s="189">
        <f t="shared" si="16"/>
        <v>4.7015019493089755E-3</v>
      </c>
      <c r="AE76" s="189">
        <f t="shared" si="13"/>
        <v>4.3697444522252877E-3</v>
      </c>
      <c r="AF76" s="161">
        <f t="shared" si="14"/>
        <v>4.2999010941793181E-3</v>
      </c>
    </row>
    <row r="77" spans="9:32" x14ac:dyDescent="0.2">
      <c r="I77" s="170"/>
      <c r="J77" s="170"/>
      <c r="AB77" s="188">
        <f>_xll.qlCalendarAdvance(Calendar,AB76,"1d","mf",,Trigger)</f>
        <v>42230</v>
      </c>
      <c r="AC77" s="210">
        <f>_xll.qlDayCounterYearFraction(DayCounter,SettlementDate,AB77,,,Trigger)</f>
        <v>0.29041095890410956</v>
      </c>
      <c r="AD77" s="189">
        <f t="shared" si="16"/>
        <v>4.7015019493089755E-3</v>
      </c>
      <c r="AE77" s="189">
        <f t="shared" si="13"/>
        <v>4.3740251941231422E-3</v>
      </c>
      <c r="AF77" s="161">
        <f t="shared" si="14"/>
        <v>4.3129271287796912E-3</v>
      </c>
    </row>
    <row r="78" spans="9:32" x14ac:dyDescent="0.2">
      <c r="I78" s="170"/>
      <c r="J78" s="170"/>
      <c r="AB78" s="188">
        <f>_xll.qlCalendarAdvance(Calendar,AB77,"1d","mf",,Trigger)</f>
        <v>42233</v>
      </c>
      <c r="AC78" s="210">
        <f>_xll.qlDayCounterYearFraction(DayCounter,SettlementDate,AB78,,,Trigger)</f>
        <v>0.29863013698630136</v>
      </c>
      <c r="AD78" s="189">
        <f t="shared" si="16"/>
        <v>4.7015019493089755E-3</v>
      </c>
      <c r="AE78" s="189">
        <f t="shared" si="13"/>
        <v>4.386867419816704E-3</v>
      </c>
      <c r="AF78" s="161">
        <f t="shared" si="14"/>
        <v>4.3515768917137499E-3</v>
      </c>
    </row>
    <row r="79" spans="9:32" x14ac:dyDescent="0.2">
      <c r="I79" s="170"/>
      <c r="J79" s="170"/>
      <c r="AB79" s="188">
        <f>_xll.qlCalendarAdvance(Calendar,AB78,"1d","mf",,Trigger)</f>
        <v>42234</v>
      </c>
      <c r="AC79" s="210">
        <f>_xll.qlDayCounterYearFraction(DayCounter,SettlementDate,AB79,,,Trigger)</f>
        <v>0.30136986301369861</v>
      </c>
      <c r="AD79" s="189">
        <f t="shared" si="16"/>
        <v>4.7015019493089755E-3</v>
      </c>
      <c r="AE79" s="189">
        <f t="shared" si="13"/>
        <v>4.3911481617145576E-3</v>
      </c>
      <c r="AF79" s="161">
        <f t="shared" si="14"/>
        <v>4.3643173657360824E-3</v>
      </c>
    </row>
    <row r="80" spans="9:32" x14ac:dyDescent="0.2">
      <c r="I80" s="170"/>
      <c r="J80" s="170"/>
      <c r="AB80" s="188">
        <f>_xll.qlCalendarAdvance(Calendar,AB79,"1d","mf",,Trigger)</f>
        <v>42235</v>
      </c>
      <c r="AC80" s="210">
        <f>_xll.qlDayCounterYearFraction(DayCounter,SettlementDate,AB80,,,Trigger)</f>
        <v>0.30410958904109592</v>
      </c>
      <c r="AD80" s="189">
        <f t="shared" si="16"/>
        <v>4.7015019493089755E-3</v>
      </c>
      <c r="AE80" s="189">
        <f t="shared" si="13"/>
        <v>4.3954289036124122E-3</v>
      </c>
      <c r="AF80" s="161">
        <f t="shared" si="14"/>
        <v>4.3769864496139036E-3</v>
      </c>
    </row>
    <row r="81" spans="9:32" x14ac:dyDescent="0.2">
      <c r="I81" s="170"/>
      <c r="J81" s="170"/>
      <c r="AB81" s="188">
        <f>_xll.qlCalendarAdvance(Calendar,AB80,"1d","mf",,Trigger)</f>
        <v>42236</v>
      </c>
      <c r="AC81" s="210">
        <f>_xll.qlDayCounterYearFraction(DayCounter,SettlementDate,AB81,,,Trigger)</f>
        <v>0.30684931506849317</v>
      </c>
      <c r="AD81" s="189">
        <f t="shared" si="16"/>
        <v>4.7015019493089755E-3</v>
      </c>
      <c r="AE81" s="189">
        <f t="shared" si="13"/>
        <v>4.3997096455102658E-3</v>
      </c>
      <c r="AF81" s="161">
        <f t="shared" si="14"/>
        <v>4.3895841433472154E-3</v>
      </c>
    </row>
    <row r="82" spans="9:32" x14ac:dyDescent="0.2">
      <c r="I82" s="170"/>
      <c r="J82" s="170"/>
      <c r="AB82" s="188">
        <f>_xll.qlCalendarAdvance(Calendar,AB81,"1d","mf",,Trigger)</f>
        <v>42237</v>
      </c>
      <c r="AC82" s="210">
        <f>_xll.qlDayCounterYearFraction(DayCounter,SettlementDate,AB82,,,Trigger)</f>
        <v>0.30958904109589042</v>
      </c>
      <c r="AD82" s="189">
        <f t="shared" si="16"/>
        <v>4.7015019493089755E-3</v>
      </c>
      <c r="AE82" s="189">
        <f t="shared" si="13"/>
        <v>4.4039903874081203E-3</v>
      </c>
      <c r="AF82" s="161">
        <f t="shared" si="14"/>
        <v>4.4021104469360159E-3</v>
      </c>
    </row>
    <row r="83" spans="9:32" x14ac:dyDescent="0.2">
      <c r="I83" s="170"/>
      <c r="J83" s="170"/>
      <c r="AB83" s="188">
        <f>_xll.qlCalendarAdvance(Calendar,AB82,"1d","mf",,Trigger)</f>
        <v>42240</v>
      </c>
      <c r="AC83" s="210">
        <f>_xll.qlDayCounterYearFraction(DayCounter,SettlementDate,AB83,,,Trigger)</f>
        <v>0.31780821917808222</v>
      </c>
      <c r="AD83" s="189">
        <f t="shared" si="16"/>
        <v>4.7015019493089755E-3</v>
      </c>
      <c r="AE83" s="189">
        <f t="shared" si="13"/>
        <v>4.4168326131016821E-3</v>
      </c>
      <c r="AF83" s="161">
        <f t="shared" si="14"/>
        <v>4.4392610168353568E-3</v>
      </c>
    </row>
    <row r="84" spans="9:32" x14ac:dyDescent="0.2">
      <c r="I84" s="170"/>
      <c r="J84" s="170"/>
      <c r="AB84" s="188">
        <f>_xll.qlCalendarAdvance(Calendar,AB83,"1d","mf",,Trigger)</f>
        <v>42241</v>
      </c>
      <c r="AC84" s="210">
        <f>_xll.qlDayCounterYearFraction(DayCounter,SettlementDate,AB84,,,Trigger)</f>
        <v>0.32054794520547947</v>
      </c>
      <c r="AD84" s="189">
        <f t="shared" si="16"/>
        <v>4.7015019493089755E-3</v>
      </c>
      <c r="AE84" s="189">
        <f t="shared" si="13"/>
        <v>4.4211133549995367E-3</v>
      </c>
      <c r="AF84" s="161">
        <f t="shared" si="14"/>
        <v>4.4515017598461167E-3</v>
      </c>
    </row>
    <row r="85" spans="9:32" x14ac:dyDescent="0.2">
      <c r="I85" s="170"/>
      <c r="J85" s="170"/>
      <c r="AB85" s="188">
        <f>_xll.qlCalendarAdvance(Calendar,AB84,"1d","mf",,Trigger)</f>
        <v>42242</v>
      </c>
      <c r="AC85" s="210">
        <f>_xll.qlDayCounterYearFraction(DayCounter,SettlementDate,AB85,,,Trigger)</f>
        <v>0.32328767123287672</v>
      </c>
      <c r="AD85" s="189">
        <f t="shared" si="16"/>
        <v>4.7015019493089755E-3</v>
      </c>
      <c r="AE85" s="189">
        <f t="shared" si="13"/>
        <v>4.4253940968973903E-3</v>
      </c>
      <c r="AF85" s="161">
        <f t="shared" si="14"/>
        <v>4.4636711127123661E-3</v>
      </c>
    </row>
    <row r="86" spans="9:32" x14ac:dyDescent="0.2">
      <c r="I86" s="170"/>
      <c r="J86" s="170"/>
      <c r="AB86" s="188">
        <f>_xll.qlCalendarAdvance(Calendar,AB85,"1d","mf",,Trigger)</f>
        <v>42243</v>
      </c>
      <c r="AC86" s="210">
        <f>_xll.qlDayCounterYearFraction(DayCounter,SettlementDate,AB86,,,Trigger)</f>
        <v>0.32602739726027397</v>
      </c>
      <c r="AD86" s="189">
        <f t="shared" si="16"/>
        <v>4.7015019493089755E-3</v>
      </c>
      <c r="AE86" s="189">
        <f t="shared" ref="AE86:AE145" si="17">$S$10+$S$9*AC86</f>
        <v>4.4296748387952448E-3</v>
      </c>
      <c r="AF86" s="161">
        <f t="shared" ref="AF86:AF145" si="18">($S$5+$S$4*AC86+$S$3*AC86^2)</f>
        <v>4.4757690754341044E-3</v>
      </c>
    </row>
    <row r="87" spans="9:32" x14ac:dyDescent="0.2">
      <c r="I87" s="170"/>
      <c r="J87" s="170"/>
      <c r="AB87" s="188">
        <f>_xll.qlCalendarAdvance(Calendar,AB86,"1d","mf",,Trigger)</f>
        <v>42244</v>
      </c>
      <c r="AC87" s="210">
        <f>_xll.qlDayCounterYearFraction(DayCounter,SettlementDate,AB87,,,Trigger)</f>
        <v>0.32876712328767121</v>
      </c>
      <c r="AD87" s="189">
        <f t="shared" si="16"/>
        <v>4.7015019493089755E-3</v>
      </c>
      <c r="AE87" s="189">
        <f t="shared" si="17"/>
        <v>4.4339555806930985E-3</v>
      </c>
      <c r="AF87" s="161">
        <f t="shared" si="18"/>
        <v>4.4877956480113314E-3</v>
      </c>
    </row>
    <row r="88" spans="9:32" x14ac:dyDescent="0.2">
      <c r="I88" s="170"/>
      <c r="J88" s="170"/>
      <c r="AB88" s="188">
        <f>_xll.qlCalendarAdvance(Calendar,AB87,"1d","mf",,Trigger)</f>
        <v>42248</v>
      </c>
      <c r="AC88" s="210">
        <f>_xll.qlDayCounterYearFraction(DayCounter,SettlementDate,AB88,,,Trigger)</f>
        <v>0.33972602739726027</v>
      </c>
      <c r="AD88" s="189">
        <f t="shared" si="16"/>
        <v>4.7015019493089755E-3</v>
      </c>
      <c r="AE88" s="189">
        <f t="shared" si="17"/>
        <v>4.4510785482845148E-3</v>
      </c>
      <c r="AF88" s="161">
        <f t="shared" si="18"/>
        <v>4.5351880368751426E-3</v>
      </c>
    </row>
    <row r="89" spans="9:32" x14ac:dyDescent="0.2">
      <c r="I89" s="170"/>
      <c r="J89" s="170"/>
      <c r="AB89" s="188">
        <f>_xll.qlCalendarAdvance(Calendar,AB88,"1d","mf",,Trigger)</f>
        <v>42249</v>
      </c>
      <c r="AC89" s="210">
        <f>_xll.qlDayCounterYearFraction(DayCounter,SettlementDate,AB89,,,Trigger)</f>
        <v>0.34246575342465752</v>
      </c>
      <c r="AD89" s="189">
        <f t="shared" si="16"/>
        <v>4.7015019493089755E-3</v>
      </c>
      <c r="AE89" s="189">
        <f t="shared" si="17"/>
        <v>4.4553592901823685E-3</v>
      </c>
      <c r="AF89" s="161">
        <f t="shared" si="18"/>
        <v>4.5468576587298186E-3</v>
      </c>
    </row>
    <row r="90" spans="9:32" x14ac:dyDescent="0.2">
      <c r="I90" s="170"/>
      <c r="J90" s="170"/>
      <c r="AB90" s="188">
        <f>_xll.qlCalendarAdvance(Calendar,AB89,"1d","mf",,Trigger)</f>
        <v>42250</v>
      </c>
      <c r="AC90" s="210">
        <f>_xll.qlDayCounterYearFraction(DayCounter,SettlementDate,AB90,,,Trigger)</f>
        <v>0.34520547945205482</v>
      </c>
      <c r="AD90" s="189">
        <f t="shared" si="16"/>
        <v>4.7015019493089755E-3</v>
      </c>
      <c r="AE90" s="189">
        <f t="shared" si="17"/>
        <v>4.459640032080223E-3</v>
      </c>
      <c r="AF90" s="161">
        <f t="shared" si="18"/>
        <v>4.5584558904399851E-3</v>
      </c>
    </row>
    <row r="91" spans="9:32" x14ac:dyDescent="0.2">
      <c r="I91" s="170"/>
      <c r="J91" s="170"/>
      <c r="AB91" s="188">
        <f>_xll.qlCalendarAdvance(Calendar,AB90,"1d","mf",,Trigger)</f>
        <v>42251</v>
      </c>
      <c r="AC91" s="210">
        <f>_xll.qlDayCounterYearFraction(DayCounter,SettlementDate,AB91,,,Trigger)</f>
        <v>0.34794520547945207</v>
      </c>
      <c r="AD91" s="189">
        <f t="shared" si="16"/>
        <v>4.7015019493089755E-3</v>
      </c>
      <c r="AE91" s="189">
        <f t="shared" si="17"/>
        <v>4.4639207739780766E-3</v>
      </c>
      <c r="AF91" s="161">
        <f t="shared" si="18"/>
        <v>4.5699827320056412E-3</v>
      </c>
    </row>
    <row r="92" spans="9:32" x14ac:dyDescent="0.2">
      <c r="I92" s="170"/>
      <c r="J92" s="170"/>
      <c r="AB92" s="188">
        <f>_xll.qlCalendarAdvance(Calendar,AB91,"1d","mf",,Trigger)</f>
        <v>42254</v>
      </c>
      <c r="AC92" s="210">
        <f>_xll.qlDayCounterYearFraction(DayCounter,SettlementDate,AB92,,,Trigger)</f>
        <v>0.35616438356164382</v>
      </c>
      <c r="AD92" s="189">
        <f t="shared" si="16"/>
        <v>4.7015019493089755E-3</v>
      </c>
      <c r="AE92" s="189">
        <f t="shared" si="17"/>
        <v>4.4767629996716385E-3</v>
      </c>
      <c r="AF92" s="161">
        <f t="shared" si="18"/>
        <v>4.6041349158355465E-3</v>
      </c>
    </row>
    <row r="93" spans="9:32" x14ac:dyDescent="0.2">
      <c r="I93" s="170"/>
      <c r="J93" s="170"/>
      <c r="AB93" s="188">
        <f>_xll.qlCalendarAdvance(Calendar,AB92,"1d","mf",,Trigger)</f>
        <v>42255</v>
      </c>
      <c r="AC93" s="210">
        <f>_xll.qlDayCounterYearFraction(DayCounter,SettlementDate,AB93,,,Trigger)</f>
        <v>0.35890410958904112</v>
      </c>
      <c r="AD93" s="189">
        <f t="shared" si="16"/>
        <v>4.7015019493089755E-3</v>
      </c>
      <c r="AE93" s="189">
        <f t="shared" si="17"/>
        <v>4.481043741569493E-3</v>
      </c>
      <c r="AF93" s="161">
        <f t="shared" si="18"/>
        <v>4.6153761968231602E-3</v>
      </c>
    </row>
    <row r="94" spans="9:32" x14ac:dyDescent="0.2">
      <c r="I94" s="170"/>
      <c r="J94" s="170"/>
      <c r="AB94" s="188">
        <f>_xll.qlCalendarAdvance(Calendar,AB93,"1d","mf",,Trigger)</f>
        <v>42256</v>
      </c>
      <c r="AC94" s="210">
        <f>_xll.qlDayCounterYearFraction(DayCounter,SettlementDate,AB94,,,Trigger)</f>
        <v>0.36164383561643837</v>
      </c>
      <c r="AD94" s="189">
        <f t="shared" si="16"/>
        <v>4.7015019493089755E-3</v>
      </c>
      <c r="AE94" s="189">
        <f t="shared" si="17"/>
        <v>4.4853244834673466E-3</v>
      </c>
      <c r="AF94" s="161">
        <f t="shared" si="18"/>
        <v>4.6265460876662653E-3</v>
      </c>
    </row>
    <row r="95" spans="9:32" x14ac:dyDescent="0.2">
      <c r="I95" s="170"/>
      <c r="J95" s="170"/>
      <c r="AB95" s="188">
        <f>_xll.qlCalendarAdvance(Calendar,AB94,"1d","mf",,Trigger)</f>
        <v>42257</v>
      </c>
      <c r="AC95" s="210">
        <f>_xll.qlDayCounterYearFraction(DayCounter,SettlementDate,AB95,,,Trigger)</f>
        <v>0.36438356164383562</v>
      </c>
      <c r="AD95" s="189">
        <f t="shared" si="16"/>
        <v>4.7015019493089755E-3</v>
      </c>
      <c r="AE95" s="189">
        <f t="shared" si="17"/>
        <v>4.4896052253652011E-3</v>
      </c>
      <c r="AF95" s="161">
        <f t="shared" si="18"/>
        <v>4.6376445883648592E-3</v>
      </c>
    </row>
    <row r="96" spans="9:32" x14ac:dyDescent="0.2">
      <c r="I96" s="170"/>
      <c r="J96" s="170"/>
      <c r="AB96" s="188">
        <f>_xll.qlCalendarAdvance(Calendar,AB95,"1d","mf",,Trigger)</f>
        <v>42258</v>
      </c>
      <c r="AC96" s="210">
        <f>_xll.qlDayCounterYearFraction(DayCounter,SettlementDate,AB96,,,Trigger)</f>
        <v>0.36712328767123287</v>
      </c>
      <c r="AD96" s="189">
        <f t="shared" si="16"/>
        <v>4.7015019493089755E-3</v>
      </c>
      <c r="AE96" s="189">
        <f t="shared" si="17"/>
        <v>4.4938859672630548E-3</v>
      </c>
      <c r="AF96" s="161">
        <f t="shared" si="18"/>
        <v>4.6486716989189419E-3</v>
      </c>
    </row>
    <row r="97" spans="9:32" x14ac:dyDescent="0.2">
      <c r="I97" s="170"/>
      <c r="J97" s="170"/>
      <c r="AB97" s="188">
        <f>_xll.qlCalendarAdvance(Calendar,AB96,"1d","mf",,Trigger)</f>
        <v>42261</v>
      </c>
      <c r="AC97" s="210">
        <f>_xll.qlDayCounterYearFraction(DayCounter,SettlementDate,AB97,,,Trigger)</f>
        <v>0.37534246575342467</v>
      </c>
      <c r="AD97" s="189">
        <f t="shared" si="16"/>
        <v>4.7015019493089755E-3</v>
      </c>
      <c r="AE97" s="189">
        <f t="shared" si="17"/>
        <v>4.5067281929566175E-3</v>
      </c>
      <c r="AF97" s="161">
        <f t="shared" si="18"/>
        <v>4.6813246897141293E-3</v>
      </c>
    </row>
    <row r="98" spans="9:32" x14ac:dyDescent="0.2">
      <c r="I98" s="170"/>
      <c r="J98" s="170"/>
      <c r="AB98" s="188">
        <f>_xll.qlCalendarAdvance(Calendar,AB97,"1d","mf",,Trigger)</f>
        <v>42262</v>
      </c>
      <c r="AC98" s="210">
        <f>_xll.qlDayCounterYearFraction(DayCounter,SettlementDate,AB98,,,Trigger)</f>
        <v>0.37808219178082192</v>
      </c>
      <c r="AD98" s="189">
        <f t="shared" si="16"/>
        <v>4.7015019493089755E-3</v>
      </c>
      <c r="AE98" s="189">
        <f t="shared" si="17"/>
        <v>4.5110089348544711E-3</v>
      </c>
      <c r="AF98" s="161">
        <f t="shared" si="18"/>
        <v>4.6920662396901722E-3</v>
      </c>
    </row>
    <row r="99" spans="9:32" x14ac:dyDescent="0.2">
      <c r="I99" s="170"/>
      <c r="J99" s="170"/>
      <c r="AB99" s="188">
        <f>_xll.qlCalendarAdvance(Calendar,AB98,"1d","mf",,Trigger)</f>
        <v>42263</v>
      </c>
      <c r="AC99" s="210">
        <f>_xll.qlDayCounterYearFraction(DayCounter,SettlementDate,AB99,,,Trigger)</f>
        <v>0.38082191780821917</v>
      </c>
      <c r="AD99" s="189">
        <f t="shared" si="16"/>
        <v>4.7015019493089755E-3</v>
      </c>
      <c r="AE99" s="189">
        <f t="shared" si="17"/>
        <v>4.5152896767523248E-3</v>
      </c>
      <c r="AF99" s="161">
        <f t="shared" si="18"/>
        <v>4.7027363995217029E-3</v>
      </c>
    </row>
    <row r="100" spans="9:32" x14ac:dyDescent="0.2">
      <c r="I100" s="170"/>
      <c r="J100" s="170"/>
      <c r="AB100" s="188">
        <f>_xll.qlCalendarAdvance(Calendar,AB99,"1d","mf",,Trigger)</f>
        <v>42264</v>
      </c>
      <c r="AC100" s="210">
        <f>_xll.qlDayCounterYearFraction(DayCounter,SettlementDate,AB100,,,Trigger)</f>
        <v>0.38356164383561642</v>
      </c>
      <c r="AD100" s="189">
        <f t="shared" si="16"/>
        <v>4.7015019493089755E-3</v>
      </c>
      <c r="AE100" s="189">
        <f t="shared" si="17"/>
        <v>4.5195704186501793E-3</v>
      </c>
      <c r="AF100" s="161">
        <f t="shared" si="18"/>
        <v>4.7133351692087242E-3</v>
      </c>
    </row>
    <row r="101" spans="9:32" x14ac:dyDescent="0.2">
      <c r="I101" s="170"/>
      <c r="J101" s="170"/>
      <c r="AB101" s="188">
        <f>_xll.qlCalendarAdvance(Calendar,AB100,"1d","mf",,Trigger)</f>
        <v>42265</v>
      </c>
      <c r="AC101" s="210">
        <f>_xll.qlDayCounterYearFraction(DayCounter,SettlementDate,AB101,,,Trigger)</f>
        <v>0.38630136986301372</v>
      </c>
      <c r="AD101" s="189">
        <f t="shared" si="16"/>
        <v>4.7015019493089755E-3</v>
      </c>
      <c r="AE101" s="189">
        <f t="shared" si="17"/>
        <v>4.5238511605480329E-3</v>
      </c>
      <c r="AF101" s="161">
        <f t="shared" si="18"/>
        <v>4.723862548751236E-3</v>
      </c>
    </row>
    <row r="102" spans="9:32" x14ac:dyDescent="0.2">
      <c r="I102" s="170"/>
      <c r="J102" s="170"/>
      <c r="AB102" s="188">
        <f>_xll.qlCalendarAdvance(Calendar,AB101,"1d","mf",,Trigger)</f>
        <v>42268</v>
      </c>
      <c r="AC102" s="210">
        <f>_xll.qlDayCounterYearFraction(DayCounter,SettlementDate,AB102,,,Trigger)</f>
        <v>0.39452054794520547</v>
      </c>
      <c r="AD102" s="189">
        <f t="shared" si="16"/>
        <v>4.7015019493089755E-3</v>
      </c>
      <c r="AE102" s="189">
        <f t="shared" si="17"/>
        <v>4.5366933862415956E-3</v>
      </c>
      <c r="AF102" s="161">
        <f t="shared" si="18"/>
        <v>4.7550163465117055E-3</v>
      </c>
    </row>
    <row r="103" spans="9:32" x14ac:dyDescent="0.2">
      <c r="I103" s="170"/>
      <c r="J103" s="170"/>
      <c r="AB103" s="188">
        <f>_xll.qlCalendarAdvance(Calendar,AB102,"1d","mf",,Trigger)</f>
        <v>42269</v>
      </c>
      <c r="AC103" s="210">
        <f>_xll.qlDayCounterYearFraction(DayCounter,SettlementDate,AB103,,,Trigger)</f>
        <v>0.39726027397260272</v>
      </c>
      <c r="AD103" s="189">
        <f t="shared" si="16"/>
        <v>4.7015019493089755E-3</v>
      </c>
      <c r="AE103" s="189">
        <f t="shared" si="17"/>
        <v>4.5409741281394493E-3</v>
      </c>
      <c r="AF103" s="161">
        <f t="shared" si="18"/>
        <v>4.7652581654761749E-3</v>
      </c>
    </row>
    <row r="104" spans="9:32" x14ac:dyDescent="0.2">
      <c r="I104" s="170"/>
      <c r="J104" s="170"/>
      <c r="AB104" s="188">
        <f>_xll.qlCalendarAdvance(Calendar,AB103,"1d","mf",,Trigger)</f>
        <v>42270</v>
      </c>
      <c r="AC104" s="210">
        <f>_xll.qlDayCounterYearFraction(DayCounter,SettlementDate,AB104,,,Trigger)</f>
        <v>0.4</v>
      </c>
      <c r="AD104" s="189">
        <f t="shared" si="16"/>
        <v>4.7015019493089755E-3</v>
      </c>
      <c r="AE104" s="189">
        <f t="shared" si="17"/>
        <v>4.5452548700373029E-3</v>
      </c>
      <c r="AF104" s="161">
        <f t="shared" si="18"/>
        <v>4.775428594296134E-3</v>
      </c>
    </row>
    <row r="105" spans="9:32" x14ac:dyDescent="0.2">
      <c r="I105" s="170"/>
      <c r="J105" s="170"/>
      <c r="AB105" s="188">
        <f>_xll.qlCalendarAdvance(Calendar,AB104,"1d","mf",,Trigger)</f>
        <v>42271</v>
      </c>
      <c r="AC105" s="210">
        <f>_xll.qlDayCounterYearFraction(DayCounter,SettlementDate,AB105,,,Trigger)</f>
        <v>0.40273972602739727</v>
      </c>
      <c r="AD105" s="189">
        <f t="shared" si="16"/>
        <v>4.7015019493089755E-3</v>
      </c>
      <c r="AE105" s="189">
        <f t="shared" si="17"/>
        <v>4.5495356119351574E-3</v>
      </c>
      <c r="AF105" s="161">
        <f t="shared" si="18"/>
        <v>4.7855276329715826E-3</v>
      </c>
    </row>
    <row r="106" spans="9:32" x14ac:dyDescent="0.2">
      <c r="I106" s="170"/>
      <c r="J106" s="170"/>
      <c r="AB106" s="188">
        <f>_xll.qlCalendarAdvance(Calendar,AB105,"1d","mf",,Trigger)</f>
        <v>42272</v>
      </c>
      <c r="AC106" s="210">
        <f>_xll.qlDayCounterYearFraction(DayCounter,SettlementDate,AB106,,,Trigger)</f>
        <v>0.40547945205479452</v>
      </c>
      <c r="AD106" s="189">
        <f t="shared" si="16"/>
        <v>4.7015019493089755E-3</v>
      </c>
      <c r="AE106" s="189">
        <f t="shared" si="17"/>
        <v>4.5538163538330111E-3</v>
      </c>
      <c r="AF106" s="161">
        <f t="shared" si="18"/>
        <v>4.79555528150252E-3</v>
      </c>
    </row>
    <row r="107" spans="9:32" x14ac:dyDescent="0.2">
      <c r="I107" s="170"/>
      <c r="J107" s="170"/>
      <c r="AB107" s="188">
        <f>_xll.qlCalendarAdvance(Calendar,AB106,"1d","mf",,Trigger)</f>
        <v>42275</v>
      </c>
      <c r="AC107" s="210">
        <f>_xll.qlDayCounterYearFraction(DayCounter,SettlementDate,AB107,,,Trigger)</f>
        <v>0.41369863013698632</v>
      </c>
      <c r="AD107" s="189">
        <f t="shared" si="16"/>
        <v>4.7015019493089755E-3</v>
      </c>
      <c r="AE107" s="189">
        <f t="shared" si="17"/>
        <v>4.5666585795265738E-3</v>
      </c>
      <c r="AF107" s="161">
        <f t="shared" si="18"/>
        <v>4.8252098862282726E-3</v>
      </c>
    </row>
    <row r="108" spans="9:32" x14ac:dyDescent="0.2">
      <c r="I108" s="170"/>
      <c r="J108" s="170"/>
      <c r="AB108" s="188">
        <f>_xll.qlCalendarAdvance(Calendar,AB107,"1d","mf",,Trigger)</f>
        <v>42276</v>
      </c>
      <c r="AC108" s="210">
        <f>_xll.qlDayCounterYearFraction(DayCounter,SettlementDate,AB108,,,Trigger)</f>
        <v>0.41643835616438357</v>
      </c>
      <c r="AD108" s="189">
        <f t="shared" si="16"/>
        <v>4.7015019493089755E-3</v>
      </c>
      <c r="AE108" s="189">
        <f t="shared" si="17"/>
        <v>4.5709393214244274E-3</v>
      </c>
      <c r="AF108" s="161">
        <f t="shared" si="18"/>
        <v>4.8349519741811703E-3</v>
      </c>
    </row>
    <row r="109" spans="9:32" x14ac:dyDescent="0.2">
      <c r="I109" s="170"/>
      <c r="J109" s="170"/>
      <c r="AB109" s="188">
        <f>_xll.qlCalendarAdvance(Calendar,AB108,"1d","mf",,Trigger)</f>
        <v>42277</v>
      </c>
      <c r="AC109" s="210">
        <f>_xll.qlDayCounterYearFraction(DayCounter,SettlementDate,AB109,,,Trigger)</f>
        <v>0.41917808219178082</v>
      </c>
      <c r="AD109" s="189">
        <f t="shared" si="16"/>
        <v>4.7015019493089755E-3</v>
      </c>
      <c r="AE109" s="189">
        <f t="shared" si="17"/>
        <v>4.5752200633222811E-3</v>
      </c>
      <c r="AF109" s="161">
        <f t="shared" si="18"/>
        <v>4.8446226719895567E-3</v>
      </c>
    </row>
    <row r="110" spans="9:32" x14ac:dyDescent="0.2">
      <c r="I110" s="170"/>
      <c r="J110" s="170"/>
      <c r="AB110" s="188">
        <f>_xll.qlCalendarAdvance(Calendar,AB109,"1d","mf",,Trigger)</f>
        <v>42278</v>
      </c>
      <c r="AC110" s="210">
        <f>_xll.qlDayCounterYearFraction(DayCounter,SettlementDate,AB110,,,Trigger)</f>
        <v>0.42191780821917807</v>
      </c>
      <c r="AD110" s="189">
        <f t="shared" si="16"/>
        <v>4.7015019493089755E-3</v>
      </c>
      <c r="AE110" s="189">
        <f t="shared" si="17"/>
        <v>4.5795008052201356E-3</v>
      </c>
      <c r="AF110" s="161">
        <f t="shared" si="18"/>
        <v>4.8542219796534319E-3</v>
      </c>
    </row>
    <row r="111" spans="9:32" x14ac:dyDescent="0.2">
      <c r="I111" s="170"/>
      <c r="J111" s="170"/>
      <c r="AB111" s="188">
        <f>_xll.qlCalendarAdvance(Calendar,AB110,"1d","mf",,Trigger)</f>
        <v>42279</v>
      </c>
      <c r="AC111" s="210">
        <f>_xll.qlDayCounterYearFraction(DayCounter,SettlementDate,AB111,,,Trigger)</f>
        <v>0.42465753424657532</v>
      </c>
      <c r="AD111" s="189">
        <f t="shared" si="16"/>
        <v>4.7015019493089755E-3</v>
      </c>
      <c r="AE111" s="189">
        <f t="shared" si="17"/>
        <v>4.5837815471179892E-3</v>
      </c>
      <c r="AF111" s="161">
        <f t="shared" si="18"/>
        <v>4.8637498971727984E-3</v>
      </c>
    </row>
    <row r="112" spans="9:32" x14ac:dyDescent="0.2">
      <c r="I112" s="170"/>
      <c r="J112" s="170"/>
      <c r="AB112" s="188">
        <f>_xll.qlCalendarAdvance(Calendar,AB111,"1d","mf",,Trigger)</f>
        <v>42282</v>
      </c>
      <c r="AC112" s="210">
        <f>_xll.qlDayCounterYearFraction(DayCounter,SettlementDate,AB112,,,Trigger)</f>
        <v>0.43287671232876712</v>
      </c>
      <c r="AD112" s="189">
        <f t="shared" si="16"/>
        <v>4.7015019493089755E-3</v>
      </c>
      <c r="AE112" s="189">
        <f t="shared" si="17"/>
        <v>4.5966237728115519E-3</v>
      </c>
      <c r="AF112" s="161">
        <f t="shared" si="18"/>
        <v>4.8919053088638332E-3</v>
      </c>
    </row>
    <row r="113" spans="9:32" x14ac:dyDescent="0.2">
      <c r="I113" s="170"/>
      <c r="J113" s="170"/>
      <c r="AB113" s="188">
        <f>_xll.qlCalendarAdvance(Calendar,AB112,"1d","mf",,Trigger)</f>
        <v>42283</v>
      </c>
      <c r="AC113" s="210">
        <f>_xll.qlDayCounterYearFraction(DayCounter,SettlementDate,AB113,,,Trigger)</f>
        <v>0.43561643835616437</v>
      </c>
      <c r="AD113" s="189">
        <f t="shared" si="16"/>
        <v>4.7015019493089755E-3</v>
      </c>
      <c r="AE113" s="189">
        <f t="shared" si="17"/>
        <v>4.6009045147094056E-3</v>
      </c>
      <c r="AF113" s="161">
        <f t="shared" si="18"/>
        <v>4.9011476658051573E-3</v>
      </c>
    </row>
    <row r="114" spans="9:32" x14ac:dyDescent="0.2">
      <c r="I114" s="170"/>
      <c r="J114" s="170"/>
      <c r="AB114" s="188">
        <f>_xll.qlCalendarAdvance(Calendar,AB113,"1d","mf",,Trigger)</f>
        <v>42284</v>
      </c>
      <c r="AC114" s="210">
        <f>_xll.qlDayCounterYearFraction(DayCounter,SettlementDate,AB114,,,Trigger)</f>
        <v>0.43835616438356162</v>
      </c>
      <c r="AD114" s="189">
        <f t="shared" si="16"/>
        <v>4.7015019493089755E-3</v>
      </c>
      <c r="AE114" s="189">
        <f t="shared" si="17"/>
        <v>4.6051852566072592E-3</v>
      </c>
      <c r="AF114" s="161">
        <f t="shared" si="18"/>
        <v>4.9103186326019711E-3</v>
      </c>
    </row>
    <row r="115" spans="9:32" x14ac:dyDescent="0.2">
      <c r="I115" s="170"/>
      <c r="J115" s="170"/>
      <c r="AB115" s="188">
        <f>_xll.qlCalendarAdvance(Calendar,AB114,"1d","mf",,Trigger)</f>
        <v>42285</v>
      </c>
      <c r="AC115" s="210">
        <f>_xll.qlDayCounterYearFraction(DayCounter,SettlementDate,AB115,,,Trigger)</f>
        <v>0.44109589041095892</v>
      </c>
      <c r="AD115" s="189">
        <f t="shared" si="16"/>
        <v>4.7015019493089755E-3</v>
      </c>
      <c r="AE115" s="189">
        <f t="shared" si="17"/>
        <v>4.6094659985051138E-3</v>
      </c>
      <c r="AF115" s="161">
        <f t="shared" si="18"/>
        <v>4.9194182092542754E-3</v>
      </c>
    </row>
    <row r="116" spans="9:32" x14ac:dyDescent="0.2">
      <c r="I116" s="170"/>
      <c r="J116" s="170"/>
      <c r="AB116" s="188">
        <f>_xll.qlCalendarAdvance(Calendar,AB115,"1d","mf",,Trigger)</f>
        <v>42286</v>
      </c>
      <c r="AC116" s="210">
        <f>_xll.qlDayCounterYearFraction(DayCounter,SettlementDate,AB116,,,Trigger)</f>
        <v>0.44383561643835617</v>
      </c>
      <c r="AD116" s="189">
        <f t="shared" si="16"/>
        <v>4.7015019493089755E-3</v>
      </c>
      <c r="AE116" s="189">
        <f t="shared" si="17"/>
        <v>4.6137467404029683E-3</v>
      </c>
      <c r="AF116" s="161">
        <f t="shared" si="18"/>
        <v>4.9284463957620676E-3</v>
      </c>
    </row>
    <row r="117" spans="9:32" x14ac:dyDescent="0.2">
      <c r="I117" s="170"/>
      <c r="J117" s="170"/>
      <c r="AB117" s="188">
        <f>_xll.qlCalendarAdvance(Calendar,AB116,"1d","mf",,Trigger)</f>
        <v>42289</v>
      </c>
      <c r="AC117" s="210">
        <f>_xll.qlDayCounterYearFraction(DayCounter,SettlementDate,AB117,,,Trigger)</f>
        <v>0.45205479452054792</v>
      </c>
      <c r="AD117" s="189">
        <f t="shared" si="16"/>
        <v>4.7015019493089755E-3</v>
      </c>
      <c r="AE117" s="189">
        <f t="shared" si="17"/>
        <v>4.6265889660965301E-3</v>
      </c>
      <c r="AF117" s="161">
        <f t="shared" si="18"/>
        <v>4.9551026144183854E-3</v>
      </c>
    </row>
    <row r="118" spans="9:32" x14ac:dyDescent="0.2">
      <c r="I118" s="170"/>
      <c r="J118" s="170"/>
      <c r="AB118" s="188">
        <f>_xll.qlCalendarAdvance(Calendar,AB117,"1d","mf",,Trigger)</f>
        <v>42290</v>
      </c>
      <c r="AC118" s="210">
        <f>_xll.qlDayCounterYearFraction(DayCounter,SettlementDate,AB118,,,Trigger)</f>
        <v>0.45479452054794522</v>
      </c>
      <c r="AD118" s="189">
        <f t="shared" si="16"/>
        <v>4.7015019493089755E-3</v>
      </c>
      <c r="AE118" s="189">
        <f t="shared" si="17"/>
        <v>4.6308697079943837E-3</v>
      </c>
      <c r="AF118" s="161">
        <f t="shared" si="18"/>
        <v>4.9638452403481369E-3</v>
      </c>
    </row>
    <row r="119" spans="9:32" x14ac:dyDescent="0.2">
      <c r="I119" s="170"/>
      <c r="J119" s="170"/>
      <c r="AB119" s="188">
        <f>_xll.qlCalendarAdvance(Calendar,AB118,"1d","mf",,Trigger)</f>
        <v>42291</v>
      </c>
      <c r="AC119" s="210">
        <f>_xll.qlDayCounterYearFraction(DayCounter,SettlementDate,AB119,,,Trigger)</f>
        <v>0.45753424657534247</v>
      </c>
      <c r="AD119" s="189">
        <f t="shared" si="16"/>
        <v>4.7015019493089755E-3</v>
      </c>
      <c r="AE119" s="189">
        <f t="shared" si="17"/>
        <v>4.6351504498922383E-3</v>
      </c>
      <c r="AF119" s="161">
        <f t="shared" si="18"/>
        <v>4.972516476133379E-3</v>
      </c>
    </row>
    <row r="120" spans="9:32" x14ac:dyDescent="0.2">
      <c r="I120" s="170"/>
      <c r="J120" s="170"/>
      <c r="AB120" s="188">
        <f>_xll.qlCalendarAdvance(Calendar,AB119,"1d","mf",,Trigger)</f>
        <v>42292</v>
      </c>
      <c r="AC120" s="210">
        <f>_xll.qlDayCounterYearFraction(DayCounter,SettlementDate,AB120,,,Trigger)</f>
        <v>0.46027397260273972</v>
      </c>
      <c r="AD120" s="189">
        <f t="shared" si="16"/>
        <v>4.7015019493089755E-3</v>
      </c>
      <c r="AE120" s="189">
        <f t="shared" si="17"/>
        <v>4.6394311917900919E-3</v>
      </c>
      <c r="AF120" s="161">
        <f t="shared" si="18"/>
        <v>4.9811163217741089E-3</v>
      </c>
    </row>
    <row r="121" spans="9:32" x14ac:dyDescent="0.2">
      <c r="I121" s="170"/>
      <c r="J121" s="170"/>
      <c r="AB121" s="188">
        <f>_xll.qlCalendarAdvance(Calendar,AB120,"1d","mf",,Trigger)</f>
        <v>42293</v>
      </c>
      <c r="AC121" s="210">
        <f>_xll.qlDayCounterYearFraction(DayCounter,SettlementDate,AB121,,,Trigger)</f>
        <v>0.46301369863013697</v>
      </c>
      <c r="AD121" s="189">
        <f t="shared" si="16"/>
        <v>4.7015019493089755E-3</v>
      </c>
      <c r="AE121" s="189">
        <f t="shared" si="17"/>
        <v>4.6437119336879464E-3</v>
      </c>
      <c r="AF121" s="161">
        <f t="shared" si="18"/>
        <v>4.9896447772703294E-3</v>
      </c>
    </row>
    <row r="122" spans="9:32" x14ac:dyDescent="0.2">
      <c r="I122" s="157"/>
      <c r="J122" s="170"/>
      <c r="AB122" s="188">
        <f>_xll.qlCalendarAdvance(Calendar,AB121,"1d","mf",,Trigger)</f>
        <v>42296</v>
      </c>
      <c r="AC122" s="210">
        <f>_xll.qlDayCounterYearFraction(DayCounter,SettlementDate,AB122,,,Trigger)</f>
        <v>0.47123287671232877</v>
      </c>
      <c r="AD122" s="189">
        <f t="shared" si="16"/>
        <v>4.7015019493089755E-3</v>
      </c>
      <c r="AE122" s="189">
        <f t="shared" si="17"/>
        <v>4.6565541593815082E-3</v>
      </c>
      <c r="AF122" s="161">
        <f t="shared" si="18"/>
        <v>5.0148018028919293E-3</v>
      </c>
    </row>
    <row r="123" spans="9:32" x14ac:dyDescent="0.2">
      <c r="I123" s="157"/>
      <c r="J123" s="170"/>
      <c r="AB123" s="188">
        <f>_xll.qlCalendarAdvance(Calendar,AB122,"1d","mf",,Trigger)</f>
        <v>42297</v>
      </c>
      <c r="AC123" s="210">
        <f>_xll.qlDayCounterYearFraction(DayCounter,SettlementDate,AB123,,,Trigger)</f>
        <v>0.47397260273972602</v>
      </c>
      <c r="AD123" s="189">
        <f t="shared" si="16"/>
        <v>4.7015019493089755E-3</v>
      </c>
      <c r="AE123" s="189">
        <f t="shared" si="17"/>
        <v>4.6608349012793619E-3</v>
      </c>
      <c r="AF123" s="161">
        <f t="shared" si="18"/>
        <v>5.0230446978101091E-3</v>
      </c>
    </row>
    <row r="124" spans="9:32" x14ac:dyDescent="0.2">
      <c r="I124" s="157"/>
      <c r="J124" s="170"/>
      <c r="AB124" s="188">
        <f>_xll.qlCalendarAdvance(Calendar,AB123,"1d","mf",,Trigger)</f>
        <v>42298</v>
      </c>
      <c r="AC124" s="210">
        <f>_xll.qlDayCounterYearFraction(DayCounter,SettlementDate,AB124,,,Trigger)</f>
        <v>0.47671232876712327</v>
      </c>
      <c r="AD124" s="189">
        <f t="shared" si="16"/>
        <v>4.7015019493089755E-3</v>
      </c>
      <c r="AE124" s="189">
        <f t="shared" si="17"/>
        <v>4.6651156431772164E-3</v>
      </c>
      <c r="AF124" s="161">
        <f t="shared" si="18"/>
        <v>5.0312162025837777E-3</v>
      </c>
    </row>
    <row r="125" spans="9:32" x14ac:dyDescent="0.2">
      <c r="I125" s="157"/>
      <c r="J125" s="170"/>
      <c r="AB125" s="188">
        <f>_xll.qlCalendarAdvance(Calendar,AB124,"1d","mf",,Trigger)</f>
        <v>42299</v>
      </c>
      <c r="AC125" s="210">
        <f>_xll.qlDayCounterYearFraction(DayCounter,SettlementDate,AB125,,,Trigger)</f>
        <v>0.47945205479452052</v>
      </c>
      <c r="AD125" s="189">
        <f t="shared" si="16"/>
        <v>4.7015019493089755E-3</v>
      </c>
      <c r="AE125" s="189">
        <f t="shared" si="17"/>
        <v>4.6693963850750701E-3</v>
      </c>
      <c r="AF125" s="161">
        <f t="shared" si="18"/>
        <v>5.039316317212935E-3</v>
      </c>
    </row>
    <row r="126" spans="9:32" x14ac:dyDescent="0.2">
      <c r="I126" s="157"/>
      <c r="J126" s="170"/>
      <c r="AB126" s="188">
        <f>_xll.qlCalendarAdvance(Calendar,AB125,"1d","mf",,Trigger)</f>
        <v>42300</v>
      </c>
      <c r="AC126" s="210">
        <f>_xll.qlDayCounterYearFraction(DayCounter,SettlementDate,AB126,,,Trigger)</f>
        <v>0.48219178082191783</v>
      </c>
      <c r="AD126" s="189">
        <f t="shared" si="16"/>
        <v>4.7015019493089755E-3</v>
      </c>
      <c r="AE126" s="189">
        <f t="shared" si="17"/>
        <v>4.6736771269729246E-3</v>
      </c>
      <c r="AF126" s="161">
        <f t="shared" si="18"/>
        <v>5.0473450416975846E-3</v>
      </c>
    </row>
    <row r="127" spans="9:32" x14ac:dyDescent="0.2">
      <c r="I127" s="157"/>
      <c r="J127" s="170"/>
      <c r="AB127" s="188">
        <f>_xll.qlCalendarAdvance(Calendar,AB126,"1d","mf",,Trigger)</f>
        <v>42303</v>
      </c>
      <c r="AC127" s="210">
        <f>_xll.qlDayCounterYearFraction(DayCounter,SettlementDate,AB127,,,Trigger)</f>
        <v>0.49041095890410957</v>
      </c>
      <c r="AD127" s="189">
        <f t="shared" si="16"/>
        <v>4.7015019493089755E-3</v>
      </c>
      <c r="AE127" s="189">
        <f t="shared" si="17"/>
        <v>4.6865193526664864E-3</v>
      </c>
      <c r="AF127" s="161">
        <f t="shared" si="18"/>
        <v>5.0710028742844667E-3</v>
      </c>
    </row>
    <row r="128" spans="9:32" x14ac:dyDescent="0.2">
      <c r="I128" s="157"/>
      <c r="J128" s="157"/>
      <c r="AB128" s="188">
        <f>_xll.qlCalendarAdvance(Calendar,AB127,"1d","mf",,Trigger)</f>
        <v>42304</v>
      </c>
      <c r="AC128" s="210">
        <f>_xll.qlDayCounterYearFraction(DayCounter,SettlementDate,AB128,,,Trigger)</f>
        <v>0.49315068493150682</v>
      </c>
      <c r="AD128" s="189">
        <f t="shared" si="16"/>
        <v>4.7015019493089755E-3</v>
      </c>
      <c r="AE128" s="189">
        <f t="shared" si="17"/>
        <v>4.69080009456434E-3</v>
      </c>
      <c r="AF128" s="161">
        <f t="shared" si="18"/>
        <v>5.0787460381910721E-3</v>
      </c>
    </row>
    <row r="129" spans="9:32" x14ac:dyDescent="0.2">
      <c r="I129" s="157"/>
      <c r="J129" s="157"/>
      <c r="AB129" s="188">
        <f>_xll.qlCalendarAdvance(Calendar,AB128,"1d","mf",,Trigger)</f>
        <v>42305</v>
      </c>
      <c r="AC129" s="210">
        <f>_xll.qlDayCounterYearFraction(DayCounter,SettlementDate,AB129,,,Trigger)</f>
        <v>0.49589041095890413</v>
      </c>
      <c r="AD129" s="189">
        <f t="shared" si="16"/>
        <v>4.7015019493089755E-3</v>
      </c>
      <c r="AE129" s="189">
        <f t="shared" si="17"/>
        <v>4.6950808364621946E-3</v>
      </c>
      <c r="AF129" s="161">
        <f t="shared" si="18"/>
        <v>5.086417811953169E-3</v>
      </c>
    </row>
    <row r="130" spans="9:32" x14ac:dyDescent="0.2">
      <c r="I130" s="157"/>
      <c r="J130" s="157"/>
      <c r="AB130" s="188">
        <f>_xll.qlCalendarAdvance(Calendar,AB129,"1d","mf",,Trigger)</f>
        <v>42306</v>
      </c>
      <c r="AC130" s="210">
        <f>_xll.qlDayCounterYearFraction(DayCounter,SettlementDate,AB130,,,Trigger)</f>
        <v>0.49863013698630138</v>
      </c>
      <c r="AD130" s="189">
        <f t="shared" si="16"/>
        <v>4.7015019493089755E-3</v>
      </c>
      <c r="AE130" s="189">
        <f t="shared" si="17"/>
        <v>4.6993615783600482E-3</v>
      </c>
      <c r="AF130" s="161">
        <f t="shared" si="18"/>
        <v>5.0940181955707554E-3</v>
      </c>
    </row>
    <row r="131" spans="9:32" x14ac:dyDescent="0.2">
      <c r="I131" s="157"/>
      <c r="J131" s="157"/>
      <c r="AB131" s="188">
        <f>_xll.qlCalendarAdvance(Calendar,AB130,"1d","mf",,Trigger)</f>
        <v>42307</v>
      </c>
      <c r="AC131" s="210">
        <f>_xll.qlDayCounterYearFraction(DayCounter,SettlementDate,AB131,,,Trigger)</f>
        <v>0.50136986301369868</v>
      </c>
      <c r="AD131" s="189">
        <f t="shared" ref="AD131:AD194" si="19">$S$13</f>
        <v>4.7015019493089755E-3</v>
      </c>
      <c r="AE131" s="189">
        <f t="shared" si="17"/>
        <v>4.7036423202579027E-3</v>
      </c>
      <c r="AF131" s="161">
        <f t="shared" si="18"/>
        <v>5.1015471890438306E-3</v>
      </c>
    </row>
    <row r="132" spans="9:32" x14ac:dyDescent="0.2">
      <c r="I132" s="157"/>
      <c r="J132" s="157"/>
      <c r="AB132" s="188">
        <f>_xll.qlCalendarAdvance(Calendar,AB131,"1d","mf",,Trigger)</f>
        <v>42310</v>
      </c>
      <c r="AC132" s="210">
        <f>_xll.qlDayCounterYearFraction(DayCounter,SettlementDate,AB132,,,Trigger)</f>
        <v>0.50958904109589043</v>
      </c>
      <c r="AD132" s="189">
        <f t="shared" si="19"/>
        <v>4.7015019493089755E-3</v>
      </c>
      <c r="AE132" s="189">
        <f t="shared" si="17"/>
        <v>4.7164845459514645E-3</v>
      </c>
      <c r="AF132" s="161">
        <f t="shared" si="18"/>
        <v>5.1237058285959949E-3</v>
      </c>
    </row>
    <row r="133" spans="9:32" x14ac:dyDescent="0.2">
      <c r="I133" s="157"/>
      <c r="J133" s="157"/>
      <c r="AB133" s="188">
        <f>_xll.qlCalendarAdvance(Calendar,AB132,"1d","mf",,Trigger)</f>
        <v>42311</v>
      </c>
      <c r="AC133" s="210">
        <f>_xll.qlDayCounterYearFraction(DayCounter,SettlementDate,AB133,,,Trigger)</f>
        <v>0.51232876712328768</v>
      </c>
      <c r="AD133" s="189">
        <f t="shared" si="19"/>
        <v>4.7015019493089755E-3</v>
      </c>
      <c r="AE133" s="189">
        <f t="shared" si="17"/>
        <v>4.7207652878493191E-3</v>
      </c>
      <c r="AF133" s="161">
        <f t="shared" si="18"/>
        <v>5.1309492614910286E-3</v>
      </c>
    </row>
    <row r="134" spans="9:32" x14ac:dyDescent="0.2">
      <c r="I134" s="157"/>
      <c r="J134" s="157"/>
      <c r="AB134" s="188">
        <f>_xll.qlCalendarAdvance(Calendar,AB133,"1d","mf",,Trigger)</f>
        <v>42312</v>
      </c>
      <c r="AC134" s="210">
        <f>_xll.qlDayCounterYearFraction(DayCounter,SettlementDate,AB134,,,Trigger)</f>
        <v>0.51506849315068493</v>
      </c>
      <c r="AD134" s="189">
        <f t="shared" si="19"/>
        <v>4.7015019493089755E-3</v>
      </c>
      <c r="AE134" s="189">
        <f t="shared" si="17"/>
        <v>4.7250460297471727E-3</v>
      </c>
      <c r="AF134" s="161">
        <f t="shared" si="18"/>
        <v>5.1381213042415528E-3</v>
      </c>
    </row>
    <row r="135" spans="9:32" x14ac:dyDescent="0.2">
      <c r="I135" s="157"/>
      <c r="J135" s="157"/>
      <c r="AB135" s="188">
        <f>_xll.qlCalendarAdvance(Calendar,AB134,"1d","mf",,Trigger)</f>
        <v>42313</v>
      </c>
      <c r="AC135" s="210">
        <f>_xll.qlDayCounterYearFraction(DayCounter,SettlementDate,AB135,,,Trigger)</f>
        <v>0.51780821917808217</v>
      </c>
      <c r="AD135" s="189">
        <f t="shared" si="19"/>
        <v>4.7015019493089755E-3</v>
      </c>
      <c r="AE135" s="189">
        <f t="shared" si="17"/>
        <v>4.7293267716450264E-3</v>
      </c>
      <c r="AF135" s="161">
        <f t="shared" si="18"/>
        <v>5.1452219568475658E-3</v>
      </c>
    </row>
    <row r="136" spans="9:32" x14ac:dyDescent="0.2">
      <c r="I136" s="157"/>
      <c r="J136" s="157"/>
      <c r="AB136" s="188">
        <f>_xll.qlCalendarAdvance(Calendar,AB135,"1d","mf",,Trigger)</f>
        <v>42314</v>
      </c>
      <c r="AC136" s="210">
        <f>_xll.qlDayCounterYearFraction(DayCounter,SettlementDate,AB136,,,Trigger)</f>
        <v>0.52054794520547942</v>
      </c>
      <c r="AD136" s="189">
        <f t="shared" si="19"/>
        <v>4.7015019493089755E-3</v>
      </c>
      <c r="AE136" s="189">
        <f t="shared" si="17"/>
        <v>4.7336075135428809E-3</v>
      </c>
      <c r="AF136" s="161">
        <f t="shared" si="18"/>
        <v>5.1522512193090692E-3</v>
      </c>
    </row>
    <row r="137" spans="9:32" x14ac:dyDescent="0.2">
      <c r="I137" s="157"/>
      <c r="J137" s="157"/>
      <c r="AB137" s="188">
        <f>_xll.qlCalendarAdvance(Calendar,AB136,"1d","mf",,Trigger)</f>
        <v>42317</v>
      </c>
      <c r="AC137" s="210">
        <f>_xll.qlDayCounterYearFraction(DayCounter,SettlementDate,AB137,,,Trigger)</f>
        <v>0.52876712328767128</v>
      </c>
      <c r="AD137" s="189">
        <f t="shared" si="19"/>
        <v>4.7015019493089755E-3</v>
      </c>
      <c r="AE137" s="189">
        <f t="shared" si="17"/>
        <v>4.7464497392364427E-3</v>
      </c>
      <c r="AF137" s="161">
        <f t="shared" si="18"/>
        <v>5.1729106658265165E-3</v>
      </c>
    </row>
    <row r="138" spans="9:32" x14ac:dyDescent="0.2">
      <c r="J138" s="157"/>
      <c r="AB138" s="188">
        <f>_xll.qlCalendarAdvance(Calendar,AB137,"1d","mf",,Trigger)</f>
        <v>42318</v>
      </c>
      <c r="AC138" s="210">
        <f>_xll.qlDayCounterYearFraction(DayCounter,SettlementDate,AB138,,,Trigger)</f>
        <v>0.53150684931506853</v>
      </c>
      <c r="AD138" s="189">
        <f t="shared" si="19"/>
        <v>4.7015019493089755E-3</v>
      </c>
      <c r="AE138" s="189">
        <f t="shared" si="17"/>
        <v>4.7507304811342972E-3</v>
      </c>
      <c r="AF138" s="161">
        <f t="shared" si="18"/>
        <v>5.1796543677099776E-3</v>
      </c>
    </row>
    <row r="139" spans="9:32" x14ac:dyDescent="0.2">
      <c r="J139" s="157"/>
      <c r="AB139" s="188">
        <f>_xll.qlCalendarAdvance(Calendar,AB138,"1d","mf",,Trigger)</f>
        <v>42319</v>
      </c>
      <c r="AC139" s="210">
        <f>_xll.qlDayCounterYearFraction(DayCounter,SettlementDate,AB139,,,Trigger)</f>
        <v>0.53424657534246578</v>
      </c>
      <c r="AD139" s="189">
        <f t="shared" si="19"/>
        <v>4.7015019493089755E-3</v>
      </c>
      <c r="AE139" s="189">
        <f t="shared" si="17"/>
        <v>4.7550112230321509E-3</v>
      </c>
      <c r="AF139" s="161">
        <f t="shared" si="18"/>
        <v>5.1863266794489292E-3</v>
      </c>
    </row>
    <row r="140" spans="9:32" x14ac:dyDescent="0.2">
      <c r="J140" s="157"/>
      <c r="AB140" s="188">
        <f>_xll.qlCalendarAdvance(Calendar,AB139,"1d","mf",,Trigger)</f>
        <v>42320</v>
      </c>
      <c r="AC140" s="210">
        <f>_xll.qlDayCounterYearFraction(DayCounter,SettlementDate,AB140,,,Trigger)</f>
        <v>0.53698630136986303</v>
      </c>
      <c r="AD140" s="189">
        <f t="shared" si="19"/>
        <v>4.7015019493089755E-3</v>
      </c>
      <c r="AE140" s="189">
        <f t="shared" si="17"/>
        <v>4.7592919649300045E-3</v>
      </c>
      <c r="AF140" s="161">
        <f t="shared" si="18"/>
        <v>5.1929276010433695E-3</v>
      </c>
    </row>
    <row r="141" spans="9:32" x14ac:dyDescent="0.2">
      <c r="J141" s="157"/>
      <c r="AB141" s="188">
        <f>_xll.qlCalendarAdvance(Calendar,AB140,"1d","mf",,Trigger)</f>
        <v>42321</v>
      </c>
      <c r="AC141" s="210">
        <f>_xll.qlDayCounterYearFraction(DayCounter,SettlementDate,AB141,,,Trigger)</f>
        <v>0.53972602739726028</v>
      </c>
      <c r="AD141" s="189">
        <f t="shared" si="19"/>
        <v>4.7015019493089755E-3</v>
      </c>
      <c r="AE141" s="189">
        <f t="shared" si="17"/>
        <v>4.763572706827859E-3</v>
      </c>
      <c r="AF141" s="161">
        <f t="shared" si="18"/>
        <v>5.1994571324932995E-3</v>
      </c>
    </row>
    <row r="142" spans="9:32" x14ac:dyDescent="0.2">
      <c r="J142" s="157"/>
      <c r="AB142" s="188">
        <f>_xll.qlCalendarAdvance(Calendar,AB141,"1d","mf",,Trigger)</f>
        <v>42324</v>
      </c>
      <c r="AC142" s="210">
        <f>_xll.qlDayCounterYearFraction(DayCounter,SettlementDate,AB142,,,Trigger)</f>
        <v>0.54794520547945202</v>
      </c>
      <c r="AD142" s="189">
        <f t="shared" si="19"/>
        <v>4.7015019493089755E-3</v>
      </c>
      <c r="AE142" s="189">
        <f t="shared" si="17"/>
        <v>4.7764149325214209E-3</v>
      </c>
      <c r="AF142" s="161">
        <f t="shared" si="18"/>
        <v>5.218617385976029E-3</v>
      </c>
    </row>
    <row r="143" spans="9:32" x14ac:dyDescent="0.2">
      <c r="J143" s="157"/>
      <c r="AB143" s="188">
        <f>_xll.qlCalendarAdvance(Calendar,AB142,"1d","mf",,Trigger)</f>
        <v>42325</v>
      </c>
      <c r="AC143" s="210">
        <f>_xll.qlDayCounterYearFraction(DayCounter,SettlementDate,AB143,,,Trigger)</f>
        <v>0.55068493150684927</v>
      </c>
      <c r="AD143" s="189">
        <f t="shared" si="19"/>
        <v>4.7015019493089755E-3</v>
      </c>
      <c r="AE143" s="189">
        <f t="shared" si="17"/>
        <v>4.7806956744192754E-3</v>
      </c>
      <c r="AF143" s="161">
        <f t="shared" si="18"/>
        <v>5.2248613568479174E-3</v>
      </c>
    </row>
    <row r="144" spans="9:32" x14ac:dyDescent="0.2">
      <c r="AB144" s="188">
        <f>_xll.qlCalendarAdvance(Calendar,AB143,"1d","mf",,Trigger)</f>
        <v>42326</v>
      </c>
      <c r="AC144" s="210">
        <f>_xll.qlDayCounterYearFraction(DayCounter,SettlementDate,AB144,,,Trigger)</f>
        <v>0.55342465753424652</v>
      </c>
      <c r="AD144" s="189">
        <f t="shared" si="19"/>
        <v>4.7015019493089755E-3</v>
      </c>
      <c r="AE144" s="189">
        <f t="shared" si="17"/>
        <v>4.784976416317129E-3</v>
      </c>
      <c r="AF144" s="161">
        <f t="shared" si="18"/>
        <v>5.2310339375752964E-3</v>
      </c>
    </row>
    <row r="145" spans="28:32" x14ac:dyDescent="0.2">
      <c r="AB145" s="188">
        <f>_xll.qlCalendarAdvance(Calendar,AB144,"1d","mf",,Trigger)</f>
        <v>42327</v>
      </c>
      <c r="AC145" s="210">
        <f>_xll.qlDayCounterYearFraction(DayCounter,SettlementDate,AB145,,,Trigger)</f>
        <v>0.55616438356164388</v>
      </c>
      <c r="AD145" s="189">
        <f t="shared" si="19"/>
        <v>4.7015019493089755E-3</v>
      </c>
      <c r="AE145" s="189">
        <f t="shared" si="17"/>
        <v>4.7892571582149835E-3</v>
      </c>
      <c r="AF145" s="161">
        <f t="shared" si="18"/>
        <v>5.237135128158165E-3</v>
      </c>
    </row>
    <row r="146" spans="28:32" x14ac:dyDescent="0.2">
      <c r="AB146" s="188">
        <f>_xll.qlCalendarAdvance(Calendar,AB145,"1d","mf",,Trigger)</f>
        <v>42328</v>
      </c>
      <c r="AC146" s="210">
        <f>_xll.qlDayCounterYearFraction(DayCounter,SettlementDate,AB146,,,Trigger)</f>
        <v>0.55890410958904113</v>
      </c>
      <c r="AD146" s="189">
        <f t="shared" si="19"/>
        <v>4.7015019493089755E-3</v>
      </c>
      <c r="AE146" s="189">
        <f t="shared" ref="AE146:AE187" si="20">$S$10+$S$9*AC146</f>
        <v>4.7935379001128372E-3</v>
      </c>
      <c r="AF146" s="161">
        <f t="shared" ref="AF146:AF187" si="21">($S$5+$S$4*AC146+$S$3*AC146^2)</f>
        <v>5.2431649285965233E-3</v>
      </c>
    </row>
    <row r="147" spans="28:32" x14ac:dyDescent="0.2">
      <c r="AB147" s="188">
        <f>_xll.qlCalendarAdvance(Calendar,AB146,"1d","mf",,Trigger)</f>
        <v>42331</v>
      </c>
      <c r="AC147" s="210">
        <f>_xll.qlDayCounterYearFraction(DayCounter,SettlementDate,AB147,,,Trigger)</f>
        <v>0.56712328767123288</v>
      </c>
      <c r="AD147" s="189">
        <f t="shared" si="19"/>
        <v>4.7015019493089755E-3</v>
      </c>
      <c r="AE147" s="189">
        <f t="shared" si="20"/>
        <v>4.806380125806399E-3</v>
      </c>
      <c r="AF147" s="161">
        <f t="shared" si="21"/>
        <v>5.260825989044534E-3</v>
      </c>
    </row>
    <row r="148" spans="28:32" x14ac:dyDescent="0.2">
      <c r="AB148" s="188">
        <f>_xll.qlCalendarAdvance(Calendar,AB147,"1d","mf",,Trigger)</f>
        <v>42332</v>
      </c>
      <c r="AC148" s="210">
        <f>_xll.qlDayCounterYearFraction(DayCounter,SettlementDate,AB148,,,Trigger)</f>
        <v>0.56986301369863013</v>
      </c>
      <c r="AD148" s="189">
        <f t="shared" si="19"/>
        <v>4.7015019493089755E-3</v>
      </c>
      <c r="AE148" s="189">
        <f t="shared" si="20"/>
        <v>4.8106608677042535E-3</v>
      </c>
      <c r="AF148" s="161">
        <f t="shared" si="21"/>
        <v>5.2665702289048516E-3</v>
      </c>
    </row>
    <row r="149" spans="28:32" x14ac:dyDescent="0.2">
      <c r="AB149" s="188">
        <f>_xll.qlCalendarAdvance(Calendar,AB148,"1d","mf",,Trigger)</f>
        <v>42333</v>
      </c>
      <c r="AC149" s="210">
        <f>_xll.qlDayCounterYearFraction(DayCounter,SettlementDate,AB149,,,Trigger)</f>
        <v>0.57260273972602738</v>
      </c>
      <c r="AD149" s="189">
        <f t="shared" si="19"/>
        <v>4.7015019493089755E-3</v>
      </c>
      <c r="AE149" s="189">
        <f t="shared" si="20"/>
        <v>4.8149416096021072E-3</v>
      </c>
      <c r="AF149" s="161">
        <f t="shared" si="21"/>
        <v>5.2722430786206571E-3</v>
      </c>
    </row>
    <row r="150" spans="28:32" x14ac:dyDescent="0.2">
      <c r="AB150" s="188">
        <f>_xll.qlCalendarAdvance(Calendar,AB149,"1d","mf",,Trigger)</f>
        <v>42334</v>
      </c>
      <c r="AC150" s="210">
        <f>_xll.qlDayCounterYearFraction(DayCounter,SettlementDate,AB150,,,Trigger)</f>
        <v>0.57534246575342463</v>
      </c>
      <c r="AD150" s="189">
        <f t="shared" si="19"/>
        <v>4.7015019493089755E-3</v>
      </c>
      <c r="AE150" s="189">
        <f t="shared" si="20"/>
        <v>4.8192223514999617E-3</v>
      </c>
      <c r="AF150" s="161">
        <f t="shared" si="21"/>
        <v>5.2778445381919531E-3</v>
      </c>
    </row>
    <row r="151" spans="28:32" x14ac:dyDescent="0.2">
      <c r="AB151" s="188">
        <f>_xll.qlCalendarAdvance(Calendar,AB150,"1d","mf",,Trigger)</f>
        <v>42335</v>
      </c>
      <c r="AC151" s="210">
        <f>_xll.qlDayCounterYearFraction(DayCounter,SettlementDate,AB151,,,Trigger)</f>
        <v>0.57808219178082187</v>
      </c>
      <c r="AD151" s="189">
        <f t="shared" si="19"/>
        <v>4.7015019493089755E-3</v>
      </c>
      <c r="AE151" s="189">
        <f t="shared" si="20"/>
        <v>4.8235030933978153E-3</v>
      </c>
      <c r="AF151" s="161">
        <f t="shared" si="21"/>
        <v>5.2833746076187378E-3</v>
      </c>
    </row>
    <row r="152" spans="28:32" x14ac:dyDescent="0.2">
      <c r="AB152" s="188">
        <f>_xll.qlCalendarAdvance(Calendar,AB151,"1d","mf",,Trigger)</f>
        <v>42338</v>
      </c>
      <c r="AC152" s="210">
        <f>_xll.qlDayCounterYearFraction(DayCounter,SettlementDate,AB152,,,Trigger)</f>
        <v>0.58630136986301373</v>
      </c>
      <c r="AD152" s="189">
        <f t="shared" si="19"/>
        <v>4.7015019493089755E-3</v>
      </c>
      <c r="AE152" s="189">
        <f t="shared" si="20"/>
        <v>4.8363453190913772E-3</v>
      </c>
      <c r="AF152" s="161">
        <f t="shared" si="21"/>
        <v>5.2995364750320325E-3</v>
      </c>
    </row>
    <row r="153" spans="28:32" x14ac:dyDescent="0.2">
      <c r="AB153" s="188">
        <f>_xll.qlCalendarAdvance(Calendar,AB152,"1d","mf",,Trigger)</f>
        <v>42339</v>
      </c>
      <c r="AC153" s="210">
        <f>_xll.qlDayCounterYearFraction(DayCounter,SettlementDate,AB153,,,Trigger)</f>
        <v>0.58904109589041098</v>
      </c>
      <c r="AD153" s="189">
        <f t="shared" si="19"/>
        <v>4.7015019493089755E-3</v>
      </c>
      <c r="AE153" s="189">
        <f t="shared" si="20"/>
        <v>4.8406260609892317E-3</v>
      </c>
      <c r="AF153" s="161">
        <f t="shared" si="21"/>
        <v>5.3047809838807766E-3</v>
      </c>
    </row>
    <row r="154" spans="28:32" x14ac:dyDescent="0.2">
      <c r="AB154" s="188">
        <f>_xll.qlCalendarAdvance(Calendar,AB153,"1d","mf",,Trigger)</f>
        <v>42340</v>
      </c>
      <c r="AC154" s="210">
        <f>_xll.qlDayCounterYearFraction(DayCounter,SettlementDate,AB154,,,Trigger)</f>
        <v>0.59178082191780823</v>
      </c>
      <c r="AD154" s="189">
        <f t="shared" si="19"/>
        <v>4.7015019493089755E-3</v>
      </c>
      <c r="AE154" s="189">
        <f t="shared" si="20"/>
        <v>4.8449068028870853E-3</v>
      </c>
      <c r="AF154" s="161">
        <f t="shared" si="21"/>
        <v>5.3099541025850095E-3</v>
      </c>
    </row>
    <row r="155" spans="28:32" x14ac:dyDescent="0.2">
      <c r="AB155" s="188">
        <f>_xll.qlCalendarAdvance(Calendar,AB154,"1d","mf",,Trigger)</f>
        <v>42341</v>
      </c>
      <c r="AC155" s="210">
        <f>_xll.qlDayCounterYearFraction(DayCounter,SettlementDate,AB155,,,Trigger)</f>
        <v>0.59452054794520548</v>
      </c>
      <c r="AD155" s="189">
        <f t="shared" si="19"/>
        <v>4.7015019493089755E-3</v>
      </c>
      <c r="AE155" s="189">
        <f t="shared" si="20"/>
        <v>4.8491875447849398E-3</v>
      </c>
      <c r="AF155" s="161">
        <f t="shared" si="21"/>
        <v>5.3150558311447329E-3</v>
      </c>
    </row>
    <row r="156" spans="28:32" x14ac:dyDescent="0.2">
      <c r="AB156" s="188">
        <f>_xll.qlCalendarAdvance(Calendar,AB155,"1d","mf",,Trigger)</f>
        <v>42342</v>
      </c>
      <c r="AC156" s="210">
        <f>_xll.qlDayCounterYearFraction(DayCounter,SettlementDate,AB156,,,Trigger)</f>
        <v>0.59726027397260273</v>
      </c>
      <c r="AD156" s="189">
        <f t="shared" si="19"/>
        <v>4.7015019493089755E-3</v>
      </c>
      <c r="AE156" s="189">
        <f t="shared" si="20"/>
        <v>4.8534682866827935E-3</v>
      </c>
      <c r="AF156" s="161">
        <f t="shared" si="21"/>
        <v>5.320086169559945E-3</v>
      </c>
    </row>
    <row r="157" spans="28:32" x14ac:dyDescent="0.2">
      <c r="AB157" s="188">
        <f>_xll.qlCalendarAdvance(Calendar,AB156,"1d","mf",,Trigger)</f>
        <v>42345</v>
      </c>
      <c r="AC157" s="210">
        <f>_xll.qlDayCounterYearFraction(DayCounter,SettlementDate,AB157,,,Trigger)</f>
        <v>0.60547945205479448</v>
      </c>
      <c r="AD157" s="189">
        <f t="shared" si="19"/>
        <v>4.7015019493089755E-3</v>
      </c>
      <c r="AE157" s="189">
        <f t="shared" si="20"/>
        <v>4.8663105123763553E-3</v>
      </c>
      <c r="AF157" s="161">
        <f t="shared" si="21"/>
        <v>5.3347488439385218E-3</v>
      </c>
    </row>
    <row r="158" spans="28:32" x14ac:dyDescent="0.2">
      <c r="AB158" s="188">
        <f>_xll.qlCalendarAdvance(Calendar,AB157,"1d","mf",,Trigger)</f>
        <v>42346</v>
      </c>
      <c r="AC158" s="210">
        <f>_xll.qlDayCounterYearFraction(DayCounter,SettlementDate,AB158,,,Trigger)</f>
        <v>0.60821917808219184</v>
      </c>
      <c r="AD158" s="189">
        <f t="shared" si="19"/>
        <v>4.7015019493089755E-3</v>
      </c>
      <c r="AE158" s="189">
        <f t="shared" si="20"/>
        <v>4.8705912542742098E-3</v>
      </c>
      <c r="AF158" s="161">
        <f t="shared" si="21"/>
        <v>5.3394936217756941E-3</v>
      </c>
    </row>
    <row r="159" spans="28:32" x14ac:dyDescent="0.2">
      <c r="AB159" s="188">
        <f>_xll.qlCalendarAdvance(Calendar,AB158,"1d","mf",,Trigger)</f>
        <v>42347</v>
      </c>
      <c r="AC159" s="210">
        <f>_xll.qlDayCounterYearFraction(DayCounter,SettlementDate,AB159,,,Trigger)</f>
        <v>0.61095890410958908</v>
      </c>
      <c r="AD159" s="189">
        <f t="shared" si="19"/>
        <v>4.7015019493089755E-3</v>
      </c>
      <c r="AE159" s="189">
        <f t="shared" si="20"/>
        <v>4.8748719961720643E-3</v>
      </c>
      <c r="AF159" s="161">
        <f t="shared" si="21"/>
        <v>5.3441670094683544E-3</v>
      </c>
    </row>
    <row r="160" spans="28:32" x14ac:dyDescent="0.2">
      <c r="AB160" s="188">
        <f>_xll.qlCalendarAdvance(Calendar,AB159,"1d","mf",,Trigger)</f>
        <v>42348</v>
      </c>
      <c r="AC160" s="210">
        <f>_xll.qlDayCounterYearFraction(DayCounter,SettlementDate,AB160,,,Trigger)</f>
        <v>0.61369863013698633</v>
      </c>
      <c r="AD160" s="189">
        <f t="shared" si="19"/>
        <v>4.7015019493089755E-3</v>
      </c>
      <c r="AE160" s="189">
        <f t="shared" si="20"/>
        <v>4.879152738069918E-3</v>
      </c>
      <c r="AF160" s="161">
        <f t="shared" si="21"/>
        <v>5.3487690070165052E-3</v>
      </c>
    </row>
    <row r="161" spans="28:32" x14ac:dyDescent="0.2">
      <c r="AB161" s="188">
        <f>_xll.qlCalendarAdvance(Calendar,AB160,"1d","mf",,Trigger)</f>
        <v>42349</v>
      </c>
      <c r="AC161" s="210">
        <f>_xll.qlDayCounterYearFraction(DayCounter,SettlementDate,AB161,,,Trigger)</f>
        <v>0.61643835616438358</v>
      </c>
      <c r="AD161" s="189">
        <f t="shared" si="19"/>
        <v>4.7015019493089755E-3</v>
      </c>
      <c r="AE161" s="189">
        <f t="shared" si="20"/>
        <v>4.8834334799677716E-3</v>
      </c>
      <c r="AF161" s="161">
        <f t="shared" si="21"/>
        <v>5.3532996144201456E-3</v>
      </c>
    </row>
    <row r="162" spans="28:32" x14ac:dyDescent="0.2">
      <c r="AB162" s="188">
        <f>_xll.qlCalendarAdvance(Calendar,AB161,"1d","mf",,Trigger)</f>
        <v>42352</v>
      </c>
      <c r="AC162" s="210">
        <f>_xll.qlDayCounterYearFraction(DayCounter,SettlementDate,AB162,,,Trigger)</f>
        <v>0.62465753424657533</v>
      </c>
      <c r="AD162" s="189">
        <f t="shared" si="19"/>
        <v>4.7015019493089755E-3</v>
      </c>
      <c r="AE162" s="189">
        <f t="shared" si="20"/>
        <v>4.8962757056613335E-3</v>
      </c>
      <c r="AF162" s="161">
        <f t="shared" si="21"/>
        <v>5.3664630957640036E-3</v>
      </c>
    </row>
    <row r="163" spans="28:32" x14ac:dyDescent="0.2">
      <c r="AB163" s="188">
        <f>_xll.qlCalendarAdvance(Calendar,AB162,"1d","mf",,Trigger)</f>
        <v>42353</v>
      </c>
      <c r="AC163" s="210">
        <f>_xll.qlDayCounterYearFraction(DayCounter,SettlementDate,AB163,,,Trigger)</f>
        <v>0.62739726027397258</v>
      </c>
      <c r="AD163" s="189">
        <f t="shared" si="19"/>
        <v>4.7015019493089755E-3</v>
      </c>
      <c r="AE163" s="189">
        <f t="shared" si="20"/>
        <v>4.900556447559188E-3</v>
      </c>
      <c r="AF163" s="161">
        <f t="shared" si="21"/>
        <v>5.3707081425896034E-3</v>
      </c>
    </row>
    <row r="164" spans="28:32" x14ac:dyDescent="0.2">
      <c r="AB164" s="188">
        <f>_xll.qlCalendarAdvance(Calendar,AB163,"1d","mf",,Trigger)</f>
        <v>42354</v>
      </c>
      <c r="AC164" s="210">
        <f>_xll.qlDayCounterYearFraction(DayCounter,SettlementDate,AB164,,,Trigger)</f>
        <v>0.63013698630136983</v>
      </c>
      <c r="AD164" s="189">
        <f t="shared" si="19"/>
        <v>4.7015019493089755E-3</v>
      </c>
      <c r="AE164" s="189">
        <f t="shared" si="20"/>
        <v>4.9048371894570425E-3</v>
      </c>
      <c r="AF164" s="161">
        <f t="shared" si="21"/>
        <v>5.3748817992706911E-3</v>
      </c>
    </row>
    <row r="165" spans="28:32" x14ac:dyDescent="0.2">
      <c r="AB165" s="188">
        <f>_xll.qlCalendarAdvance(Calendar,AB164,"1d","mf",,Trigger)</f>
        <v>42355</v>
      </c>
      <c r="AC165" s="210">
        <f>_xll.qlDayCounterYearFraction(DayCounter,SettlementDate,AB165,,,Trigger)</f>
        <v>0.63287671232876708</v>
      </c>
      <c r="AD165" s="189">
        <f t="shared" si="19"/>
        <v>4.7015019493089755E-3</v>
      </c>
      <c r="AE165" s="189">
        <f t="shared" si="20"/>
        <v>4.9091179313548962E-3</v>
      </c>
      <c r="AF165" s="161">
        <f t="shared" si="21"/>
        <v>5.3789840658072692E-3</v>
      </c>
    </row>
    <row r="166" spans="28:32" x14ac:dyDescent="0.2">
      <c r="AB166" s="188">
        <f>_xll.qlCalendarAdvance(Calendar,AB165,"1d","mf",,Trigger)</f>
        <v>42356</v>
      </c>
      <c r="AC166" s="210">
        <f>_xll.qlDayCounterYearFraction(DayCounter,SettlementDate,AB166,,,Trigger)</f>
        <v>0.63561643835616444</v>
      </c>
      <c r="AD166" s="189">
        <f t="shared" si="19"/>
        <v>4.7015019493089755E-3</v>
      </c>
      <c r="AE166" s="189">
        <f t="shared" si="20"/>
        <v>4.9133986732527498E-3</v>
      </c>
      <c r="AF166" s="161">
        <f t="shared" si="21"/>
        <v>5.3830149421993378E-3</v>
      </c>
    </row>
    <row r="167" spans="28:32" x14ac:dyDescent="0.2">
      <c r="AB167" s="188">
        <f>_xll.qlCalendarAdvance(Calendar,AB166,"1d","mf",,Trigger)</f>
        <v>42359</v>
      </c>
      <c r="AC167" s="210">
        <f>_xll.qlDayCounterYearFraction(DayCounter,SettlementDate,AB167,,,Trigger)</f>
        <v>0.64383561643835618</v>
      </c>
      <c r="AD167" s="189">
        <f t="shared" si="19"/>
        <v>4.7015019493089755E-3</v>
      </c>
      <c r="AE167" s="189">
        <f t="shared" si="20"/>
        <v>4.9262408989463125E-3</v>
      </c>
      <c r="AF167" s="161">
        <f t="shared" si="21"/>
        <v>5.3946792305084781E-3</v>
      </c>
    </row>
    <row r="168" spans="28:32" x14ac:dyDescent="0.2">
      <c r="AB168" s="188">
        <f>_xll.qlCalendarAdvance(Calendar,AB167,"1d","mf",,Trigger)</f>
        <v>42360</v>
      </c>
      <c r="AC168" s="210">
        <f>_xll.qlDayCounterYearFraction(DayCounter,SettlementDate,AB168,,,Trigger)</f>
        <v>0.64657534246575343</v>
      </c>
      <c r="AD168" s="189">
        <f t="shared" si="19"/>
        <v>4.7015019493089755E-3</v>
      </c>
      <c r="AE168" s="189">
        <f t="shared" si="20"/>
        <v>4.9305216408441661E-3</v>
      </c>
      <c r="AF168" s="161">
        <f t="shared" si="21"/>
        <v>5.3984245463225044E-3</v>
      </c>
    </row>
    <row r="169" spans="28:32" x14ac:dyDescent="0.2">
      <c r="AB169" s="188">
        <f>_xll.qlCalendarAdvance(Calendar,AB168,"1d","mf",,Trigger)</f>
        <v>42361</v>
      </c>
      <c r="AC169" s="210">
        <f>_xll.qlDayCounterYearFraction(DayCounter,SettlementDate,AB169,,,Trigger)</f>
        <v>0.64931506849315068</v>
      </c>
      <c r="AD169" s="189">
        <f t="shared" si="19"/>
        <v>4.7015019493089755E-3</v>
      </c>
      <c r="AE169" s="189">
        <f t="shared" si="20"/>
        <v>4.9348023827420207E-3</v>
      </c>
      <c r="AF169" s="161">
        <f t="shared" si="21"/>
        <v>5.4020984719920211E-3</v>
      </c>
    </row>
    <row r="170" spans="28:32" x14ac:dyDescent="0.2">
      <c r="AB170" s="188">
        <f>_xll.qlCalendarAdvance(Calendar,AB169,"1d","mf",,Trigger)</f>
        <v>42362</v>
      </c>
      <c r="AC170" s="210">
        <f>_xll.qlDayCounterYearFraction(DayCounter,SettlementDate,AB170,,,Trigger)</f>
        <v>0.65205479452054793</v>
      </c>
      <c r="AD170" s="189">
        <f t="shared" si="19"/>
        <v>4.7015019493089755E-3</v>
      </c>
      <c r="AE170" s="189">
        <f t="shared" si="20"/>
        <v>4.9390831246398743E-3</v>
      </c>
      <c r="AF170" s="161">
        <f t="shared" si="21"/>
        <v>5.4057010075170258E-3</v>
      </c>
    </row>
    <row r="171" spans="28:32" x14ac:dyDescent="0.2">
      <c r="AB171" s="188">
        <f>_xll.qlCalendarAdvance(Calendar,AB170,"1d","mf",,Trigger)</f>
        <v>42367</v>
      </c>
      <c r="AC171" s="210">
        <f>_xll.qlDayCounterYearFraction(DayCounter,SettlementDate,AB171,,,Trigger)</f>
        <v>0.66575342465753429</v>
      </c>
      <c r="AD171" s="189">
        <f t="shared" si="19"/>
        <v>4.7015019493089755E-3</v>
      </c>
      <c r="AE171" s="189">
        <f t="shared" si="20"/>
        <v>4.9604868341291443E-3</v>
      </c>
      <c r="AF171" s="161">
        <f t="shared" si="21"/>
        <v>5.4226428329743979E-3</v>
      </c>
    </row>
    <row r="172" spans="28:32" x14ac:dyDescent="0.2">
      <c r="AB172" s="188">
        <f>_xll.qlCalendarAdvance(Calendar,AB171,"1d","mf",,Trigger)</f>
        <v>42368</v>
      </c>
      <c r="AC172" s="210">
        <f>_xll.qlDayCounterYearFraction(DayCounter,SettlementDate,AB172,,,Trigger)</f>
        <v>0.66849315068493154</v>
      </c>
      <c r="AD172" s="189">
        <f t="shared" si="19"/>
        <v>4.7015019493089755E-3</v>
      </c>
      <c r="AE172" s="189">
        <f t="shared" si="20"/>
        <v>4.9647675760269988E-3</v>
      </c>
      <c r="AF172" s="161">
        <f t="shared" si="21"/>
        <v>5.425817027632342E-3</v>
      </c>
    </row>
    <row r="173" spans="28:32" x14ac:dyDescent="0.2">
      <c r="AB173" s="188">
        <f>_xll.qlCalendarAdvance(Calendar,AB172,"1d","mf",,Trigger)</f>
        <v>42369</v>
      </c>
      <c r="AC173" s="210">
        <f>_xll.qlDayCounterYearFraction(DayCounter,SettlementDate,AB173,,,Trigger)</f>
        <v>0.67123287671232879</v>
      </c>
      <c r="AD173" s="189">
        <f t="shared" si="19"/>
        <v>4.7015019493089755E-3</v>
      </c>
      <c r="AE173" s="189">
        <f t="shared" si="20"/>
        <v>4.9690483179248525E-3</v>
      </c>
      <c r="AF173" s="161">
        <f t="shared" si="21"/>
        <v>5.428919832145775E-3</v>
      </c>
    </row>
    <row r="174" spans="28:32" x14ac:dyDescent="0.2">
      <c r="AB174" s="188">
        <f>_xll.qlCalendarAdvance(Calendar,AB173,"1d","mf",,Trigger)</f>
        <v>42373</v>
      </c>
      <c r="AC174" s="210">
        <f>_xll.qlDayCounterYearFraction(DayCounter,SettlementDate,AB174,,,Trigger)</f>
        <v>0.68219178082191778</v>
      </c>
      <c r="AD174" s="189">
        <f t="shared" si="19"/>
        <v>4.7015019493089755E-3</v>
      </c>
      <c r="AE174" s="189">
        <f t="shared" si="20"/>
        <v>4.9861712855162688E-3</v>
      </c>
      <c r="AF174" s="161">
        <f t="shared" si="21"/>
        <v>5.4406171487544029E-3</v>
      </c>
    </row>
    <row r="175" spans="28:32" x14ac:dyDescent="0.2">
      <c r="AB175" s="188">
        <f>_xll.qlCalendarAdvance(Calendar,AB174,"1d","mf",,Trigger)</f>
        <v>42374</v>
      </c>
      <c r="AC175" s="210">
        <f>_xll.qlDayCounterYearFraction(DayCounter,SettlementDate,AB175,,,Trigger)</f>
        <v>0.68493150684931503</v>
      </c>
      <c r="AD175" s="189">
        <f t="shared" si="19"/>
        <v>4.7015019493089755E-3</v>
      </c>
      <c r="AE175" s="189">
        <f t="shared" si="20"/>
        <v>4.9904520274141224E-3</v>
      </c>
      <c r="AF175" s="161">
        <f t="shared" si="21"/>
        <v>5.4433630025452848E-3</v>
      </c>
    </row>
    <row r="176" spans="28:32" x14ac:dyDescent="0.2">
      <c r="AB176" s="188">
        <f>_xll.qlCalendarAdvance(Calendar,AB175,"1d","mf",,Trigger)</f>
        <v>42375</v>
      </c>
      <c r="AC176" s="210">
        <f>_xll.qlDayCounterYearFraction(DayCounter,SettlementDate,AB176,,,Trigger)</f>
        <v>0.68767123287671228</v>
      </c>
      <c r="AD176" s="189">
        <f t="shared" si="19"/>
        <v>4.7015019493089755E-3</v>
      </c>
      <c r="AE176" s="189">
        <f t="shared" si="20"/>
        <v>4.994732769311977E-3</v>
      </c>
      <c r="AF176" s="161">
        <f t="shared" si="21"/>
        <v>5.4460374661916555E-3</v>
      </c>
    </row>
    <row r="177" spans="28:32" x14ac:dyDescent="0.2">
      <c r="AB177" s="188">
        <f>_xll.qlCalendarAdvance(Calendar,AB176,"1d","mf",,Trigger)</f>
        <v>42376</v>
      </c>
      <c r="AC177" s="210">
        <f>_xll.qlDayCounterYearFraction(DayCounter,SettlementDate,AB177,,,Trigger)</f>
        <v>0.69041095890410964</v>
      </c>
      <c r="AD177" s="189">
        <f t="shared" si="19"/>
        <v>4.7015019493089755E-3</v>
      </c>
      <c r="AE177" s="189">
        <f t="shared" si="20"/>
        <v>4.9990135112098306E-3</v>
      </c>
      <c r="AF177" s="161">
        <f t="shared" si="21"/>
        <v>5.448640539693515E-3</v>
      </c>
    </row>
    <row r="178" spans="28:32" x14ac:dyDescent="0.2">
      <c r="AB178" s="188">
        <f>_xll.qlCalendarAdvance(Calendar,AB177,"1d","mf",,Trigger)</f>
        <v>42377</v>
      </c>
      <c r="AC178" s="210">
        <f>_xll.qlDayCounterYearFraction(DayCounter,SettlementDate,AB178,,,Trigger)</f>
        <v>0.69315068493150689</v>
      </c>
      <c r="AD178" s="189">
        <f t="shared" si="19"/>
        <v>4.7015019493089755E-3</v>
      </c>
      <c r="AE178" s="189">
        <f t="shared" si="20"/>
        <v>5.0032942531076851E-3</v>
      </c>
      <c r="AF178" s="161">
        <f t="shared" si="21"/>
        <v>5.4511722230508666E-3</v>
      </c>
    </row>
    <row r="179" spans="28:32" x14ac:dyDescent="0.2">
      <c r="AB179" s="188">
        <f>_xll.qlCalendarAdvance(Calendar,AB178,"1d","mf",,Trigger)</f>
        <v>42380</v>
      </c>
      <c r="AC179" s="210">
        <f>_xll.qlDayCounterYearFraction(DayCounter,SettlementDate,AB179,,,Trigger)</f>
        <v>0.70136986301369864</v>
      </c>
      <c r="AD179" s="189">
        <f t="shared" si="19"/>
        <v>4.7015019493089755E-3</v>
      </c>
      <c r="AE179" s="189">
        <f t="shared" si="20"/>
        <v>5.0161364788012469E-3</v>
      </c>
      <c r="AF179" s="161">
        <f t="shared" si="21"/>
        <v>5.4583389322558542E-3</v>
      </c>
    </row>
    <row r="180" spans="28:32" x14ac:dyDescent="0.2">
      <c r="AB180" s="188">
        <f>_xll.qlCalendarAdvance(Calendar,AB179,"1d","mf",,Trigger)</f>
        <v>42381</v>
      </c>
      <c r="AC180" s="210">
        <f>_xll.qlDayCounterYearFraction(DayCounter,SettlementDate,AB180,,,Trigger)</f>
        <v>0.70410958904109588</v>
      </c>
      <c r="AD180" s="189">
        <f t="shared" si="19"/>
        <v>4.7015019493089755E-3</v>
      </c>
      <c r="AE180" s="189">
        <f t="shared" si="20"/>
        <v>5.0204172206991006E-3</v>
      </c>
      <c r="AF180" s="161">
        <f t="shared" si="21"/>
        <v>5.4605850550351618E-3</v>
      </c>
    </row>
    <row r="181" spans="28:32" x14ac:dyDescent="0.2">
      <c r="AB181" s="188">
        <f>_xll.qlCalendarAdvance(Calendar,AB180,"1d","mf",,Trigger)</f>
        <v>42382</v>
      </c>
      <c r="AC181" s="210">
        <f>_xll.qlDayCounterYearFraction(DayCounter,SettlementDate,AB181,,,Trigger)</f>
        <v>0.70684931506849313</v>
      </c>
      <c r="AD181" s="189">
        <f t="shared" si="19"/>
        <v>4.7015019493089755E-3</v>
      </c>
      <c r="AE181" s="189">
        <f t="shared" si="20"/>
        <v>5.0246979625969551E-3</v>
      </c>
      <c r="AF181" s="161">
        <f t="shared" si="21"/>
        <v>5.4627597876699616E-3</v>
      </c>
    </row>
    <row r="182" spans="28:32" x14ac:dyDescent="0.2">
      <c r="AB182" s="188">
        <f>_xll.qlCalendarAdvance(Calendar,AB181,"1d","mf",,Trigger)</f>
        <v>42383</v>
      </c>
      <c r="AC182" s="210">
        <f>_xll.qlDayCounterYearFraction(DayCounter,SettlementDate,AB182,,,Trigger)</f>
        <v>0.70958904109589038</v>
      </c>
      <c r="AD182" s="189">
        <f t="shared" si="19"/>
        <v>4.7015019493089755E-3</v>
      </c>
      <c r="AE182" s="189">
        <f t="shared" si="20"/>
        <v>5.0289787044948088E-3</v>
      </c>
      <c r="AF182" s="161">
        <f t="shared" si="21"/>
        <v>5.464863130160251E-3</v>
      </c>
    </row>
    <row r="183" spans="28:32" x14ac:dyDescent="0.2">
      <c r="AB183" s="188">
        <f>_xll.qlCalendarAdvance(Calendar,AB182,"1d","mf",,Trigger)</f>
        <v>42384</v>
      </c>
      <c r="AC183" s="210">
        <f>_xll.qlDayCounterYearFraction(DayCounter,SettlementDate,AB183,,,Trigger)</f>
        <v>0.71232876712328763</v>
      </c>
      <c r="AD183" s="189">
        <f t="shared" si="19"/>
        <v>4.7015019493089755E-3</v>
      </c>
      <c r="AE183" s="189">
        <f t="shared" si="20"/>
        <v>5.0332594463926624E-3</v>
      </c>
      <c r="AF183" s="161">
        <f t="shared" si="21"/>
        <v>5.4668950825060274E-3</v>
      </c>
    </row>
    <row r="184" spans="28:32" x14ac:dyDescent="0.2">
      <c r="AB184" s="188">
        <f>_xll.qlCalendarAdvance(Calendar,AB183,"1d","mf",,Trigger)</f>
        <v>42387</v>
      </c>
      <c r="AC184" s="210">
        <f>_xll.qlDayCounterYearFraction(DayCounter,SettlementDate,AB184,,,Trigger)</f>
        <v>0.72054794520547949</v>
      </c>
      <c r="AD184" s="189">
        <f t="shared" si="19"/>
        <v>4.7015019493089755E-3</v>
      </c>
      <c r="AE184" s="189">
        <f t="shared" si="20"/>
        <v>5.0461016720862251E-3</v>
      </c>
      <c r="AF184" s="161">
        <f t="shared" si="21"/>
        <v>5.472562598676298E-3</v>
      </c>
    </row>
    <row r="185" spans="28:32" x14ac:dyDescent="0.2">
      <c r="AB185" s="188">
        <f>_xll.qlCalendarAdvance(Calendar,AB184,"1d","mf",,Trigger)</f>
        <v>42388</v>
      </c>
      <c r="AC185" s="210">
        <f>_xll.qlDayCounterYearFraction(DayCounter,SettlementDate,AB185,,,Trigger)</f>
        <v>0.72328767123287674</v>
      </c>
      <c r="AD185" s="189">
        <f t="shared" si="19"/>
        <v>4.7015019493089755E-3</v>
      </c>
      <c r="AE185" s="189">
        <f t="shared" si="20"/>
        <v>5.0503824139840787E-3</v>
      </c>
      <c r="AF185" s="161">
        <f t="shared" si="21"/>
        <v>5.474308990444033E-3</v>
      </c>
    </row>
    <row r="186" spans="28:32" x14ac:dyDescent="0.2">
      <c r="AB186" s="188">
        <f>_xll.qlCalendarAdvance(Calendar,AB185,"1d","mf",,Trigger)</f>
        <v>42389</v>
      </c>
      <c r="AC186" s="210">
        <f>_xll.qlDayCounterYearFraction(DayCounter,SettlementDate,AB186,,,Trigger)</f>
        <v>0.72602739726027399</v>
      </c>
      <c r="AD186" s="189">
        <f t="shared" si="19"/>
        <v>4.7015019493089755E-3</v>
      </c>
      <c r="AE186" s="189">
        <f t="shared" si="20"/>
        <v>5.0546631558819333E-3</v>
      </c>
      <c r="AF186" s="161">
        <f t="shared" si="21"/>
        <v>5.4759839920672602E-3</v>
      </c>
    </row>
    <row r="187" spans="28:32" x14ac:dyDescent="0.2">
      <c r="AB187" s="188">
        <f>_xll.qlCalendarAdvance(Calendar,AB186,"1d","mf",,Trigger)</f>
        <v>42390</v>
      </c>
      <c r="AC187" s="210">
        <f>_xll.qlDayCounterYearFraction(DayCounter,SettlementDate,AB187,,,Trigger)</f>
        <v>0.72876712328767124</v>
      </c>
      <c r="AD187" s="189">
        <f t="shared" si="19"/>
        <v>4.7015019493089755E-3</v>
      </c>
      <c r="AE187" s="189">
        <f t="shared" si="20"/>
        <v>5.0589438977797869E-3</v>
      </c>
      <c r="AF187" s="161">
        <f t="shared" si="21"/>
        <v>5.4775876035459744E-3</v>
      </c>
    </row>
    <row r="188" spans="28:32" x14ac:dyDescent="0.2">
      <c r="AB188" s="188">
        <f>_xll.qlCalendarAdvance(Calendar,AB187,"1d","mf",,Trigger)</f>
        <v>42391</v>
      </c>
      <c r="AC188" s="210">
        <f>_xll.qlDayCounterYearFraction(DayCounter,SettlementDate,AB188,,,Trigger)</f>
        <v>0.73150684931506849</v>
      </c>
      <c r="AD188" s="189">
        <f t="shared" si="19"/>
        <v>4.7015019493089755E-3</v>
      </c>
      <c r="AE188" s="189">
        <f t="shared" ref="AE188:AE251" si="22">$S$10+$S$9*AC188</f>
        <v>5.0632246396776414E-3</v>
      </c>
      <c r="AF188" s="161">
        <f t="shared" ref="AF188:AF251" si="23">($S$5+$S$4*AC188+$S$3*AC188^2)</f>
        <v>5.4791198248801791E-3</v>
      </c>
    </row>
    <row r="189" spans="28:32" x14ac:dyDescent="0.2">
      <c r="AB189" s="188">
        <f>_xll.qlCalendarAdvance(Calendar,AB188,"1d","mf",,Trigger)</f>
        <v>42394</v>
      </c>
      <c r="AC189" s="210">
        <f>_xll.qlDayCounterYearFraction(DayCounter,SettlementDate,AB189,,,Trigger)</f>
        <v>0.73972602739726023</v>
      </c>
      <c r="AD189" s="189">
        <f t="shared" si="19"/>
        <v>4.7015019493089755E-3</v>
      </c>
      <c r="AE189" s="189">
        <f t="shared" si="22"/>
        <v>5.0760668653712033E-3</v>
      </c>
      <c r="AF189" s="161">
        <f t="shared" si="23"/>
        <v>5.4832881480157327E-3</v>
      </c>
    </row>
    <row r="190" spans="28:32" x14ac:dyDescent="0.2">
      <c r="AB190" s="188">
        <f>_xll.qlCalendarAdvance(Calendar,AB189,"1d","mf",,Trigger)</f>
        <v>42395</v>
      </c>
      <c r="AC190" s="210">
        <f>_xll.qlDayCounterYearFraction(DayCounter,SettlementDate,AB190,,,Trigger)</f>
        <v>0.74246575342465748</v>
      </c>
      <c r="AD190" s="189">
        <f t="shared" si="19"/>
        <v>4.7015019493089755E-3</v>
      </c>
      <c r="AE190" s="189">
        <f t="shared" si="22"/>
        <v>5.0803476072690569E-3</v>
      </c>
      <c r="AF190" s="161">
        <f t="shared" si="23"/>
        <v>5.4845348087718977E-3</v>
      </c>
    </row>
    <row r="191" spans="28:32" x14ac:dyDescent="0.2">
      <c r="AB191" s="188">
        <f>_xll.qlCalendarAdvance(Calendar,AB190,"1d","mf",,Trigger)</f>
        <v>42396</v>
      </c>
      <c r="AC191" s="210">
        <f>_xll.qlDayCounterYearFraction(DayCounter,SettlementDate,AB191,,,Trigger)</f>
        <v>0.74520547945205484</v>
      </c>
      <c r="AD191" s="189">
        <f t="shared" si="19"/>
        <v>4.7015019493089755E-3</v>
      </c>
      <c r="AE191" s="189">
        <f t="shared" si="22"/>
        <v>5.0846283491669114E-3</v>
      </c>
      <c r="AF191" s="161">
        <f t="shared" si="23"/>
        <v>5.4857100793835496E-3</v>
      </c>
    </row>
    <row r="192" spans="28:32" x14ac:dyDescent="0.2">
      <c r="AB192" s="188">
        <f>_xll.qlCalendarAdvance(Calendar,AB191,"1d","mf",,Trigger)</f>
        <v>42397</v>
      </c>
      <c r="AC192" s="210">
        <f>_xll.qlDayCounterYearFraction(DayCounter,SettlementDate,AB192,,,Trigger)</f>
        <v>0.74794520547945209</v>
      </c>
      <c r="AD192" s="189">
        <f t="shared" si="19"/>
        <v>4.7015019493089755E-3</v>
      </c>
      <c r="AE192" s="189">
        <f t="shared" si="22"/>
        <v>5.0889090910647659E-3</v>
      </c>
      <c r="AF192" s="161">
        <f t="shared" si="23"/>
        <v>5.4868139598506921E-3</v>
      </c>
    </row>
    <row r="193" spans="28:32" x14ac:dyDescent="0.2">
      <c r="AB193" s="188">
        <f>_xll.qlCalendarAdvance(Calendar,AB192,"1d","mf",,Trigger)</f>
        <v>42398</v>
      </c>
      <c r="AC193" s="210">
        <f>_xll.qlDayCounterYearFraction(DayCounter,SettlementDate,AB193,,,Trigger)</f>
        <v>0.75068493150684934</v>
      </c>
      <c r="AD193" s="189">
        <f t="shared" si="19"/>
        <v>4.7015019493089755E-3</v>
      </c>
      <c r="AE193" s="189">
        <f t="shared" si="22"/>
        <v>5.0931898329626196E-3</v>
      </c>
      <c r="AF193" s="161">
        <f t="shared" si="23"/>
        <v>5.4878464501733233E-3</v>
      </c>
    </row>
    <row r="194" spans="28:32" x14ac:dyDescent="0.2">
      <c r="AB194" s="188">
        <f>_xll.qlCalendarAdvance(Calendar,AB193,"1d","mf",,Trigger)</f>
        <v>42401</v>
      </c>
      <c r="AC194" s="210">
        <f>_xll.qlDayCounterYearFraction(DayCounter,SettlementDate,AB194,,,Trigger)</f>
        <v>0.75890410958904109</v>
      </c>
      <c r="AD194" s="189">
        <f t="shared" si="19"/>
        <v>4.7015019493089755E-3</v>
      </c>
      <c r="AE194" s="189">
        <f t="shared" si="22"/>
        <v>5.1060320586561814E-3</v>
      </c>
      <c r="AF194" s="161">
        <f t="shared" si="23"/>
        <v>5.4905155802741617E-3</v>
      </c>
    </row>
    <row r="195" spans="28:32" x14ac:dyDescent="0.2">
      <c r="AB195" s="188">
        <f>_xll.qlCalendarAdvance(Calendar,AB194,"1d","mf",,Trigger)</f>
        <v>42402</v>
      </c>
      <c r="AC195" s="210">
        <f>_xll.qlDayCounterYearFraction(DayCounter,SettlementDate,AB195,,,Trigger)</f>
        <v>0.76164383561643834</v>
      </c>
      <c r="AD195" s="189">
        <f t="shared" ref="AD195:AD257" si="24">$S$13</f>
        <v>4.7015019493089755E-3</v>
      </c>
      <c r="AE195" s="189">
        <f t="shared" si="22"/>
        <v>5.1103128005540351E-3</v>
      </c>
      <c r="AF195" s="161">
        <f t="shared" si="23"/>
        <v>5.4912625100187514E-3</v>
      </c>
    </row>
    <row r="196" spans="28:32" x14ac:dyDescent="0.2">
      <c r="AB196" s="188">
        <f>_xll.qlCalendarAdvance(Calendar,AB195,"1d","mf",,Trigger)</f>
        <v>42403</v>
      </c>
      <c r="AC196" s="210">
        <f>_xll.qlDayCounterYearFraction(DayCounter,SettlementDate,AB196,,,Trigger)</f>
        <v>0.76438356164383559</v>
      </c>
      <c r="AD196" s="189">
        <f t="shared" si="24"/>
        <v>4.7015019493089755E-3</v>
      </c>
      <c r="AE196" s="189">
        <f t="shared" si="22"/>
        <v>5.1145935424518896E-3</v>
      </c>
      <c r="AF196" s="161">
        <f t="shared" si="23"/>
        <v>5.4919380496188316E-3</v>
      </c>
    </row>
    <row r="197" spans="28:32" x14ac:dyDescent="0.2">
      <c r="AB197" s="188">
        <f>_xll.qlCalendarAdvance(Calendar,AB196,"1d","mf",,Trigger)</f>
        <v>42404</v>
      </c>
      <c r="AC197" s="210">
        <f>_xll.qlDayCounterYearFraction(DayCounter,SettlementDate,AB197,,,Trigger)</f>
        <v>0.76712328767123283</v>
      </c>
      <c r="AD197" s="189">
        <f t="shared" si="24"/>
        <v>4.7015019493089755E-3</v>
      </c>
      <c r="AE197" s="189">
        <f t="shared" si="22"/>
        <v>5.1188742843497441E-3</v>
      </c>
      <c r="AF197" s="161">
        <f t="shared" si="23"/>
        <v>5.4925421990744015E-3</v>
      </c>
    </row>
    <row r="198" spans="28:32" x14ac:dyDescent="0.2">
      <c r="AB198" s="188">
        <f>_xll.qlCalendarAdvance(Calendar,AB197,"1d","mf",,Trigger)</f>
        <v>42405</v>
      </c>
      <c r="AC198" s="210">
        <f>_xll.qlDayCounterYearFraction(DayCounter,SettlementDate,AB198,,,Trigger)</f>
        <v>0.76986301369863008</v>
      </c>
      <c r="AD198" s="189">
        <f t="shared" si="24"/>
        <v>4.7015019493089755E-3</v>
      </c>
      <c r="AE198" s="189">
        <f t="shared" si="22"/>
        <v>5.1231550262475977E-3</v>
      </c>
      <c r="AF198" s="161">
        <f t="shared" si="23"/>
        <v>5.4930749583854627E-3</v>
      </c>
    </row>
    <row r="199" spans="28:32" x14ac:dyDescent="0.2">
      <c r="AB199" s="188">
        <f>_xll.qlCalendarAdvance(Calendar,AB198,"1d","mf",,Trigger)</f>
        <v>42408</v>
      </c>
      <c r="AC199" s="210">
        <f>_xll.qlDayCounterYearFraction(DayCounter,SettlementDate,AB199,,,Trigger)</f>
        <v>0.77808219178082194</v>
      </c>
      <c r="AD199" s="189">
        <f t="shared" si="24"/>
        <v>4.7015019493089755E-3</v>
      </c>
      <c r="AE199" s="189">
        <f t="shared" si="22"/>
        <v>5.1359972519411596E-3</v>
      </c>
      <c r="AF199" s="161">
        <f t="shared" si="23"/>
        <v>5.4942448954515798E-3</v>
      </c>
    </row>
    <row r="200" spans="28:32" x14ac:dyDescent="0.2">
      <c r="AB200" s="188">
        <f>_xll.qlCalendarAdvance(Calendar,AB199,"1d","mf",,Trigger)</f>
        <v>42409</v>
      </c>
      <c r="AC200" s="210">
        <f>_xll.qlDayCounterYearFraction(DayCounter,SettlementDate,AB200,,,Trigger)</f>
        <v>0.78082191780821919</v>
      </c>
      <c r="AD200" s="189">
        <f t="shared" si="24"/>
        <v>4.7015019493089755E-3</v>
      </c>
      <c r="AE200" s="189">
        <f t="shared" si="22"/>
        <v>5.1402779938390141E-3</v>
      </c>
      <c r="AF200" s="161">
        <f t="shared" si="23"/>
        <v>5.4944920941845977E-3</v>
      </c>
    </row>
    <row r="201" spans="28:32" x14ac:dyDescent="0.2">
      <c r="AB201" s="188">
        <f>_xll.qlCalendarAdvance(Calendar,AB200,"1d","mf",,Trigger)</f>
        <v>42410</v>
      </c>
      <c r="AC201" s="210">
        <f>_xll.qlDayCounterYearFraction(DayCounter,SettlementDate,AB201,,,Trigger)</f>
        <v>0.78356164383561644</v>
      </c>
      <c r="AD201" s="189">
        <f t="shared" si="24"/>
        <v>4.7015019493089755E-3</v>
      </c>
      <c r="AE201" s="189">
        <f t="shared" si="22"/>
        <v>5.1445587357368677E-3</v>
      </c>
      <c r="AF201" s="161">
        <f t="shared" si="23"/>
        <v>5.4946679027731045E-3</v>
      </c>
    </row>
    <row r="202" spans="28:32" x14ac:dyDescent="0.2">
      <c r="AB202" s="188">
        <f>_xll.qlCalendarAdvance(Calendar,AB201,"1d","mf",,Trigger)</f>
        <v>42411</v>
      </c>
      <c r="AC202" s="210">
        <f>_xll.qlDayCounterYearFraction(DayCounter,SettlementDate,AB202,,,Trigger)</f>
        <v>0.78630136986301369</v>
      </c>
      <c r="AD202" s="189">
        <f t="shared" si="24"/>
        <v>4.7015019493089755E-3</v>
      </c>
      <c r="AE202" s="189">
        <f t="shared" si="22"/>
        <v>5.1488394776347222E-3</v>
      </c>
      <c r="AF202" s="161">
        <f t="shared" si="23"/>
        <v>5.4947723212171035E-3</v>
      </c>
    </row>
    <row r="203" spans="28:32" x14ac:dyDescent="0.2">
      <c r="AB203" s="188">
        <f>_xll.qlCalendarAdvance(Calendar,AB202,"1d","mf",,Trigger)</f>
        <v>42412</v>
      </c>
      <c r="AC203" s="210">
        <f>_xll.qlDayCounterYearFraction(DayCounter,SettlementDate,AB203,,,Trigger)</f>
        <v>0.78904109589041094</v>
      </c>
      <c r="AD203" s="189">
        <f t="shared" si="24"/>
        <v>4.7015019493089755E-3</v>
      </c>
      <c r="AE203" s="189">
        <f t="shared" si="22"/>
        <v>5.1531202195325759E-3</v>
      </c>
      <c r="AF203" s="161">
        <f t="shared" si="23"/>
        <v>5.4948053495165929E-3</v>
      </c>
    </row>
    <row r="204" spans="28:32" x14ac:dyDescent="0.2">
      <c r="AB204" s="188">
        <f>_xll.qlCalendarAdvance(Calendar,AB203,"1d","mf",,Trigger)</f>
        <v>42415</v>
      </c>
      <c r="AC204" s="210">
        <f>_xll.qlDayCounterYearFraction(DayCounter,SettlementDate,AB204,,,Trigger)</f>
        <v>0.79726027397260268</v>
      </c>
      <c r="AD204" s="189">
        <f t="shared" si="24"/>
        <v>4.7015019493089755E-3</v>
      </c>
      <c r="AE204" s="189">
        <f t="shared" si="22"/>
        <v>5.1659624452261377E-3</v>
      </c>
      <c r="AF204" s="161">
        <f t="shared" si="23"/>
        <v>5.4944760935479921E-3</v>
      </c>
    </row>
    <row r="205" spans="28:32" x14ac:dyDescent="0.2">
      <c r="AB205" s="188">
        <f>_xll.qlCalendarAdvance(Calendar,AB204,"1d","mf",,Trigger)</f>
        <v>42416</v>
      </c>
      <c r="AC205" s="210">
        <f>_xll.qlDayCounterYearFraction(DayCounter,SettlementDate,AB205,,,Trigger)</f>
        <v>0.8</v>
      </c>
      <c r="AD205" s="189">
        <f t="shared" si="24"/>
        <v>4.7015019493089755E-3</v>
      </c>
      <c r="AE205" s="189">
        <f t="shared" si="22"/>
        <v>5.1702431871239922E-3</v>
      </c>
      <c r="AF205" s="161">
        <f t="shared" si="23"/>
        <v>5.4942235612694375E-3</v>
      </c>
    </row>
    <row r="206" spans="28:32" x14ac:dyDescent="0.2">
      <c r="AB206" s="188">
        <f>_xll.qlCalendarAdvance(Calendar,AB205,"1d","mf",,Trigger)</f>
        <v>42417</v>
      </c>
      <c r="AC206" s="210">
        <f>_xll.qlDayCounterYearFraction(DayCounter,SettlementDate,AB206,,,Trigger)</f>
        <v>0.80273972602739729</v>
      </c>
      <c r="AD206" s="189">
        <f t="shared" si="24"/>
        <v>4.7015019493089755E-3</v>
      </c>
      <c r="AE206" s="189">
        <f t="shared" si="22"/>
        <v>5.1745239290218459E-3</v>
      </c>
      <c r="AF206" s="161">
        <f t="shared" si="23"/>
        <v>5.4938996388463751E-3</v>
      </c>
    </row>
    <row r="207" spans="28:32" x14ac:dyDescent="0.2">
      <c r="AB207" s="188">
        <f>_xll.qlCalendarAdvance(Calendar,AB206,"1d","mf",,Trigger)</f>
        <v>42418</v>
      </c>
      <c r="AC207" s="210">
        <f>_xll.qlDayCounterYearFraction(DayCounter,SettlementDate,AB207,,,Trigger)</f>
        <v>0.80547945205479454</v>
      </c>
      <c r="AD207" s="189">
        <f t="shared" si="24"/>
        <v>4.7015019493089755E-3</v>
      </c>
      <c r="AE207" s="189">
        <f t="shared" si="22"/>
        <v>5.1788046709197004E-3</v>
      </c>
      <c r="AF207" s="161">
        <f t="shared" si="23"/>
        <v>5.4935043262787989E-3</v>
      </c>
    </row>
    <row r="208" spans="28:32" x14ac:dyDescent="0.2">
      <c r="AB208" s="188">
        <f>_xll.qlCalendarAdvance(Calendar,AB207,"1d","mf",,Trigger)</f>
        <v>42419</v>
      </c>
      <c r="AC208" s="210">
        <f>_xll.qlDayCounterYearFraction(DayCounter,SettlementDate,AB208,,,Trigger)</f>
        <v>0.80821917808219179</v>
      </c>
      <c r="AD208" s="189">
        <f t="shared" si="24"/>
        <v>4.7015019493089755E-3</v>
      </c>
      <c r="AE208" s="189">
        <f t="shared" si="22"/>
        <v>5.183085412817554E-3</v>
      </c>
      <c r="AF208" s="161">
        <f t="shared" si="23"/>
        <v>5.493037623566714E-3</v>
      </c>
    </row>
    <row r="209" spans="28:32" x14ac:dyDescent="0.2">
      <c r="AB209" s="188">
        <f>_xll.qlCalendarAdvance(Calendar,AB208,"1d","mf",,Trigger)</f>
        <v>42422</v>
      </c>
      <c r="AC209" s="210">
        <f>_xll.qlDayCounterYearFraction(DayCounter,SettlementDate,AB209,,,Trigger)</f>
        <v>0.81643835616438354</v>
      </c>
      <c r="AD209" s="189">
        <f t="shared" si="24"/>
        <v>4.7015019493089755E-3</v>
      </c>
      <c r="AE209" s="189">
        <f t="shared" si="22"/>
        <v>5.1959276385111167E-3</v>
      </c>
      <c r="AF209" s="161">
        <f t="shared" si="23"/>
        <v>5.4912091745633962E-3</v>
      </c>
    </row>
    <row r="210" spans="28:32" x14ac:dyDescent="0.2">
      <c r="AB210" s="188">
        <f>_xll.qlCalendarAdvance(Calendar,AB209,"1d","mf",,Trigger)</f>
        <v>42423</v>
      </c>
      <c r="AC210" s="210">
        <f>_xll.qlDayCounterYearFraction(DayCounter,SettlementDate,AB210,,,Trigger)</f>
        <v>0.81917808219178079</v>
      </c>
      <c r="AD210" s="189">
        <f t="shared" si="24"/>
        <v>4.7015019493089755E-3</v>
      </c>
      <c r="AE210" s="189">
        <f t="shared" si="22"/>
        <v>5.2002083804089704E-3</v>
      </c>
      <c r="AF210" s="161">
        <f t="shared" si="23"/>
        <v>5.4904569112732698E-3</v>
      </c>
    </row>
    <row r="211" spans="28:32" x14ac:dyDescent="0.2">
      <c r="AB211" s="188">
        <f>_xll.qlCalendarAdvance(Calendar,AB210,"1d","mf",,Trigger)</f>
        <v>42424</v>
      </c>
      <c r="AC211" s="210">
        <f>_xll.qlDayCounterYearFraction(DayCounter,SettlementDate,AB211,,,Trigger)</f>
        <v>0.82191780821917804</v>
      </c>
      <c r="AD211" s="189">
        <f t="shared" si="24"/>
        <v>4.7015019493089755E-3</v>
      </c>
      <c r="AE211" s="189">
        <f t="shared" si="22"/>
        <v>5.204489122306824E-3</v>
      </c>
      <c r="AF211" s="161">
        <f t="shared" si="23"/>
        <v>5.4896332578386331E-3</v>
      </c>
    </row>
    <row r="212" spans="28:32" x14ac:dyDescent="0.2">
      <c r="AB212" s="188">
        <f>_xll.qlCalendarAdvance(Calendar,AB211,"1d","mf",,Trigger)</f>
        <v>42425</v>
      </c>
      <c r="AC212" s="210">
        <f>_xll.qlDayCounterYearFraction(DayCounter,SettlementDate,AB212,,,Trigger)</f>
        <v>0.8246575342465754</v>
      </c>
      <c r="AD212" s="189">
        <f t="shared" si="24"/>
        <v>4.7015019493089755E-3</v>
      </c>
      <c r="AE212" s="189">
        <f t="shared" si="22"/>
        <v>5.2087698642046786E-3</v>
      </c>
      <c r="AF212" s="161">
        <f t="shared" si="23"/>
        <v>5.4887382142594851E-3</v>
      </c>
    </row>
    <row r="213" spans="28:32" x14ac:dyDescent="0.2">
      <c r="AB213" s="188">
        <f>_xll.qlCalendarAdvance(Calendar,AB212,"1d","mf",,Trigger)</f>
        <v>42426</v>
      </c>
      <c r="AC213" s="210">
        <f>_xll.qlDayCounterYearFraction(DayCounter,SettlementDate,AB213,,,Trigger)</f>
        <v>0.82739726027397265</v>
      </c>
      <c r="AD213" s="189">
        <f t="shared" si="24"/>
        <v>4.7015019493089755E-3</v>
      </c>
      <c r="AE213" s="189">
        <f t="shared" si="22"/>
        <v>5.2130506061025322E-3</v>
      </c>
      <c r="AF213" s="161">
        <f t="shared" si="23"/>
        <v>5.4877717805358267E-3</v>
      </c>
    </row>
    <row r="214" spans="28:32" x14ac:dyDescent="0.2">
      <c r="AB214" s="188">
        <f>_xll.qlCalendarAdvance(Calendar,AB213,"1d","mf",,Trigger)</f>
        <v>42429</v>
      </c>
      <c r="AC214" s="210">
        <f>_xll.qlDayCounterYearFraction(DayCounter,SettlementDate,AB214,,,Trigger)</f>
        <v>0.83561643835616439</v>
      </c>
      <c r="AD214" s="189">
        <f t="shared" si="24"/>
        <v>4.7015019493089755E-3</v>
      </c>
      <c r="AE214" s="189">
        <f t="shared" si="22"/>
        <v>5.2258928317960949E-3</v>
      </c>
      <c r="AF214" s="161">
        <f t="shared" si="23"/>
        <v>5.4844441384977937E-3</v>
      </c>
    </row>
    <row r="215" spans="28:32" x14ac:dyDescent="0.2">
      <c r="AB215" s="188">
        <f>_xll.qlCalendarAdvance(Calendar,AB214,"1d","mf",,Trigger)</f>
        <v>42430</v>
      </c>
      <c r="AC215" s="210">
        <f>_xll.qlDayCounterYearFraction(DayCounter,SettlementDate,AB215,,,Trigger)</f>
        <v>0.83835616438356164</v>
      </c>
      <c r="AD215" s="189">
        <f t="shared" si="24"/>
        <v>4.7015019493089755E-3</v>
      </c>
      <c r="AE215" s="189">
        <f t="shared" si="22"/>
        <v>5.2301735736939485E-3</v>
      </c>
      <c r="AF215" s="161">
        <f t="shared" si="23"/>
        <v>5.4831921441960939E-3</v>
      </c>
    </row>
    <row r="216" spans="28:32" x14ac:dyDescent="0.2">
      <c r="AB216" s="188">
        <f>_xll.qlCalendarAdvance(Calendar,AB215,"1d","mf",,Trigger)</f>
        <v>42431</v>
      </c>
      <c r="AC216" s="210">
        <f>_xll.qlDayCounterYearFraction(DayCounter,SettlementDate,AB216,,,Trigger)</f>
        <v>0.84109589041095889</v>
      </c>
      <c r="AD216" s="189">
        <f t="shared" si="24"/>
        <v>4.7015019493089755E-3</v>
      </c>
      <c r="AE216" s="189">
        <f t="shared" si="22"/>
        <v>5.2344543155918022E-3</v>
      </c>
      <c r="AF216" s="161">
        <f t="shared" si="23"/>
        <v>5.4818687597498836E-3</v>
      </c>
    </row>
    <row r="217" spans="28:32" x14ac:dyDescent="0.2">
      <c r="AB217" s="188">
        <f>_xll.qlCalendarAdvance(Calendar,AB216,"1d","mf",,Trigger)</f>
        <v>42432</v>
      </c>
      <c r="AC217" s="210">
        <f>_xll.qlDayCounterYearFraction(DayCounter,SettlementDate,AB217,,,Trigger)</f>
        <v>0.84383561643835614</v>
      </c>
      <c r="AD217" s="189">
        <f t="shared" si="24"/>
        <v>4.7015019493089755E-3</v>
      </c>
      <c r="AE217" s="189">
        <f t="shared" si="22"/>
        <v>5.2387350574896567E-3</v>
      </c>
      <c r="AF217" s="161">
        <f t="shared" si="23"/>
        <v>5.4804739851591639E-3</v>
      </c>
    </row>
    <row r="218" spans="28:32" x14ac:dyDescent="0.2">
      <c r="AB218" s="188">
        <f>_xll.qlCalendarAdvance(Calendar,AB217,"1d","mf",,Trigger)</f>
        <v>42433</v>
      </c>
      <c r="AC218" s="210">
        <f>_xll.qlDayCounterYearFraction(DayCounter,SettlementDate,AB218,,,Trigger)</f>
        <v>0.84657534246575339</v>
      </c>
      <c r="AD218" s="189">
        <f t="shared" si="24"/>
        <v>4.7015019493089755E-3</v>
      </c>
      <c r="AE218" s="189">
        <f t="shared" si="22"/>
        <v>5.2430157993875104E-3</v>
      </c>
      <c r="AF218" s="161">
        <f t="shared" si="23"/>
        <v>5.4790078204239329E-3</v>
      </c>
    </row>
    <row r="219" spans="28:32" x14ac:dyDescent="0.2">
      <c r="AB219" s="188">
        <f>_xll.qlCalendarAdvance(Calendar,AB218,"1d","mf",,Trigger)</f>
        <v>42436</v>
      </c>
      <c r="AC219" s="210">
        <f>_xll.qlDayCounterYearFraction(DayCounter,SettlementDate,AB219,,,Trigger)</f>
        <v>0.85479452054794525</v>
      </c>
      <c r="AD219" s="189">
        <f t="shared" si="24"/>
        <v>4.7015019493089755E-3</v>
      </c>
      <c r="AE219" s="189">
        <f t="shared" si="22"/>
        <v>5.255858025081073E-3</v>
      </c>
      <c r="AF219" s="161">
        <f t="shared" si="23"/>
        <v>5.4741809853511812E-3</v>
      </c>
    </row>
    <row r="220" spans="28:32" x14ac:dyDescent="0.2">
      <c r="AB220" s="188">
        <f>_xll.qlCalendarAdvance(Calendar,AB219,"1d","mf",,Trigger)</f>
        <v>42437</v>
      </c>
      <c r="AC220" s="210">
        <f>_xll.qlDayCounterYearFraction(DayCounter,SettlementDate,AB220,,,Trigger)</f>
        <v>0.8575342465753425</v>
      </c>
      <c r="AD220" s="189">
        <f t="shared" si="24"/>
        <v>4.7015019493089755E-3</v>
      </c>
      <c r="AE220" s="189">
        <f t="shared" si="22"/>
        <v>5.2601387669789267E-3</v>
      </c>
      <c r="AF220" s="161">
        <f t="shared" si="23"/>
        <v>5.4724292600379087E-3</v>
      </c>
    </row>
    <row r="221" spans="28:32" x14ac:dyDescent="0.2">
      <c r="AB221" s="188">
        <f>_xll.qlCalendarAdvance(Calendar,AB220,"1d","mf",,Trigger)</f>
        <v>42438</v>
      </c>
      <c r="AC221" s="210">
        <f>_xll.qlDayCounterYearFraction(DayCounter,SettlementDate,AB221,,,Trigger)</f>
        <v>0.86027397260273974</v>
      </c>
      <c r="AD221" s="189">
        <f t="shared" si="24"/>
        <v>4.7015019493089755E-3</v>
      </c>
      <c r="AE221" s="189">
        <f t="shared" si="22"/>
        <v>5.2644195088767803E-3</v>
      </c>
      <c r="AF221" s="161">
        <f t="shared" si="23"/>
        <v>5.4706061445801268E-3</v>
      </c>
    </row>
    <row r="222" spans="28:32" x14ac:dyDescent="0.2">
      <c r="AB222" s="188">
        <f>_xll.qlCalendarAdvance(Calendar,AB221,"1d","mf",,Trigger)</f>
        <v>42439</v>
      </c>
      <c r="AC222" s="210">
        <f>_xll.qlDayCounterYearFraction(DayCounter,SettlementDate,AB222,,,Trigger)</f>
        <v>0.86301369863013699</v>
      </c>
      <c r="AD222" s="189">
        <f t="shared" si="24"/>
        <v>4.7015019493089755E-3</v>
      </c>
      <c r="AE222" s="189">
        <f t="shared" si="22"/>
        <v>5.2687002507746349E-3</v>
      </c>
      <c r="AF222" s="161">
        <f t="shared" si="23"/>
        <v>5.4687116389778353E-3</v>
      </c>
    </row>
    <row r="223" spans="28:32" x14ac:dyDescent="0.2">
      <c r="AB223" s="188">
        <f>_xll.qlCalendarAdvance(Calendar,AB222,"1d","mf",,Trigger)</f>
        <v>42440</v>
      </c>
      <c r="AC223" s="210">
        <f>_xll.qlDayCounterYearFraction(DayCounter,SettlementDate,AB223,,,Trigger)</f>
        <v>0.86575342465753424</v>
      </c>
      <c r="AD223" s="189">
        <f t="shared" si="24"/>
        <v>4.7015019493089755E-3</v>
      </c>
      <c r="AE223" s="189">
        <f t="shared" si="22"/>
        <v>5.2729809926724894E-3</v>
      </c>
      <c r="AF223" s="161">
        <f t="shared" si="23"/>
        <v>5.4667457432310326E-3</v>
      </c>
    </row>
    <row r="224" spans="28:32" x14ac:dyDescent="0.2">
      <c r="AB224" s="188">
        <f>_xll.qlCalendarAdvance(Calendar,AB223,"1d","mf",,Trigger)</f>
        <v>42443</v>
      </c>
      <c r="AC224" s="210">
        <f>_xll.qlDayCounterYearFraction(DayCounter,SettlementDate,AB224,,,Trigger)</f>
        <v>0.87397260273972599</v>
      </c>
      <c r="AD224" s="189">
        <f t="shared" si="24"/>
        <v>4.7015019493089755E-3</v>
      </c>
      <c r="AE224" s="189">
        <f t="shared" si="22"/>
        <v>5.2858232183660512E-3</v>
      </c>
      <c r="AF224" s="161">
        <f t="shared" si="23"/>
        <v>5.4604197151235621E-3</v>
      </c>
    </row>
    <row r="225" spans="28:32" x14ac:dyDescent="0.2">
      <c r="AB225" s="188">
        <f>_xll.qlCalendarAdvance(Calendar,AB224,"1d","mf",,Trigger)</f>
        <v>42444</v>
      </c>
      <c r="AC225" s="210">
        <f>_xll.qlDayCounterYearFraction(DayCounter,SettlementDate,AB225,,,Trigger)</f>
        <v>0.87671232876712324</v>
      </c>
      <c r="AD225" s="189">
        <f t="shared" si="24"/>
        <v>4.7015019493089755E-3</v>
      </c>
      <c r="AE225" s="189">
        <f t="shared" si="22"/>
        <v>5.2901039602639048E-3</v>
      </c>
      <c r="AF225" s="161">
        <f t="shared" si="23"/>
        <v>5.4581682587987171E-3</v>
      </c>
    </row>
    <row r="226" spans="28:32" x14ac:dyDescent="0.2">
      <c r="AB226" s="188">
        <f>_xll.qlCalendarAdvance(Calendar,AB225,"1d","mf",,Trigger)</f>
        <v>42445</v>
      </c>
      <c r="AC226" s="210">
        <f>_xll.qlDayCounterYearFraction(DayCounter,SettlementDate,AB226,,,Trigger)</f>
        <v>0.8794520547945206</v>
      </c>
      <c r="AD226" s="189">
        <f t="shared" si="24"/>
        <v>4.7015019493089755E-3</v>
      </c>
      <c r="AE226" s="189">
        <f t="shared" si="22"/>
        <v>5.2943847021617594E-3</v>
      </c>
      <c r="AF226" s="161">
        <f t="shared" si="23"/>
        <v>5.4558454123293625E-3</v>
      </c>
    </row>
    <row r="227" spans="28:32" x14ac:dyDescent="0.2">
      <c r="AB227" s="188">
        <f>_xll.qlCalendarAdvance(Calendar,AB226,"1d","mf",,Trigger)</f>
        <v>42446</v>
      </c>
      <c r="AC227" s="210">
        <f>_xll.qlDayCounterYearFraction(DayCounter,SettlementDate,AB227,,,Trigger)</f>
        <v>0.88219178082191785</v>
      </c>
      <c r="AD227" s="189">
        <f t="shared" si="24"/>
        <v>4.7015019493089755E-3</v>
      </c>
      <c r="AE227" s="189">
        <f t="shared" si="22"/>
        <v>5.298665444059613E-3</v>
      </c>
      <c r="AF227" s="161">
        <f t="shared" si="23"/>
        <v>5.4534511757154992E-3</v>
      </c>
    </row>
    <row r="228" spans="28:32" x14ac:dyDescent="0.2">
      <c r="AB228" s="188">
        <f>_xll.qlCalendarAdvance(Calendar,AB227,"1d","mf",,Trigger)</f>
        <v>42447</v>
      </c>
      <c r="AC228" s="210">
        <f>_xll.qlDayCounterYearFraction(DayCounter,SettlementDate,AB228,,,Trigger)</f>
        <v>0.8849315068493151</v>
      </c>
      <c r="AD228" s="189">
        <f t="shared" si="24"/>
        <v>4.7015019493089755E-3</v>
      </c>
      <c r="AE228" s="189">
        <f t="shared" si="22"/>
        <v>5.3029461859574675E-3</v>
      </c>
      <c r="AF228" s="161">
        <f t="shared" si="23"/>
        <v>5.450985548957123E-3</v>
      </c>
    </row>
    <row r="229" spans="28:32" x14ac:dyDescent="0.2">
      <c r="AB229" s="188">
        <f>_xll.qlCalendarAdvance(Calendar,AB228,"1d","mf",,Trigger)</f>
        <v>42450</v>
      </c>
      <c r="AC229" s="210">
        <f>_xll.qlDayCounterYearFraction(DayCounter,SettlementDate,AB229,,,Trigger)</f>
        <v>0.89315068493150684</v>
      </c>
      <c r="AD229" s="189">
        <f t="shared" si="24"/>
        <v>4.7015019493089755E-3</v>
      </c>
      <c r="AE229" s="189">
        <f t="shared" si="22"/>
        <v>5.3157884116510293E-3</v>
      </c>
      <c r="AF229" s="161">
        <f t="shared" si="23"/>
        <v>5.4431603278149339E-3</v>
      </c>
    </row>
    <row r="230" spans="28:32" x14ac:dyDescent="0.2">
      <c r="AB230" s="188">
        <f>_xll.qlCalendarAdvance(Calendar,AB229,"1d","mf",,Trigger)</f>
        <v>42451</v>
      </c>
      <c r="AC230" s="210">
        <f>_xll.qlDayCounterYearFraction(DayCounter,SettlementDate,AB230,,,Trigger)</f>
        <v>0.89589041095890409</v>
      </c>
      <c r="AD230" s="189">
        <f t="shared" si="24"/>
        <v>4.7015019493089755E-3</v>
      </c>
      <c r="AE230" s="189">
        <f t="shared" si="22"/>
        <v>5.320069153548883E-3</v>
      </c>
      <c r="AF230" s="161">
        <f t="shared" si="23"/>
        <v>5.4404091404785179E-3</v>
      </c>
    </row>
    <row r="231" spans="28:32" x14ac:dyDescent="0.2">
      <c r="AB231" s="188">
        <f>_xll.qlCalendarAdvance(Calendar,AB230,"1d","mf",,Trigger)</f>
        <v>42452</v>
      </c>
      <c r="AC231" s="210">
        <f>_xll.qlDayCounterYearFraction(DayCounter,SettlementDate,AB231,,,Trigger)</f>
        <v>0.89863013698630134</v>
      </c>
      <c r="AD231" s="189">
        <f t="shared" si="24"/>
        <v>4.7015019493089755E-3</v>
      </c>
      <c r="AE231" s="189">
        <f t="shared" si="22"/>
        <v>5.3243498954467375E-3</v>
      </c>
      <c r="AF231" s="161">
        <f t="shared" si="23"/>
        <v>5.4375865629975907E-3</v>
      </c>
    </row>
    <row r="232" spans="28:32" x14ac:dyDescent="0.2">
      <c r="AB232" s="188">
        <f>_xll.qlCalendarAdvance(Calendar,AB231,"1d","mf",,Trigger)</f>
        <v>42453</v>
      </c>
      <c r="AC232" s="210">
        <f>_xll.qlDayCounterYearFraction(DayCounter,SettlementDate,AB232,,,Trigger)</f>
        <v>0.90136986301369859</v>
      </c>
      <c r="AD232" s="189">
        <f t="shared" si="24"/>
        <v>4.7015019493089755E-3</v>
      </c>
      <c r="AE232" s="189">
        <f t="shared" si="22"/>
        <v>5.3286306373445912E-3</v>
      </c>
      <c r="AF232" s="161">
        <f t="shared" si="23"/>
        <v>5.434692595372154E-3</v>
      </c>
    </row>
    <row r="233" spans="28:32" x14ac:dyDescent="0.2">
      <c r="AB233" s="188">
        <f>_xll.qlCalendarAdvance(Calendar,AB232,"1d","mf",,Trigger)</f>
        <v>42458</v>
      </c>
      <c r="AC233" s="210">
        <f>_xll.qlDayCounterYearFraction(DayCounter,SettlementDate,AB233,,,Trigger)</f>
        <v>0.91506849315068495</v>
      </c>
      <c r="AD233" s="189">
        <f t="shared" si="24"/>
        <v>4.7015019493089755E-3</v>
      </c>
      <c r="AE233" s="189">
        <f t="shared" si="22"/>
        <v>5.3500343468338611E-3</v>
      </c>
      <c r="AF233" s="161">
        <f t="shared" si="23"/>
        <v>5.4191519050773114E-3</v>
      </c>
    </row>
    <row r="234" spans="28:32" x14ac:dyDescent="0.2">
      <c r="AB234" s="188">
        <f>_xll.qlCalendarAdvance(Calendar,AB233,"1d","mf",,Trigger)</f>
        <v>42459</v>
      </c>
      <c r="AC234" s="210">
        <f>_xll.qlDayCounterYearFraction(DayCounter,SettlementDate,AB234,,,Trigger)</f>
        <v>0.9178082191780822</v>
      </c>
      <c r="AD234" s="189">
        <f t="shared" si="24"/>
        <v>4.7015019493089755E-3</v>
      </c>
      <c r="AE234" s="189">
        <f t="shared" si="22"/>
        <v>5.3543150887317157E-3</v>
      </c>
      <c r="AF234" s="161">
        <f t="shared" si="23"/>
        <v>5.4158295965848115E-3</v>
      </c>
    </row>
    <row r="235" spans="28:32" x14ac:dyDescent="0.2">
      <c r="AB235" s="188">
        <f>_xll.qlCalendarAdvance(Calendar,AB234,"1d","mf",,Trigger)</f>
        <v>42460</v>
      </c>
      <c r="AC235" s="210">
        <f>_xll.qlDayCounterYearFraction(DayCounter,SettlementDate,AB235,,,Trigger)</f>
        <v>0.92054794520547945</v>
      </c>
      <c r="AD235" s="189">
        <f t="shared" si="24"/>
        <v>4.7015019493089755E-3</v>
      </c>
      <c r="AE235" s="189">
        <f t="shared" si="22"/>
        <v>5.3585958306295693E-3</v>
      </c>
      <c r="AF235" s="161">
        <f t="shared" si="23"/>
        <v>5.4124358979478005E-3</v>
      </c>
    </row>
    <row r="236" spans="28:32" x14ac:dyDescent="0.2">
      <c r="AB236" s="188">
        <f>_xll.qlCalendarAdvance(Calendar,AB235,"1d","mf",,Trigger)</f>
        <v>42461</v>
      </c>
      <c r="AC236" s="210">
        <f>_xll.qlDayCounterYearFraction(DayCounter,SettlementDate,AB236,,,Trigger)</f>
        <v>0.92328767123287669</v>
      </c>
      <c r="AD236" s="189">
        <f t="shared" si="24"/>
        <v>4.7015019493089755E-3</v>
      </c>
      <c r="AE236" s="189">
        <f t="shared" si="22"/>
        <v>5.3628765725274238E-3</v>
      </c>
      <c r="AF236" s="161">
        <f t="shared" si="23"/>
        <v>5.4089708091662799E-3</v>
      </c>
    </row>
    <row r="237" spans="28:32" x14ac:dyDescent="0.2">
      <c r="AB237" s="188">
        <f>_xll.qlCalendarAdvance(Calendar,AB236,"1d","mf",,Trigger)</f>
        <v>42464</v>
      </c>
      <c r="AC237" s="210">
        <f>_xll.qlDayCounterYearFraction(DayCounter,SettlementDate,AB237,,,Trigger)</f>
        <v>0.93150684931506844</v>
      </c>
      <c r="AD237" s="189">
        <f t="shared" si="24"/>
        <v>4.7015019493089755E-3</v>
      </c>
      <c r="AE237" s="189">
        <f t="shared" si="22"/>
        <v>5.3757187982209857E-3</v>
      </c>
      <c r="AF237" s="161">
        <f t="shared" si="23"/>
        <v>5.3981472019546568E-3</v>
      </c>
    </row>
    <row r="238" spans="28:32" x14ac:dyDescent="0.2">
      <c r="AB238" s="188">
        <f>_xll.qlCalendarAdvance(Calendar,AB237,"1d","mf",,Trigger)</f>
        <v>42465</v>
      </c>
      <c r="AC238" s="210">
        <f>_xll.qlDayCounterYearFraction(DayCounter,SettlementDate,AB238,,,Trigger)</f>
        <v>0.9342465753424658</v>
      </c>
      <c r="AD238" s="189">
        <f t="shared" si="24"/>
        <v>4.7015019493089755E-3</v>
      </c>
      <c r="AE238" s="189">
        <f t="shared" si="22"/>
        <v>5.3799995401188402E-3</v>
      </c>
      <c r="AF238" s="161">
        <f t="shared" si="23"/>
        <v>5.3943965525950956E-3</v>
      </c>
    </row>
    <row r="239" spans="28:32" x14ac:dyDescent="0.2">
      <c r="AB239" s="188">
        <f>_xll.qlCalendarAdvance(Calendar,AB238,"1d","mf",,Trigger)</f>
        <v>42466</v>
      </c>
      <c r="AC239" s="210">
        <f>_xll.qlDayCounterYearFraction(DayCounter,SettlementDate,AB239,,,Trigger)</f>
        <v>0.93698630136986305</v>
      </c>
      <c r="AD239" s="189">
        <f t="shared" si="24"/>
        <v>4.7015019493089755E-3</v>
      </c>
      <c r="AE239" s="189">
        <f t="shared" si="22"/>
        <v>5.3842802820166938E-3</v>
      </c>
      <c r="AF239" s="161">
        <f t="shared" si="23"/>
        <v>5.3905745130910232E-3</v>
      </c>
    </row>
    <row r="240" spans="28:32" x14ac:dyDescent="0.2">
      <c r="AB240" s="188">
        <f>_xll.qlCalendarAdvance(Calendar,AB239,"1d","mf",,Trigger)</f>
        <v>42467</v>
      </c>
      <c r="AC240" s="210">
        <f>_xll.qlDayCounterYearFraction(DayCounter,SettlementDate,AB240,,,Trigger)</f>
        <v>0.9397260273972603</v>
      </c>
      <c r="AD240" s="189">
        <f t="shared" si="24"/>
        <v>4.7015019493089755E-3</v>
      </c>
      <c r="AE240" s="189">
        <f t="shared" si="22"/>
        <v>5.3885610239145475E-3</v>
      </c>
      <c r="AF240" s="161">
        <f t="shared" si="23"/>
        <v>5.3866810834424395E-3</v>
      </c>
    </row>
    <row r="241" spans="28:32" x14ac:dyDescent="0.2">
      <c r="AB241" s="188">
        <f>_xll.qlCalendarAdvance(Calendar,AB240,"1d","mf",,Trigger)</f>
        <v>42468</v>
      </c>
      <c r="AC241" s="210">
        <f>_xll.qlDayCounterYearFraction(DayCounter,SettlementDate,AB241,,,Trigger)</f>
        <v>0.94246575342465755</v>
      </c>
      <c r="AD241" s="189">
        <f t="shared" si="24"/>
        <v>4.7015019493089755E-3</v>
      </c>
      <c r="AE241" s="189">
        <f t="shared" si="22"/>
        <v>5.392841765812402E-3</v>
      </c>
      <c r="AF241" s="161">
        <f t="shared" si="23"/>
        <v>5.3827162636493481E-3</v>
      </c>
    </row>
    <row r="242" spans="28:32" x14ac:dyDescent="0.2">
      <c r="AB242" s="188">
        <f>_xll.qlCalendarAdvance(Calendar,AB241,"1d","mf",,Trigger)</f>
        <v>42471</v>
      </c>
      <c r="AC242" s="210">
        <f>_xll.qlDayCounterYearFraction(DayCounter,SettlementDate,AB242,,,Trigger)</f>
        <v>0.9506849315068493</v>
      </c>
      <c r="AD242" s="189">
        <f t="shared" si="24"/>
        <v>4.7015019493089755E-3</v>
      </c>
      <c r="AE242" s="189">
        <f t="shared" si="22"/>
        <v>5.4056839915059638E-3</v>
      </c>
      <c r="AF242" s="161">
        <f t="shared" si="23"/>
        <v>5.3703934634030072E-3</v>
      </c>
    </row>
    <row r="243" spans="28:32" x14ac:dyDescent="0.2">
      <c r="AB243" s="188">
        <f>_xll.qlCalendarAdvance(Calendar,AB242,"1d","mf",,Trigger)</f>
        <v>42472</v>
      </c>
      <c r="AC243" s="210">
        <f>_xll.qlDayCounterYearFraction(DayCounter,SettlementDate,AB243,,,Trigger)</f>
        <v>0.95342465753424654</v>
      </c>
      <c r="AD243" s="189">
        <f t="shared" si="24"/>
        <v>4.7015019493089755E-3</v>
      </c>
      <c r="AE243" s="189">
        <f t="shared" si="22"/>
        <v>5.4099647334038183E-3</v>
      </c>
      <c r="AF243" s="161">
        <f t="shared" si="23"/>
        <v>5.3661430830318725E-3</v>
      </c>
    </row>
    <row r="244" spans="28:32" x14ac:dyDescent="0.2">
      <c r="AB244" s="188">
        <f>_xll.qlCalendarAdvance(Calendar,AB243,"1d","mf",,Trigger)</f>
        <v>42473</v>
      </c>
      <c r="AC244" s="210">
        <f>_xll.qlDayCounterYearFraction(DayCounter,SettlementDate,AB244,,,Trigger)</f>
        <v>0.95616438356164379</v>
      </c>
      <c r="AD244" s="189">
        <f t="shared" si="24"/>
        <v>4.7015019493089755E-3</v>
      </c>
      <c r="AE244" s="189">
        <f t="shared" si="22"/>
        <v>5.414245475301672E-3</v>
      </c>
      <c r="AF244" s="161">
        <f t="shared" si="23"/>
        <v>5.3618213125162274E-3</v>
      </c>
    </row>
    <row r="245" spans="28:32" x14ac:dyDescent="0.2">
      <c r="AB245" s="188">
        <f>_xll.qlCalendarAdvance(Calendar,AB244,"1d","mf",,Trigger)</f>
        <v>42474</v>
      </c>
      <c r="AC245" s="210">
        <f>_xll.qlDayCounterYearFraction(DayCounter,SettlementDate,AB245,,,Trigger)</f>
        <v>0.95890410958904104</v>
      </c>
      <c r="AD245" s="189">
        <f t="shared" si="24"/>
        <v>4.7015019493089755E-3</v>
      </c>
      <c r="AE245" s="189">
        <f t="shared" si="22"/>
        <v>5.4185262171995256E-3</v>
      </c>
      <c r="AF245" s="161">
        <f t="shared" si="23"/>
        <v>5.357428151856072E-3</v>
      </c>
    </row>
    <row r="246" spans="28:32" x14ac:dyDescent="0.2">
      <c r="AB246" s="188">
        <f>_xll.qlCalendarAdvance(Calendar,AB245,"1d","mf",,Trigger)</f>
        <v>42475</v>
      </c>
      <c r="AC246" s="210">
        <f>_xll.qlDayCounterYearFraction(DayCounter,SettlementDate,AB246,,,Trigger)</f>
        <v>0.9616438356164384</v>
      </c>
      <c r="AD246" s="189">
        <f t="shared" si="24"/>
        <v>4.7015019493089755E-3</v>
      </c>
      <c r="AE246" s="189">
        <f t="shared" si="22"/>
        <v>5.4228069590973801E-3</v>
      </c>
      <c r="AF246" s="161">
        <f t="shared" si="23"/>
        <v>5.3529636010514088E-3</v>
      </c>
    </row>
    <row r="247" spans="28:32" x14ac:dyDescent="0.2">
      <c r="AB247" s="188">
        <f>_xll.qlCalendarAdvance(Calendar,AB246,"1d","mf",,Trigger)</f>
        <v>42478</v>
      </c>
      <c r="AC247" s="210">
        <f>_xll.qlDayCounterYearFraction(DayCounter,SettlementDate,AB247,,,Trigger)</f>
        <v>0.96986301369863015</v>
      </c>
      <c r="AD247" s="189">
        <f t="shared" si="24"/>
        <v>4.7015019493089755E-3</v>
      </c>
      <c r="AE247" s="189">
        <f t="shared" si="22"/>
        <v>5.435649184790942E-3</v>
      </c>
      <c r="AF247" s="161">
        <f t="shared" si="23"/>
        <v>5.3391416077703483E-3</v>
      </c>
    </row>
    <row r="248" spans="28:32" x14ac:dyDescent="0.2">
      <c r="AB248" s="188">
        <f>_xll.qlCalendarAdvance(Calendar,AB247,"1d","mf",,Trigger)</f>
        <v>42479</v>
      </c>
      <c r="AC248" s="210">
        <f>_xll.qlDayCounterYearFraction(DayCounter,SettlementDate,AB248,,,Trigger)</f>
        <v>0.9726027397260274</v>
      </c>
      <c r="AD248" s="189">
        <f t="shared" si="24"/>
        <v>4.7015019493089755E-3</v>
      </c>
      <c r="AE248" s="189">
        <f t="shared" si="22"/>
        <v>5.4399299266887965E-3</v>
      </c>
      <c r="AF248" s="161">
        <f t="shared" si="23"/>
        <v>5.334391496387641E-3</v>
      </c>
    </row>
    <row r="249" spans="28:32" x14ac:dyDescent="0.2">
      <c r="AB249" s="188">
        <f>_xll.qlCalendarAdvance(Calendar,AB248,"1d","mf",,Trigger)</f>
        <v>42480</v>
      </c>
      <c r="AC249" s="210">
        <f>_xll.qlDayCounterYearFraction(DayCounter,SettlementDate,AB249,,,Trigger)</f>
        <v>0.97534246575342465</v>
      </c>
      <c r="AD249" s="189">
        <f t="shared" si="24"/>
        <v>4.7015019493089755E-3</v>
      </c>
      <c r="AE249" s="189">
        <f t="shared" si="22"/>
        <v>5.4442106685866501E-3</v>
      </c>
      <c r="AF249" s="161">
        <f t="shared" si="23"/>
        <v>5.3295699948604251E-3</v>
      </c>
    </row>
    <row r="250" spans="28:32" x14ac:dyDescent="0.2">
      <c r="AB250" s="188">
        <f>_xll.qlCalendarAdvance(Calendar,AB249,"1d","mf",,Trigger)</f>
        <v>42481</v>
      </c>
      <c r="AC250" s="210">
        <f>_xll.qlDayCounterYearFraction(DayCounter,SettlementDate,AB250,,,Trigger)</f>
        <v>0.9780821917808219</v>
      </c>
      <c r="AD250" s="189">
        <f t="shared" si="24"/>
        <v>4.7015019493089755E-3</v>
      </c>
      <c r="AE250" s="189">
        <f t="shared" si="22"/>
        <v>5.4484914104845038E-3</v>
      </c>
      <c r="AF250" s="161">
        <f t="shared" si="23"/>
        <v>5.3246771031886971E-3</v>
      </c>
    </row>
    <row r="251" spans="28:32" x14ac:dyDescent="0.2">
      <c r="AB251" s="188">
        <f>_xll.qlCalendarAdvance(Calendar,AB250,"1d","mf",,Trigger)</f>
        <v>42482</v>
      </c>
      <c r="AC251" s="210">
        <f>_xll.qlDayCounterYearFraction(DayCounter,SettlementDate,AB251,,,Trigger)</f>
        <v>0.98082191780821915</v>
      </c>
      <c r="AD251" s="189">
        <f t="shared" si="24"/>
        <v>4.7015019493089755E-3</v>
      </c>
      <c r="AE251" s="189">
        <f t="shared" si="22"/>
        <v>5.4527721523823583E-3</v>
      </c>
      <c r="AF251" s="161">
        <f t="shared" si="23"/>
        <v>5.3197128213724604E-3</v>
      </c>
    </row>
    <row r="252" spans="28:32" x14ac:dyDescent="0.2">
      <c r="AB252" s="188">
        <f>_xll.qlCalendarAdvance(Calendar,AB251,"1d","mf",,Trigger)</f>
        <v>42485</v>
      </c>
      <c r="AC252" s="210">
        <f>_xll.qlDayCounterYearFraction(DayCounter,SettlementDate,AB252,,,Trigger)</f>
        <v>0.989041095890411</v>
      </c>
      <c r="AD252" s="189">
        <f t="shared" si="24"/>
        <v>4.7015019493089755E-3</v>
      </c>
      <c r="AE252" s="189">
        <f t="shared" ref="AE252:AE257" si="25">$S$10+$S$9*AC252</f>
        <v>5.4656143780759201E-3</v>
      </c>
      <c r="AF252" s="161">
        <f t="shared" ref="AF252:AF257" si="26">($S$5+$S$4*AC252+$S$3*AC252^2)</f>
        <v>5.3043916350566829E-3</v>
      </c>
    </row>
    <row r="253" spans="28:32" x14ac:dyDescent="0.2">
      <c r="AB253" s="188">
        <f>_xll.qlCalendarAdvance(Calendar,AB252,"1d","mf",,Trigger)</f>
        <v>42486</v>
      </c>
      <c r="AC253" s="210">
        <f>_xll.qlDayCounterYearFraction(DayCounter,SettlementDate,AB253,,,Trigger)</f>
        <v>0.99178082191780825</v>
      </c>
      <c r="AD253" s="189">
        <f t="shared" si="24"/>
        <v>4.7015019493089755E-3</v>
      </c>
      <c r="AE253" s="189">
        <f t="shared" si="25"/>
        <v>5.4698951199737746E-3</v>
      </c>
      <c r="AF253" s="161">
        <f t="shared" si="26"/>
        <v>5.299141792662403E-3</v>
      </c>
    </row>
    <row r="254" spans="28:32" x14ac:dyDescent="0.2">
      <c r="AB254" s="188">
        <f>_xll.qlCalendarAdvance(Calendar,AB253,"1d","mf",,Trigger)</f>
        <v>42487</v>
      </c>
      <c r="AC254" s="210">
        <f>_xll.qlDayCounterYearFraction(DayCounter,SettlementDate,AB254,,,Trigger)</f>
        <v>0.9945205479452055</v>
      </c>
      <c r="AD254" s="189">
        <f t="shared" si="24"/>
        <v>4.7015019493089755E-3</v>
      </c>
      <c r="AE254" s="189">
        <f t="shared" si="25"/>
        <v>5.4741758618716283E-3</v>
      </c>
      <c r="AF254" s="161">
        <f t="shared" si="26"/>
        <v>5.2938205601236145E-3</v>
      </c>
    </row>
    <row r="255" spans="28:32" x14ac:dyDescent="0.2">
      <c r="AB255" s="188">
        <f>_xll.qlCalendarAdvance(Calendar,AB254,"1d","mf",,Trigger)</f>
        <v>42488</v>
      </c>
      <c r="AC255" s="210">
        <f>_xll.qlDayCounterYearFraction(DayCounter,SettlementDate,AB255,,,Trigger)</f>
        <v>0.99726027397260275</v>
      </c>
      <c r="AD255" s="189">
        <f t="shared" si="24"/>
        <v>4.7015019493089755E-3</v>
      </c>
      <c r="AE255" s="189">
        <f t="shared" si="25"/>
        <v>5.4784566037694819E-3</v>
      </c>
      <c r="AF255" s="161">
        <f t="shared" si="26"/>
        <v>5.2884279374403138E-3</v>
      </c>
    </row>
    <row r="256" spans="28:32" x14ac:dyDescent="0.2">
      <c r="AB256" s="188">
        <f>_xll.qlCalendarAdvance(Calendar,AB255,"1d","mf",,Trigger)</f>
        <v>42489</v>
      </c>
      <c r="AC256" s="210">
        <f>_xll.qlDayCounterYearFraction(DayCounter,SettlementDate,AB256,,,Trigger)</f>
        <v>1</v>
      </c>
      <c r="AD256" s="189">
        <f t="shared" si="24"/>
        <v>4.7015019493089755E-3</v>
      </c>
      <c r="AE256" s="189">
        <f t="shared" si="25"/>
        <v>5.4827373456673364E-3</v>
      </c>
      <c r="AF256" s="161">
        <f t="shared" si="26"/>
        <v>5.2829639246125028E-3</v>
      </c>
    </row>
    <row r="257" spans="28:32" ht="12" thickBot="1" x14ac:dyDescent="0.25">
      <c r="AB257" s="190">
        <f>_xll.qlCalendarAdvance(Calendar,AB256,"1d","mf",,Trigger)</f>
        <v>42493</v>
      </c>
      <c r="AC257" s="211">
        <f>_xll.qlDayCounterYearFraction(DayCounter,SettlementDate,AB257,,,Trigger)</f>
        <v>1.010958904109589</v>
      </c>
      <c r="AD257" s="191">
        <f t="shared" si="24"/>
        <v>4.7015019493089755E-3</v>
      </c>
      <c r="AE257" s="191">
        <f t="shared" si="25"/>
        <v>5.4998603132587528E-3</v>
      </c>
      <c r="AF257" s="164">
        <f t="shared" si="26"/>
        <v>5.2603939718561567E-3</v>
      </c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"Delta(0M;1Y)extrap,fixing"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AC56"/>
  <sheetViews>
    <sheetView showGridLines="0" workbookViewId="0"/>
  </sheetViews>
  <sheetFormatPr defaultRowHeight="11.25" outlineLevelCol="1" x14ac:dyDescent="0.2"/>
  <cols>
    <col min="1" max="1" width="3.5" style="56" bestFit="1" customWidth="1"/>
    <col min="2" max="2" width="20.1640625" style="56" customWidth="1"/>
    <col min="3" max="3" width="17.6640625" style="56" hidden="1" customWidth="1" outlineLevel="1"/>
    <col min="4" max="4" width="20.1640625" style="56" customWidth="1" collapsed="1"/>
    <col min="5" max="5" width="20.1640625" style="56" customWidth="1"/>
    <col min="6" max="8" width="10.5" style="56" bestFit="1" customWidth="1"/>
    <col min="9" max="9" width="17.6640625" style="56" bestFit="1" customWidth="1"/>
    <col min="10" max="10" width="9.33203125" style="56"/>
    <col min="16" max="16" width="2.83203125" style="56" customWidth="1"/>
    <col min="17" max="17" width="27.5" style="56" bestFit="1" customWidth="1"/>
    <col min="18" max="18" width="20.1640625" style="56" hidden="1" customWidth="1"/>
    <col min="19" max="19" width="20.1640625" style="56" bestFit="1" customWidth="1"/>
    <col min="20" max="20" width="20.1640625" style="56" customWidth="1"/>
    <col min="21" max="21" width="20.1640625" style="56" hidden="1" customWidth="1"/>
    <col min="22" max="22" width="10" style="56" bestFit="1" customWidth="1"/>
    <col min="23" max="23" width="9.33203125" style="56" customWidth="1"/>
    <col min="24" max="24" width="10" style="56" bestFit="1" customWidth="1"/>
    <col min="25" max="25" width="9.33203125" style="56"/>
    <col min="26" max="26" width="2.83203125" style="56" customWidth="1"/>
    <col min="27" max="16384" width="9.33203125" style="56"/>
  </cols>
  <sheetData>
    <row r="1" spans="1:29" ht="22.5" x14ac:dyDescent="0.2">
      <c r="A1" s="310"/>
      <c r="B1" s="310" t="s">
        <v>86</v>
      </c>
      <c r="C1" s="310"/>
      <c r="D1" s="310" t="s">
        <v>87</v>
      </c>
      <c r="E1" s="310" t="s">
        <v>88</v>
      </c>
      <c r="F1" s="310" t="s">
        <v>32</v>
      </c>
      <c r="G1" s="310" t="s">
        <v>89</v>
      </c>
      <c r="H1" s="310" t="s">
        <v>90</v>
      </c>
    </row>
    <row r="2" spans="1:29" x14ac:dyDescent="0.2">
      <c r="A2" s="407">
        <v>0</v>
      </c>
      <c r="B2" s="408">
        <f>_xll.qlInterestRateIndexFixingDate(IborIndex1Y,D2)</f>
        <v>42124</v>
      </c>
      <c r="C2" s="407" t="str">
        <f>_xll.qlMakeDatedOIS(,D2,E2,OvernightIndex,0,DayCounter,0)</f>
        <v>obj_0045a#0000</v>
      </c>
      <c r="D2" s="408">
        <f>_xll.qlCalendarAdvance(Calendar,SettlementDate,A2&amp;"M","mf")</f>
        <v>42124</v>
      </c>
      <c r="E2" s="408">
        <f>_xll.qlInterestRateIndexMaturity(IborIndex1Y,D2)</f>
        <v>42489</v>
      </c>
      <c r="F2" s="409">
        <f>_xll.qlOvernightIndexedSwapFairRate(C2,_xll.ohTrigger(InterestRatesTrigger))</f>
        <v>5.1624999999999588E-3</v>
      </c>
      <c r="G2" s="410">
        <f>_xll.qlInterpolationInterpolate(BasisInterpolator,D2,TRUE,F2)</f>
        <v>4.7368999999999328E-3</v>
      </c>
      <c r="H2" s="409">
        <f t="shared" ref="H2:H33" si="0">F2+G2</f>
        <v>9.8993999999998916E-3</v>
      </c>
      <c r="AA2" s="57"/>
      <c r="AB2" s="57"/>
      <c r="AC2" s="154"/>
    </row>
    <row r="3" spans="1:29" x14ac:dyDescent="0.2">
      <c r="A3" s="411">
        <v>1</v>
      </c>
      <c r="B3" s="412">
        <f>_xll.qlInterestRateIndexFixingDate(IborIndex1Y,D3)</f>
        <v>42153</v>
      </c>
      <c r="C3" s="411" t="str">
        <f>_xll.qlMakeDatedOIS(,D3,E3,OvernightIndex,0,DayCounter,0)</f>
        <v>obj_0044e#0000</v>
      </c>
      <c r="D3" s="412">
        <f>_xll.qlCalendarAdvance(Calendar,SettlementDate,A3&amp;"M","mf")</f>
        <v>42153</v>
      </c>
      <c r="E3" s="412">
        <f>_xll.qlInterestRateIndexMaturity(IborIndex1Y,D3)</f>
        <v>42521</v>
      </c>
      <c r="F3" s="413">
        <f>_xll.qlOvernightIndexedSwapFairRate(C3,_xll.ohTrigger(InterestRatesTrigger))</f>
        <v>5.3562628876782283E-3</v>
      </c>
      <c r="G3" s="414">
        <f>_xll.qlInterpolationInterpolate(BasisInterpolator,D3,TRUE,F3)</f>
        <v>4.7853485901583632E-3</v>
      </c>
      <c r="H3" s="413">
        <f t="shared" si="0"/>
        <v>1.0141611477836592E-2</v>
      </c>
      <c r="AA3" s="57"/>
      <c r="AB3" s="57"/>
      <c r="AC3" s="154"/>
    </row>
    <row r="4" spans="1:29" x14ac:dyDescent="0.2">
      <c r="A4" s="411">
        <v>2</v>
      </c>
      <c r="B4" s="412">
        <f>_xll.qlInterestRateIndexFixingDate(IborIndex1Y,D4)</f>
        <v>42185</v>
      </c>
      <c r="C4" s="411" t="str">
        <f>_xll.qlMakeDatedOIS(,D4,E4,OvernightIndex,0,DayCounter,0)</f>
        <v>obj_00466#0000</v>
      </c>
      <c r="D4" s="412">
        <f>_xll.qlCalendarAdvance(Calendar,SettlementDate,A4&amp;"M","mf")</f>
        <v>42185</v>
      </c>
      <c r="E4" s="412">
        <f>_xll.qlInterestRateIndexMaturity(IborIndex1Y,D4)</f>
        <v>42551</v>
      </c>
      <c r="F4" s="413">
        <f>_xll.qlOvernightIndexedSwapFairRate(C4,_xll.ohTrigger(InterestRatesTrigger))</f>
        <v>5.5916015821823135E-3</v>
      </c>
      <c r="G4" s="414">
        <f>_xll.qlInterpolationInterpolate(BasisInterpolator,D4,TRUE,F4)</f>
        <v>4.8381464590248049E-3</v>
      </c>
      <c r="H4" s="413">
        <f t="shared" si="0"/>
        <v>1.0429748041207118E-2</v>
      </c>
      <c r="AA4" s="57"/>
      <c r="AB4" s="57"/>
      <c r="AC4" s="154"/>
    </row>
    <row r="5" spans="1:29" x14ac:dyDescent="0.2">
      <c r="A5" s="411">
        <v>3</v>
      </c>
      <c r="B5" s="412">
        <f>_xll.qlInterestRateIndexFixingDate(IborIndex1Y,D5)</f>
        <v>42215</v>
      </c>
      <c r="C5" s="411" t="str">
        <f>_xll.qlMakeDatedOIS(,D5,E5,OvernightIndex,0,DayCounter,0)</f>
        <v>obj_0046f#0000</v>
      </c>
      <c r="D5" s="412">
        <f>_xll.qlCalendarAdvance(Calendar,SettlementDate,A5&amp;"M","mf")</f>
        <v>42215</v>
      </c>
      <c r="E5" s="412">
        <f>_xll.qlInterestRateIndexMaturity(IborIndex1Y,D5)</f>
        <v>42580</v>
      </c>
      <c r="F5" s="413">
        <f>_xll.qlOvernightIndexedSwapFairRate(C5,_xll.ohTrigger(InterestRatesTrigger))</f>
        <v>5.8539657641123455E-3</v>
      </c>
      <c r="G5" s="414">
        <f>_xll.qlInterpolationInterpolate(BasisInterpolator,D5,TRUE,F5)</f>
        <v>4.8863746189440763E-3</v>
      </c>
      <c r="H5" s="413">
        <f t="shared" si="0"/>
        <v>1.0740340383056421E-2</v>
      </c>
      <c r="AA5" s="57"/>
      <c r="AB5" s="57"/>
      <c r="AC5" s="154"/>
    </row>
    <row r="6" spans="1:29" x14ac:dyDescent="0.2">
      <c r="A6" s="411">
        <v>4</v>
      </c>
      <c r="B6" s="412">
        <f>_xll.qlInterestRateIndexFixingDate(IborIndex1Y,D6)</f>
        <v>42244</v>
      </c>
      <c r="C6" s="411" t="str">
        <f>_xll.qlMakeDatedOIS(,D6,E6,OvernightIndex,0,DayCounter,0)</f>
        <v>obj_00456#0000</v>
      </c>
      <c r="D6" s="412">
        <f>_xll.qlCalendarAdvance(Calendar,SettlementDate,A6&amp;"M","mf")</f>
        <v>42244</v>
      </c>
      <c r="E6" s="412">
        <f>_xll.qlInterestRateIndexMaturity(IborIndex1Y,D6)</f>
        <v>42613</v>
      </c>
      <c r="F6" s="413">
        <f>_xll.qlOvernightIndexedSwapFairRate(C6,_xll.ohTrigger(InterestRatesTrigger))</f>
        <v>6.1680399174041788E-3</v>
      </c>
      <c r="G6" s="414">
        <f>_xll.qlInterpolationInterpolate(BasisInterpolator,D6,TRUE,F6)</f>
        <v>4.9312397693426525E-3</v>
      </c>
      <c r="H6" s="413">
        <f t="shared" si="0"/>
        <v>1.1099279686746831E-2</v>
      </c>
      <c r="AA6" s="57"/>
      <c r="AB6" s="57"/>
      <c r="AC6" s="154"/>
    </row>
    <row r="7" spans="1:29" x14ac:dyDescent="0.2">
      <c r="A7" s="411">
        <v>5</v>
      </c>
      <c r="B7" s="412">
        <f>_xll.qlInterestRateIndexFixingDate(IborIndex1Y,D7)</f>
        <v>42277</v>
      </c>
      <c r="C7" s="411" t="str">
        <f>_xll.qlMakeDatedOIS(,D7,E7,OvernightIndex,0,DayCounter,0)</f>
        <v>obj_00451#0000</v>
      </c>
      <c r="D7" s="412">
        <f>_xll.qlCalendarAdvance(Calendar,SettlementDate,A7&amp;"M","mf")</f>
        <v>42277</v>
      </c>
      <c r="E7" s="412">
        <f>_xll.qlInterestRateIndexMaturity(IborIndex1Y,D7)</f>
        <v>42643</v>
      </c>
      <c r="F7" s="413">
        <f>_xll.qlOvernightIndexedSwapFairRate(C7,_xll.ohTrigger(InterestRatesTrigger))</f>
        <v>6.5115243093705893E-3</v>
      </c>
      <c r="G7" s="414">
        <f>_xll.qlInterpolationInterpolate(BasisInterpolator,D7,TRUE,F7)</f>
        <v>4.9794841290879055E-3</v>
      </c>
      <c r="H7" s="413">
        <f t="shared" si="0"/>
        <v>1.1491008438458496E-2</v>
      </c>
      <c r="AA7" s="57"/>
      <c r="AB7" s="57"/>
      <c r="AC7" s="154"/>
    </row>
    <row r="8" spans="1:29" x14ac:dyDescent="0.2">
      <c r="A8" s="411">
        <v>6</v>
      </c>
      <c r="B8" s="412">
        <f>_xll.qlInterestRateIndexFixingDate(IborIndex1Y,D8)</f>
        <v>42307</v>
      </c>
      <c r="C8" s="411" t="str">
        <f>_xll.qlMakeDatedOIS(,D8,E8,OvernightIndex,0,DayCounter,0)</f>
        <v>obj_00458#0000</v>
      </c>
      <c r="D8" s="412">
        <f>_xll.qlCalendarAdvance(Calendar,SettlementDate,A8&amp;"M","mf")</f>
        <v>42307</v>
      </c>
      <c r="E8" s="412">
        <f>_xll.qlInterestRateIndexMaturity(IborIndex1Y,D8)</f>
        <v>42674</v>
      </c>
      <c r="F8" s="413">
        <f>_xll.qlOvernightIndexedSwapFairRate(C8,_xll.ohTrigger(InterestRatesTrigger))</f>
        <v>6.8719526003817952E-3</v>
      </c>
      <c r="G8" s="414">
        <f>_xll.qlInterpolationInterpolate(BasisInterpolator,D8,TRUE,F8)</f>
        <v>5.020091878271178E-3</v>
      </c>
      <c r="H8" s="413">
        <f t="shared" si="0"/>
        <v>1.1892044478652972E-2</v>
      </c>
      <c r="AA8" s="57"/>
      <c r="AB8" s="57"/>
      <c r="AC8" s="154"/>
    </row>
    <row r="9" spans="1:29" x14ac:dyDescent="0.2">
      <c r="A9" s="411">
        <v>7</v>
      </c>
      <c r="B9" s="412">
        <f>_xll.qlInterestRateIndexFixingDate(IborIndex1Y,D9)</f>
        <v>42338</v>
      </c>
      <c r="C9" s="411" t="str">
        <f>_xll.qlMakeDatedOIS(,D9,E9,OvernightIndex,0,DayCounter,0)</f>
        <v>obj_00453#0000</v>
      </c>
      <c r="D9" s="412">
        <f>_xll.qlCalendarAdvance(Calendar,SettlementDate,A9&amp;"M","mf")</f>
        <v>42338</v>
      </c>
      <c r="E9" s="412">
        <f>_xll.qlInterestRateIndexMaturity(IborIndex1Y,D9)</f>
        <v>42704</v>
      </c>
      <c r="F9" s="413">
        <f>_xll.qlOvernightIndexedSwapFairRate(C9,_xll.ohTrigger(InterestRatesTrigger))</f>
        <v>7.2308880765343201E-3</v>
      </c>
      <c r="G9" s="414">
        <f>_xll.qlInterpolationInterpolate(BasisInterpolator,D9,TRUE,F9)</f>
        <v>5.0581302721419367E-3</v>
      </c>
      <c r="H9" s="413">
        <f t="shared" si="0"/>
        <v>1.2289018348676257E-2</v>
      </c>
      <c r="I9" s="154"/>
      <c r="AA9" s="57"/>
      <c r="AB9" s="57"/>
      <c r="AC9" s="154"/>
    </row>
    <row r="10" spans="1:29" x14ac:dyDescent="0.2">
      <c r="A10" s="411">
        <v>8</v>
      </c>
      <c r="B10" s="412">
        <f>_xll.qlInterestRateIndexFixingDate(IborIndex1Y,D10)</f>
        <v>42368</v>
      </c>
      <c r="C10" s="411" t="str">
        <f>_xll.qlMakeDatedOIS(,D10,E10,OvernightIndex,0,DayCounter,0)</f>
        <v>obj_00441#0000</v>
      </c>
      <c r="D10" s="412">
        <f>_xll.qlCalendarAdvance(Calendar,SettlementDate,A10&amp;"M","mf")</f>
        <v>42368</v>
      </c>
      <c r="E10" s="412">
        <f>_xll.qlInterestRateIndexMaturity(IborIndex1Y,D10)</f>
        <v>42734</v>
      </c>
      <c r="F10" s="413">
        <f>_xll.qlOvernightIndexedSwapFairRate(C10,_xll.ohTrigger(InterestRatesTrigger))</f>
        <v>7.6026640218749032E-3</v>
      </c>
      <c r="G10" s="414">
        <f>_xll.qlInterpolationInterpolate(BasisInterpolator,D10,TRUE,F10)</f>
        <v>5.0905170890909925E-3</v>
      </c>
      <c r="H10" s="413">
        <f t="shared" si="0"/>
        <v>1.2693181110965896E-2</v>
      </c>
      <c r="I10" s="154"/>
      <c r="AA10" s="57"/>
      <c r="AB10" s="57"/>
      <c r="AC10" s="154"/>
    </row>
    <row r="11" spans="1:29" x14ac:dyDescent="0.2">
      <c r="A11" s="411">
        <v>9</v>
      </c>
      <c r="B11" s="412">
        <f>_xll.qlInterestRateIndexFixingDate(IborIndex1Y,D11)</f>
        <v>42398</v>
      </c>
      <c r="C11" s="411" t="str">
        <f>_xll.qlMakeDatedOIS(,D11,E11,OvernightIndex,0,DayCounter,0)</f>
        <v>obj_0046d#0000</v>
      </c>
      <c r="D11" s="412">
        <f>_xll.qlCalendarAdvance(Calendar,SettlementDate,A11&amp;"M","mf")</f>
        <v>42398</v>
      </c>
      <c r="E11" s="412">
        <f>_xll.qlInterestRateIndexMaturity(IborIndex1Y,D11)</f>
        <v>42766</v>
      </c>
      <c r="F11" s="413">
        <f>_xll.qlOvernightIndexedSwapFairRate(C11,_xll.ohTrigger(InterestRatesTrigger))</f>
        <v>8.000248461275429E-3</v>
      </c>
      <c r="G11" s="414">
        <f>_xll.qlInterpolationInterpolate(BasisInterpolator,D11,TRUE,F11)</f>
        <v>5.1179340729513544E-3</v>
      </c>
      <c r="H11" s="413">
        <f t="shared" si="0"/>
        <v>1.3118182534226783E-2</v>
      </c>
      <c r="I11" s="154"/>
      <c r="AA11" s="57"/>
      <c r="AB11" s="57"/>
      <c r="AC11" s="154"/>
    </row>
    <row r="12" spans="1:29" x14ac:dyDescent="0.2">
      <c r="A12" s="411">
        <v>10</v>
      </c>
      <c r="B12" s="412">
        <f>_xll.qlInterestRateIndexFixingDate(IborIndex1Y,D12)</f>
        <v>42429</v>
      </c>
      <c r="C12" s="411" t="str">
        <f>_xll.qlMakeDatedOIS(,D12,E12,OvernightIndex,0,DayCounter,0)</f>
        <v>obj_0045c#0000</v>
      </c>
      <c r="D12" s="412">
        <f>_xll.qlCalendarAdvance(Calendar,SettlementDate,A12&amp;"M","mf")</f>
        <v>42429</v>
      </c>
      <c r="E12" s="412">
        <f>_xll.qlInterestRateIndexMaturity(IborIndex1Y,D12)</f>
        <v>42794</v>
      </c>
      <c r="F12" s="413">
        <f>_xll.qlOvernightIndexedSwapFairRate(C12,_xll.ohTrigger(InterestRatesTrigger))</f>
        <v>8.3565331790822484E-3</v>
      </c>
      <c r="G12" s="414">
        <f>_xll.qlInterpolationInterpolate(BasisInterpolator,D12,TRUE,F12)</f>
        <v>5.1403948011074369E-3</v>
      </c>
      <c r="H12" s="413">
        <f t="shared" si="0"/>
        <v>1.3496927980189685E-2</v>
      </c>
      <c r="I12" s="154"/>
      <c r="AA12" s="57"/>
      <c r="AB12" s="57"/>
      <c r="AC12" s="154"/>
    </row>
    <row r="13" spans="1:29" x14ac:dyDescent="0.2">
      <c r="A13" s="415">
        <v>11</v>
      </c>
      <c r="B13" s="416">
        <f>_xll.qlInterestRateIndexFixingDate(IborIndex1Y,D13)</f>
        <v>42459</v>
      </c>
      <c r="C13" s="415" t="str">
        <f>_xll.qlMakeDatedOIS(,D13,E13,OvernightIndex,0,DayCounter,0)</f>
        <v>obj_0044c#0000</v>
      </c>
      <c r="D13" s="416">
        <f>_xll.qlCalendarAdvance(Calendar,SettlementDate,A13&amp;"M","mf")</f>
        <v>42459</v>
      </c>
      <c r="E13" s="416">
        <f>_xll.qlInterestRateIndexMaturity(IborIndex1Y,D13)</f>
        <v>42824</v>
      </c>
      <c r="F13" s="417">
        <f>_xll.qlOvernightIndexedSwapFairRate(C13,_xll.ohTrigger(InterestRatesTrigger))</f>
        <v>8.7142994710696087E-3</v>
      </c>
      <c r="G13" s="418">
        <f>_xll.qlInterpolationInterpolate(BasisInterpolator,D13,TRUE,F13)</f>
        <v>5.1558220626413218E-3</v>
      </c>
      <c r="H13" s="417">
        <f t="shared" si="0"/>
        <v>1.387012153371093E-2</v>
      </c>
      <c r="I13" s="154"/>
      <c r="AA13" s="57"/>
      <c r="AB13" s="57"/>
      <c r="AC13" s="154"/>
    </row>
    <row r="14" spans="1:29" x14ac:dyDescent="0.2">
      <c r="A14" s="407">
        <v>12</v>
      </c>
      <c r="B14" s="408">
        <f>_xll.qlInterestRateIndexFixingDate(IborIndex1Y,D14)</f>
        <v>42489</v>
      </c>
      <c r="C14" s="407" t="str">
        <f>_xll.qlMakeDatedOIS(,D14,E14,OvernightIndex,0,DayCounter,0)</f>
        <v>obj_0044f#0000</v>
      </c>
      <c r="D14" s="408">
        <f>_xll.qlCalendarAdvance(Calendar,SettlementDate,A14&amp;"M","mf")</f>
        <v>42489</v>
      </c>
      <c r="E14" s="408">
        <f>_xll.qlInterestRateIndexMaturity(IborIndex1Y,D14)</f>
        <v>42853</v>
      </c>
      <c r="F14" s="409">
        <f>_xll.qlOvernightIndexedSwapFairRate(C14,_xll.ohTrigger(InterestRatesTrigger))</f>
        <v>9.0855740121813609E-3</v>
      </c>
      <c r="G14" s="410">
        <f>_xll.qlInterpolationInterpolate(BasisInterpolator,D14,TRUE,F14)</f>
        <v>5.1644259877624485E-3</v>
      </c>
      <c r="H14" s="409">
        <f t="shared" si="0"/>
        <v>1.4249999999943809E-2</v>
      </c>
      <c r="I14" s="154"/>
      <c r="AA14" s="57"/>
      <c r="AB14" s="57"/>
      <c r="AC14" s="154"/>
    </row>
    <row r="15" spans="1:29" x14ac:dyDescent="0.2">
      <c r="A15" s="411">
        <v>13</v>
      </c>
      <c r="B15" s="412">
        <f>_xll.qlInterestRateIndexFixingDate(IborIndex1Y,D15)</f>
        <v>42521</v>
      </c>
      <c r="C15" s="411" t="str">
        <f>_xll.qlMakeDatedOIS(,D15,E15,OvernightIndex,0,DayCounter,0)</f>
        <v>obj_00467#0000</v>
      </c>
      <c r="D15" s="412">
        <f>_xll.qlCalendarAdvance(Calendar,SettlementDate,A15&amp;"M","mf")</f>
        <v>42521</v>
      </c>
      <c r="E15" s="412">
        <f>_xll.qlInterestRateIndexMaturity(IborIndex1Y,D15)</f>
        <v>42886</v>
      </c>
      <c r="F15" s="413">
        <f>_xll.qlOvernightIndexedSwapFairRate(C15,_xll.ohTrigger(InterestRatesTrigger))</f>
        <v>9.483813524566953E-3</v>
      </c>
      <c r="G15" s="414">
        <f>_xll.qlInterpolationInterpolate(BasisInterpolator,D15,TRUE,F15)</f>
        <v>5.1657020529449101E-3</v>
      </c>
      <c r="H15" s="413">
        <f t="shared" si="0"/>
        <v>1.4649515577511863E-2</v>
      </c>
      <c r="I15" s="154"/>
      <c r="AA15" s="57"/>
      <c r="AB15" s="57"/>
      <c r="AC15" s="154"/>
    </row>
    <row r="16" spans="1:29" x14ac:dyDescent="0.2">
      <c r="A16" s="411">
        <v>14</v>
      </c>
      <c r="B16" s="412">
        <f>_xll.qlInterestRateIndexFixingDate(IborIndex1Y,D16)</f>
        <v>42551</v>
      </c>
      <c r="C16" s="411" t="str">
        <f>_xll.qlMakeDatedOIS(,D16,E16,OvernightIndex,0,DayCounter,0)</f>
        <v>obj_00444#0000</v>
      </c>
      <c r="D16" s="412">
        <f>_xll.qlCalendarAdvance(Calendar,SettlementDate,A16&amp;"M","mf")</f>
        <v>42551</v>
      </c>
      <c r="E16" s="412">
        <f>_xll.qlInterestRateIndexMaturity(IborIndex1Y,D16)</f>
        <v>42916</v>
      </c>
      <c r="F16" s="413">
        <f>_xll.qlOvernightIndexedSwapFairRate(C16,_xll.ohTrigger(InterestRatesTrigger))</f>
        <v>9.8351986707898575E-3</v>
      </c>
      <c r="G16" s="414">
        <f>_xll.qlInterpolationInterpolate(BasisInterpolator,D16,TRUE,F16)</f>
        <v>5.1601992995505778E-3</v>
      </c>
      <c r="H16" s="413">
        <f t="shared" si="0"/>
        <v>1.4995397970340435E-2</v>
      </c>
      <c r="I16" s="154"/>
      <c r="AA16" s="57"/>
      <c r="AB16" s="57"/>
      <c r="AC16" s="154"/>
    </row>
    <row r="17" spans="1:29" x14ac:dyDescent="0.2">
      <c r="A17" s="411">
        <v>15</v>
      </c>
      <c r="B17" s="412">
        <f>_xll.qlInterestRateIndexFixingDate(IborIndex1Y,D17)</f>
        <v>42580</v>
      </c>
      <c r="C17" s="411" t="str">
        <f>_xll.qlMakeDatedOIS(,D17,E17,OvernightIndex,0,DayCounter,0)</f>
        <v>obj_0044b#0000</v>
      </c>
      <c r="D17" s="412">
        <f>_xll.qlCalendarAdvance(Calendar,SettlementDate,A17&amp;"M","mf")</f>
        <v>42580</v>
      </c>
      <c r="E17" s="412">
        <f>_xll.qlInterestRateIndexMaturity(IborIndex1Y,D17)</f>
        <v>42947</v>
      </c>
      <c r="F17" s="413">
        <f>_xll.qlOvernightIndexedSwapFairRate(C17,_xll.ohTrigger(InterestRatesTrigger))</f>
        <v>1.0172234379553531E-2</v>
      </c>
      <c r="G17" s="414">
        <f>_xll.qlInterpolationInterpolate(BasisInterpolator,D17,TRUE,F17)</f>
        <v>5.1495930628595249E-3</v>
      </c>
      <c r="H17" s="413">
        <f t="shared" si="0"/>
        <v>1.5321827442413057E-2</v>
      </c>
      <c r="I17" s="154"/>
      <c r="AA17" s="57"/>
      <c r="AB17" s="57"/>
      <c r="AC17" s="154"/>
    </row>
    <row r="18" spans="1:29" x14ac:dyDescent="0.2">
      <c r="A18" s="411">
        <v>16</v>
      </c>
      <c r="B18" s="412">
        <f>_xll.qlInterestRateIndexFixingDate(IborIndex1Y,D18)</f>
        <v>42612</v>
      </c>
      <c r="C18" s="411" t="str">
        <f>_xll.qlMakeDatedOIS(,D18,E18,OvernightIndex,0,DayCounter,0)</f>
        <v>obj_00457#0000</v>
      </c>
      <c r="D18" s="412">
        <f>_xll.qlCalendarAdvance(Calendar,SettlementDate,A18&amp;"M","mf")</f>
        <v>42612</v>
      </c>
      <c r="E18" s="412">
        <f>_xll.qlInterestRateIndexMaturity(IborIndex1Y,D18)</f>
        <v>42977</v>
      </c>
      <c r="F18" s="413">
        <f>_xll.qlOvernightIndexedSwapFairRate(C18,_xll.ohTrigger(InterestRatesTrigger))</f>
        <v>1.0509438671780114E-2</v>
      </c>
      <c r="G18" s="414">
        <f>_xll.qlInterpolationInterpolate(BasisInterpolator,D18,TRUE,F18)</f>
        <v>5.1328568715145965E-3</v>
      </c>
      <c r="H18" s="413">
        <f t="shared" si="0"/>
        <v>1.5642295543294708E-2</v>
      </c>
      <c r="I18" s="154"/>
      <c r="AA18" s="57"/>
      <c r="AB18" s="57"/>
      <c r="AC18" s="154"/>
    </row>
    <row r="19" spans="1:29" x14ac:dyDescent="0.2">
      <c r="A19" s="411">
        <v>17</v>
      </c>
      <c r="B19" s="412">
        <f>_xll.qlInterestRateIndexFixingDate(IborIndex1Y,D19)</f>
        <v>42643</v>
      </c>
      <c r="C19" s="411" t="str">
        <f>_xll.qlMakeDatedOIS(,D19,E19,OvernightIndex,0,DayCounter,0)</f>
        <v>obj_00446#0000</v>
      </c>
      <c r="D19" s="412">
        <f>_xll.qlCalendarAdvance(Calendar,SettlementDate,A19&amp;"M","mf")</f>
        <v>42643</v>
      </c>
      <c r="E19" s="412">
        <f>_xll.qlInterestRateIndexMaturity(IborIndex1Y,D19)</f>
        <v>43007</v>
      </c>
      <c r="F19" s="413">
        <f>_xll.qlOvernightIndexedSwapFairRate(C19,_xll.ohTrigger(InterestRatesTrigger))</f>
        <v>1.0829460906745738E-2</v>
      </c>
      <c r="G19" s="414">
        <f>_xll.qlInterpolationInterpolate(BasisInterpolator,D19,TRUE,F19)</f>
        <v>5.1126186727631145E-3</v>
      </c>
      <c r="H19" s="413">
        <f t="shared" si="0"/>
        <v>1.5942079579508852E-2</v>
      </c>
      <c r="I19" s="154"/>
      <c r="AA19" s="57"/>
      <c r="AB19" s="57"/>
      <c r="AC19" s="154"/>
    </row>
    <row r="20" spans="1:29" x14ac:dyDescent="0.2">
      <c r="A20" s="411">
        <v>18</v>
      </c>
      <c r="B20" s="412">
        <f>_xll.qlInterestRateIndexFixingDate(IborIndex1Y,D20)</f>
        <v>42674</v>
      </c>
      <c r="C20" s="411" t="str">
        <f>_xll.qlMakeDatedOIS(,D20,E20,OvernightIndex,0,DayCounter,0)</f>
        <v>obj_0046a#0000</v>
      </c>
      <c r="D20" s="412">
        <f>_xll.qlCalendarAdvance(Calendar,SettlementDate,A20&amp;"M","mf")</f>
        <v>42674</v>
      </c>
      <c r="E20" s="412">
        <f>_xll.qlInterestRateIndexMaturity(IborIndex1Y,D20)</f>
        <v>43039</v>
      </c>
      <c r="F20" s="413">
        <f>_xll.qlOvernightIndexedSwapFairRate(C20,_xll.ohTrigger(InterestRatesTrigger))</f>
        <v>1.1148470529860566E-2</v>
      </c>
      <c r="G20" s="414">
        <f>_xll.qlInterpolationInterpolate(BasisInterpolator,D20,TRUE,F20)</f>
        <v>5.0894352503934037E-3</v>
      </c>
      <c r="H20" s="413">
        <f t="shared" si="0"/>
        <v>1.6237905780253969E-2</v>
      </c>
      <c r="I20" s="154"/>
      <c r="AA20" s="57"/>
      <c r="AB20" s="57"/>
      <c r="AC20" s="154"/>
    </row>
    <row r="21" spans="1:29" x14ac:dyDescent="0.2">
      <c r="A21" s="411">
        <v>19</v>
      </c>
      <c r="B21" s="412">
        <f>_xll.qlInterestRateIndexFixingDate(IborIndex1Y,D21)</f>
        <v>42704</v>
      </c>
      <c r="C21" s="411" t="str">
        <f>_xll.qlMakeDatedOIS(,D21,E21,OvernightIndex,0,DayCounter,0)</f>
        <v>obj_0046c#0000</v>
      </c>
      <c r="D21" s="412">
        <f>_xll.qlCalendarAdvance(Calendar,SettlementDate,A21&amp;"M","mf")</f>
        <v>42704</v>
      </c>
      <c r="E21" s="412">
        <f>_xll.qlInterestRateIndexMaturity(IborIndex1Y,D21)</f>
        <v>43069</v>
      </c>
      <c r="F21" s="413">
        <f>_xll.qlOvernightIndexedSwapFairRate(C21,_xll.ohTrigger(InterestRatesTrigger))</f>
        <v>1.1442840165865276E-2</v>
      </c>
      <c r="G21" s="414">
        <f>_xll.qlInterpolationInterpolate(BasisInterpolator,D21,TRUE,F21)</f>
        <v>5.0651421276615514E-3</v>
      </c>
      <c r="H21" s="413">
        <f t="shared" si="0"/>
        <v>1.6507982293526825E-2</v>
      </c>
      <c r="I21" s="154"/>
      <c r="AA21" s="57"/>
      <c r="AB21" s="57"/>
      <c r="AC21" s="154"/>
    </row>
    <row r="22" spans="1:29" x14ac:dyDescent="0.2">
      <c r="A22" s="411">
        <v>20</v>
      </c>
      <c r="B22" s="412">
        <f>_xll.qlInterestRateIndexFixingDate(IborIndex1Y,D22)</f>
        <v>42734</v>
      </c>
      <c r="C22" s="411" t="str">
        <f>_xll.qlMakeDatedOIS(,D22,E22,OvernightIndex,0,DayCounter,0)</f>
        <v>obj_00449#0000</v>
      </c>
      <c r="D22" s="412">
        <f>_xll.qlCalendarAdvance(Calendar,SettlementDate,A22&amp;"M","mf")</f>
        <v>42734</v>
      </c>
      <c r="E22" s="412">
        <f>_xll.qlInterestRateIndexMaturity(IborIndex1Y,D22)</f>
        <v>43098</v>
      </c>
      <c r="F22" s="413">
        <f>_xll.qlOvernightIndexedSwapFairRate(C22,_xll.ohTrigger(InterestRatesTrigger))</f>
        <v>1.1724227622774242E-2</v>
      </c>
      <c r="G22" s="414">
        <f>_xll.qlInterpolationInterpolate(BasisInterpolator,D22,TRUE,F22)</f>
        <v>5.0399429553987154E-3</v>
      </c>
      <c r="H22" s="413">
        <f t="shared" si="0"/>
        <v>1.6764170578172956E-2</v>
      </c>
      <c r="I22" s="154"/>
      <c r="AA22" s="57"/>
      <c r="AB22" s="57"/>
      <c r="AC22" s="154"/>
    </row>
    <row r="23" spans="1:29" x14ac:dyDescent="0.2">
      <c r="A23" s="411">
        <v>21</v>
      </c>
      <c r="B23" s="412">
        <f>_xll.qlInterestRateIndexFixingDate(IborIndex1Y,D23)</f>
        <v>42765</v>
      </c>
      <c r="C23" s="411" t="str">
        <f>_xll.qlMakeDatedOIS(,D23,E23,OvernightIndex,0,DayCounter,0)</f>
        <v>obj_00442#0000</v>
      </c>
      <c r="D23" s="412">
        <f>_xll.qlCalendarAdvance(Calendar,SettlementDate,A23&amp;"M","mf")</f>
        <v>42765</v>
      </c>
      <c r="E23" s="412">
        <f>_xll.qlInterestRateIndexMaturity(IborIndex1Y,D23)</f>
        <v>43130</v>
      </c>
      <c r="F23" s="413">
        <f>_xll.qlOvernightIndexedSwapFairRate(C23,_xll.ohTrigger(InterestRatesTrigger))</f>
        <v>1.2017104973348403E-2</v>
      </c>
      <c r="G23" s="414">
        <f>_xll.qlInterpolationInterpolate(BasisInterpolator,D23,TRUE,F23)</f>
        <v>5.0139195711102228E-3</v>
      </c>
      <c r="H23" s="413">
        <f t="shared" si="0"/>
        <v>1.7031024544458626E-2</v>
      </c>
      <c r="I23" s="154"/>
      <c r="AA23" s="57"/>
      <c r="AB23" s="57"/>
      <c r="AC23" s="154"/>
    </row>
    <row r="24" spans="1:29" x14ac:dyDescent="0.2">
      <c r="A24" s="411">
        <v>22</v>
      </c>
      <c r="B24" s="412">
        <f>_xll.qlInterestRateIndexFixingDate(IborIndex1Y,D24)</f>
        <v>42794</v>
      </c>
      <c r="C24" s="411" t="str">
        <f>_xll.qlMakeDatedOIS(,D24,E24,OvernightIndex,0,DayCounter,0)</f>
        <v>obj_0046e#0000</v>
      </c>
      <c r="D24" s="412">
        <f>_xll.qlCalendarAdvance(Calendar,SettlementDate,A24&amp;"M","mf")</f>
        <v>42794</v>
      </c>
      <c r="E24" s="412">
        <f>_xll.qlInterestRateIndexMaturity(IborIndex1Y,D24)</f>
        <v>43159</v>
      </c>
      <c r="F24" s="413">
        <f>_xll.qlOvernightIndexedSwapFairRate(C24,_xll.ohTrigger(InterestRatesTrigger))</f>
        <v>1.2281038231112262E-2</v>
      </c>
      <c r="G24" s="414">
        <f>_xll.qlInterpolationInterpolate(BasisInterpolator,D24,TRUE,F24)</f>
        <v>4.9904701824291155E-3</v>
      </c>
      <c r="H24" s="413">
        <f t="shared" si="0"/>
        <v>1.727150841354138E-2</v>
      </c>
      <c r="I24" s="154"/>
      <c r="AA24" s="57"/>
      <c r="AB24" s="57"/>
      <c r="AC24" s="154"/>
    </row>
    <row r="25" spans="1:29" x14ac:dyDescent="0.2">
      <c r="A25" s="415">
        <v>23</v>
      </c>
      <c r="B25" s="416">
        <f>_xll.qlInterestRateIndexFixingDate(IborIndex1Y,D25)</f>
        <v>42824</v>
      </c>
      <c r="C25" s="415" t="str">
        <f>_xll.qlMakeDatedOIS(,D25,E25,OvernightIndex,0,DayCounter,0)</f>
        <v>obj_00448#0000</v>
      </c>
      <c r="D25" s="416">
        <f>_xll.qlCalendarAdvance(Calendar,SettlementDate,A25&amp;"M","mf")</f>
        <v>42824</v>
      </c>
      <c r="E25" s="416">
        <f>_xll.qlInterestRateIndexMaturity(IborIndex1Y,D25)</f>
        <v>43188</v>
      </c>
      <c r="F25" s="417">
        <f>_xll.qlOvernightIndexedSwapFairRate(C25,_xll.ohTrigger(InterestRatesTrigger))</f>
        <v>1.2544936997536168E-2</v>
      </c>
      <c r="G25" s="418">
        <f>_xll.qlInterpolationInterpolate(BasisInterpolator,D25,TRUE,F25)</f>
        <v>4.9680184417968624E-3</v>
      </c>
      <c r="H25" s="417">
        <f t="shared" si="0"/>
        <v>1.7512955439333032E-2</v>
      </c>
      <c r="I25" s="154"/>
      <c r="AA25" s="57"/>
      <c r="AB25" s="57"/>
      <c r="AC25" s="154"/>
    </row>
    <row r="26" spans="1:29" x14ac:dyDescent="0.2">
      <c r="A26" s="407">
        <v>24</v>
      </c>
      <c r="B26" s="408">
        <f>_xll.qlInterestRateIndexFixingDate(IborIndex1Y,D26)</f>
        <v>42853</v>
      </c>
      <c r="C26" s="407" t="str">
        <f>_xll.qlMakeDatedOIS(,D26,E26,OvernightIndex,0,DayCounter,0)</f>
        <v>obj_0045f#0000</v>
      </c>
      <c r="D26" s="408">
        <f>_xll.qlCalendarAdvance(Calendar,SettlementDate,A26&amp;"M","mf")</f>
        <v>42853</v>
      </c>
      <c r="E26" s="408">
        <f>_xll.qlInterestRateIndexMaturity(IborIndex1Y,D26)</f>
        <v>43220</v>
      </c>
      <c r="F26" s="409">
        <f>_xll.qlOvernightIndexedSwapFairRate(C26,_xll.ohTrigger(InterestRatesTrigger))</f>
        <v>1.2814822425155432E-2</v>
      </c>
      <c r="G26" s="410">
        <f>_xll.qlInterpolationInterpolate(BasisInterpolator,D26,TRUE,F26)</f>
        <v>4.9489077795386339E-3</v>
      </c>
      <c r="H26" s="409">
        <f t="shared" si="0"/>
        <v>1.7763730204694066E-2</v>
      </c>
      <c r="I26" s="154"/>
      <c r="AA26" s="57"/>
      <c r="AB26" s="57"/>
      <c r="AC26" s="154"/>
    </row>
    <row r="27" spans="1:29" x14ac:dyDescent="0.2">
      <c r="A27" s="411">
        <v>25</v>
      </c>
      <c r="B27" s="412">
        <f>_xll.qlInterestRateIndexFixingDate(IborIndex1Y,D27)</f>
        <v>42885</v>
      </c>
      <c r="C27" s="411" t="str">
        <f>_xll.qlMakeDatedOIS(,D27,E27,OvernightIndex,0,DayCounter,0)</f>
        <v>obj_00447#0000</v>
      </c>
      <c r="D27" s="412">
        <f>_xll.qlCalendarAdvance(Calendar,SettlementDate,A27&amp;"M","mf")</f>
        <v>42885</v>
      </c>
      <c r="E27" s="412">
        <f>_xll.qlInterestRateIndexMaturity(IborIndex1Y,D27)</f>
        <v>43250</v>
      </c>
      <c r="F27" s="413">
        <f>_xll.qlOvernightIndexedSwapFairRate(C27,_xll.ohTrigger(InterestRatesTrigger))</f>
        <v>1.3085754616222856E-2</v>
      </c>
      <c r="G27" s="414">
        <f>_xll.qlInterpolationInterpolate(BasisInterpolator,D27,TRUE,F27)</f>
        <v>4.9314728651219933E-3</v>
      </c>
      <c r="H27" s="413">
        <f t="shared" si="0"/>
        <v>1.801722748134485E-2</v>
      </c>
      <c r="I27" s="154"/>
      <c r="AA27" s="57"/>
      <c r="AB27" s="57"/>
      <c r="AC27" s="154"/>
    </row>
    <row r="28" spans="1:29" x14ac:dyDescent="0.2">
      <c r="A28" s="411">
        <v>26</v>
      </c>
      <c r="B28" s="412">
        <f>_xll.qlInterestRateIndexFixingDate(IborIndex1Y,D28)</f>
        <v>42916</v>
      </c>
      <c r="C28" s="411" t="str">
        <f>_xll.qlMakeDatedOIS(,D28,E28,OvernightIndex,0,DayCounter,0)</f>
        <v>obj_00468#0000</v>
      </c>
      <c r="D28" s="412">
        <f>_xll.qlCalendarAdvance(Calendar,SettlementDate,A28&amp;"M","mf")</f>
        <v>42916</v>
      </c>
      <c r="E28" s="412">
        <f>_xll.qlInterestRateIndexMaturity(IborIndex1Y,D28)</f>
        <v>43280</v>
      </c>
      <c r="F28" s="413">
        <f>_xll.qlOvernightIndexedSwapFairRate(C28,_xll.ohTrigger(InterestRatesTrigger))</f>
        <v>1.334966691378346E-2</v>
      </c>
      <c r="G28" s="414">
        <f>_xll.qlInterpolationInterpolate(BasisInterpolator,D28,TRUE,F28)</f>
        <v>4.9178306205296023E-3</v>
      </c>
      <c r="H28" s="413">
        <f t="shared" si="0"/>
        <v>1.8267497534313063E-2</v>
      </c>
      <c r="I28" s="154"/>
      <c r="AA28" s="57"/>
      <c r="AB28" s="57"/>
      <c r="AC28" s="154"/>
    </row>
    <row r="29" spans="1:29" x14ac:dyDescent="0.2">
      <c r="A29" s="411">
        <v>27</v>
      </c>
      <c r="B29" s="412">
        <f>_xll.qlInterestRateIndexFixingDate(IborIndex1Y,D29)</f>
        <v>42947</v>
      </c>
      <c r="C29" s="411" t="str">
        <f>_xll.qlMakeDatedOIS(,D29,E29,OvernightIndex,0,DayCounter,0)</f>
        <v>obj_0044a#0000</v>
      </c>
      <c r="D29" s="412">
        <f>_xll.qlCalendarAdvance(Calendar,SettlementDate,A29&amp;"M","mf")</f>
        <v>42947</v>
      </c>
      <c r="E29" s="412">
        <f>_xll.qlInterestRateIndexMaturity(IborIndex1Y,D29)</f>
        <v>43312</v>
      </c>
      <c r="F29" s="413">
        <f>_xll.qlOvernightIndexedSwapFairRate(C29,_xll.ohTrigger(InterestRatesTrigger))</f>
        <v>1.3619188425206374E-2</v>
      </c>
      <c r="G29" s="414">
        <f>_xll.qlInterpolationInterpolate(BasisInterpolator,D29,TRUE,F29)</f>
        <v>4.9067244785423736E-3</v>
      </c>
      <c r="H29" s="413">
        <f t="shared" si="0"/>
        <v>1.8525912903748748E-2</v>
      </c>
      <c r="I29" s="154"/>
      <c r="AA29" s="57"/>
      <c r="AB29" s="57"/>
      <c r="AC29" s="154"/>
    </row>
    <row r="30" spans="1:29" x14ac:dyDescent="0.2">
      <c r="A30" s="411">
        <v>28</v>
      </c>
      <c r="B30" s="412">
        <f>_xll.qlInterestRateIndexFixingDate(IborIndex1Y,D30)</f>
        <v>42977</v>
      </c>
      <c r="C30" s="411" t="str">
        <f>_xll.qlMakeDatedOIS(,D30,E30,OvernightIndex,0,DayCounter,0)</f>
        <v>obj_0045d#0000</v>
      </c>
      <c r="D30" s="412">
        <f>_xll.qlCalendarAdvance(Calendar,SettlementDate,A30&amp;"M","mf")</f>
        <v>42977</v>
      </c>
      <c r="E30" s="412">
        <f>_xll.qlInterestRateIndexMaturity(IborIndex1Y,D30)</f>
        <v>43342</v>
      </c>
      <c r="F30" s="413">
        <f>_xll.qlOvernightIndexedSwapFairRate(C30,_xll.ohTrigger(InterestRatesTrigger))</f>
        <v>1.3872137455923859E-2</v>
      </c>
      <c r="G30" s="414">
        <f>_xll.qlInterpolationInterpolate(BasisInterpolator,D30,TRUE,F30)</f>
        <v>4.8977761076479543E-3</v>
      </c>
      <c r="H30" s="413">
        <f t="shared" si="0"/>
        <v>1.8769913563571813E-2</v>
      </c>
      <c r="I30" s="154"/>
      <c r="AA30" s="57"/>
      <c r="AB30" s="57"/>
      <c r="AC30" s="154"/>
    </row>
    <row r="31" spans="1:29" x14ac:dyDescent="0.2">
      <c r="A31" s="411">
        <v>29</v>
      </c>
      <c r="B31" s="412">
        <f>_xll.qlInterestRateIndexFixingDate(IborIndex1Y,D31)</f>
        <v>43007</v>
      </c>
      <c r="C31" s="411" t="str">
        <f>_xll.qlMakeDatedOIS(,D31,E31,OvernightIndex,0,DayCounter,0)</f>
        <v>obj_00469#0000</v>
      </c>
      <c r="D31" s="412">
        <f>_xll.qlCalendarAdvance(Calendar,SettlementDate,A31&amp;"M","mf")</f>
        <v>43007</v>
      </c>
      <c r="E31" s="412">
        <f>_xll.qlInterestRateIndexMaturity(IborIndex1Y,D31)</f>
        <v>43371</v>
      </c>
      <c r="F31" s="413">
        <f>_xll.qlOvernightIndexedSwapFairRate(C31,_xll.ohTrigger(InterestRatesTrigger))</f>
        <v>1.4116920279908097E-2</v>
      </c>
      <c r="G31" s="414">
        <f>_xll.qlInterpolationInterpolate(BasisInterpolator,D31,TRUE,F31)</f>
        <v>4.88999920858974E-3</v>
      </c>
      <c r="H31" s="413">
        <f t="shared" si="0"/>
        <v>1.9006919488497837E-2</v>
      </c>
      <c r="I31" s="154"/>
      <c r="AA31" s="57"/>
      <c r="AB31" s="57"/>
      <c r="AC31" s="154"/>
    </row>
    <row r="32" spans="1:29" x14ac:dyDescent="0.2">
      <c r="A32" s="411">
        <v>30</v>
      </c>
      <c r="B32" s="412">
        <f>_xll.qlInterestRateIndexFixingDate(IborIndex1Y,D32)</f>
        <v>43038</v>
      </c>
      <c r="C32" s="411" t="str">
        <f>_xll.qlMakeDatedOIS(,D32,E32,OvernightIndex,0,DayCounter,0)</f>
        <v>obj_00461#0000</v>
      </c>
      <c r="D32" s="412">
        <f>_xll.qlCalendarAdvance(Calendar,SettlementDate,A32&amp;"M","mf")</f>
        <v>43038</v>
      </c>
      <c r="E32" s="412">
        <f>_xll.qlInterestRateIndexMaturity(IborIndex1Y,D32)</f>
        <v>43403</v>
      </c>
      <c r="F32" s="413">
        <f>_xll.qlOvernightIndexedSwapFairRate(C32,_xll.ohTrigger(InterestRatesTrigger))</f>
        <v>1.437394808919934E-2</v>
      </c>
      <c r="G32" s="414">
        <f>_xll.qlInterpolationInterpolate(BasisInterpolator,D32,TRUE,F32)</f>
        <v>4.8825649799913284E-3</v>
      </c>
      <c r="H32" s="413">
        <f t="shared" si="0"/>
        <v>1.925651306919067E-2</v>
      </c>
      <c r="I32" s="154"/>
      <c r="AA32" s="57"/>
      <c r="AB32" s="57"/>
      <c r="AC32" s="154"/>
    </row>
    <row r="33" spans="1:29" x14ac:dyDescent="0.2">
      <c r="A33" s="411">
        <v>31</v>
      </c>
      <c r="B33" s="412">
        <f>_xll.qlInterestRateIndexFixingDate(IborIndex1Y,D33)</f>
        <v>43069</v>
      </c>
      <c r="C33" s="411" t="str">
        <f>_xll.qlMakeDatedOIS(,D33,E33,OvernightIndex,0,DayCounter,0)</f>
        <v>obj_00463#0000</v>
      </c>
      <c r="D33" s="412">
        <f>_xll.qlCalendarAdvance(Calendar,SettlementDate,A33&amp;"M","mf")</f>
        <v>43069</v>
      </c>
      <c r="E33" s="412">
        <f>_xll.qlInterestRateIndexMaturity(IborIndex1Y,D33)</f>
        <v>43434</v>
      </c>
      <c r="F33" s="413">
        <f>_xll.qlOvernightIndexedSwapFairRate(C33,_xll.ohTrigger(InterestRatesTrigger))</f>
        <v>1.4621659600257518E-2</v>
      </c>
      <c r="G33" s="414">
        <f>_xll.qlInterpolationInterpolate(BasisInterpolator,D33,TRUE,F33)</f>
        <v>4.8750963919757381E-3</v>
      </c>
      <c r="H33" s="413">
        <f t="shared" si="0"/>
        <v>1.9496755992233255E-2</v>
      </c>
      <c r="I33" s="154"/>
      <c r="AA33" s="57"/>
      <c r="AB33" s="57"/>
      <c r="AC33" s="154"/>
    </row>
    <row r="34" spans="1:29" x14ac:dyDescent="0.2">
      <c r="A34" s="411">
        <v>32</v>
      </c>
      <c r="B34" s="412">
        <f>_xll.qlInterestRateIndexFixingDate(IborIndex1Y,D34)</f>
        <v>43098</v>
      </c>
      <c r="C34" s="411" t="str">
        <f>_xll.qlMakeDatedOIS(,D34,E34,OvernightIndex,0,DayCounter,0)</f>
        <v>obj_00445#0000</v>
      </c>
      <c r="D34" s="412">
        <f>_xll.qlCalendarAdvance(Calendar,SettlementDate,A34&amp;"M","mf")</f>
        <v>43098</v>
      </c>
      <c r="E34" s="412">
        <f>_xll.qlInterestRateIndexMaturity(IborIndex1Y,D34)</f>
        <v>43465</v>
      </c>
      <c r="F34" s="413">
        <f>_xll.qlOvernightIndexedSwapFairRate(C34,_xll.ohTrigger(InterestRatesTrigger))</f>
        <v>1.4856325237834622E-2</v>
      </c>
      <c r="G34" s="414">
        <f>_xll.qlInterpolationInterpolate(BasisInterpolator,D34,TRUE,F34)</f>
        <v>4.8674999572707461E-3</v>
      </c>
      <c r="H34" s="413">
        <f t="shared" ref="H34:H50" si="1">F34+G34</f>
        <v>1.972382519510537E-2</v>
      </c>
      <c r="I34" s="154"/>
      <c r="AA34" s="57"/>
      <c r="AB34" s="57"/>
      <c r="AC34" s="154"/>
    </row>
    <row r="35" spans="1:29" x14ac:dyDescent="0.2">
      <c r="A35" s="411">
        <v>33</v>
      </c>
      <c r="B35" s="412">
        <f>_xll.qlInterestRateIndexFixingDate(IborIndex1Y,D35)</f>
        <v>43130</v>
      </c>
      <c r="C35" s="411" t="str">
        <f>_xll.qlMakeDatedOIS(,D35,E35,OvernightIndex,0,DayCounter,0)</f>
        <v>obj_00459#0000</v>
      </c>
      <c r="D35" s="412">
        <f>_xll.qlCalendarAdvance(Calendar,SettlementDate,A35&amp;"M","mf")</f>
        <v>43130</v>
      </c>
      <c r="E35" s="412">
        <f>_xll.qlInterestRateIndexMaturity(IborIndex1Y,D35)</f>
        <v>43495</v>
      </c>
      <c r="F35" s="413">
        <f>_xll.qlOvernightIndexedSwapFairRate(C35,_xll.ohTrigger(InterestRatesTrigger))</f>
        <v>1.5092551872359028E-2</v>
      </c>
      <c r="G35" s="414">
        <f>_xll.qlInterpolationInterpolate(BasisInterpolator,D35,TRUE,F35)</f>
        <v>4.8577774969193908E-3</v>
      </c>
      <c r="H35" s="413">
        <f t="shared" si="1"/>
        <v>1.995032936927842E-2</v>
      </c>
      <c r="I35" s="154"/>
      <c r="AA35" s="57"/>
      <c r="AB35" s="57"/>
      <c r="AC35" s="154"/>
    </row>
    <row r="36" spans="1:29" x14ac:dyDescent="0.2">
      <c r="A36" s="411">
        <v>34</v>
      </c>
      <c r="B36" s="412">
        <f>_xll.qlInterestRateIndexFixingDate(IborIndex1Y,D36)</f>
        <v>43159</v>
      </c>
      <c r="C36" s="411" t="str">
        <f>_xll.qlMakeDatedOIS(,D36,E36,OvernightIndex,0,DayCounter,0)</f>
        <v>obj_0045e#0000</v>
      </c>
      <c r="D36" s="412">
        <f>_xll.qlCalendarAdvance(Calendar,SettlementDate,A36&amp;"M","mf")</f>
        <v>43159</v>
      </c>
      <c r="E36" s="412">
        <f>_xll.qlInterestRateIndexMaturity(IborIndex1Y,D36)</f>
        <v>43524</v>
      </c>
      <c r="F36" s="413">
        <f>_xll.qlOvernightIndexedSwapFairRate(C36,_xll.ohTrigger(InterestRatesTrigger))</f>
        <v>1.5307930354290676E-2</v>
      </c>
      <c r="G36" s="414">
        <f>_xll.qlInterpolationInterpolate(BasisInterpolator,D36,TRUE,F36)</f>
        <v>4.8471702079400927E-3</v>
      </c>
      <c r="H36" s="413">
        <f t="shared" si="1"/>
        <v>2.0155100562230768E-2</v>
      </c>
      <c r="I36" s="154"/>
      <c r="AA36" s="57"/>
      <c r="AB36" s="57"/>
      <c r="AC36" s="154"/>
    </row>
    <row r="37" spans="1:29" x14ac:dyDescent="0.2">
      <c r="A37" s="415">
        <v>35</v>
      </c>
      <c r="B37" s="416">
        <f>_xll.qlInterestRateIndexFixingDate(IborIndex1Y,D37)</f>
        <v>43188</v>
      </c>
      <c r="C37" s="415" t="str">
        <f>_xll.qlMakeDatedOIS(,D37,E37,OvernightIndex,0,DayCounter,0)</f>
        <v>obj_0045b#0000</v>
      </c>
      <c r="D37" s="416">
        <f>_xll.qlCalendarAdvance(Calendar,SettlementDate,A37&amp;"M","mf")</f>
        <v>43188</v>
      </c>
      <c r="E37" s="416">
        <f>_xll.qlInterestRateIndexMaturity(IborIndex1Y,D37)</f>
        <v>43553</v>
      </c>
      <c r="F37" s="417">
        <f>_xll.qlOvernightIndexedSwapFairRate(C37,_xll.ohTrigger(InterestRatesTrigger))</f>
        <v>1.5517333687254276E-2</v>
      </c>
      <c r="G37" s="418">
        <f>_xll.qlInterpolationInterpolate(BasisInterpolator,D37,TRUE,F37)</f>
        <v>4.8343017998159774E-3</v>
      </c>
      <c r="H37" s="417">
        <f t="shared" si="1"/>
        <v>2.0351635487070252E-2</v>
      </c>
      <c r="I37" s="154"/>
      <c r="AA37" s="57"/>
      <c r="AB37" s="57"/>
      <c r="AC37" s="154"/>
    </row>
    <row r="38" spans="1:29" x14ac:dyDescent="0.2">
      <c r="A38" s="407">
        <v>36</v>
      </c>
      <c r="B38" s="408">
        <f>_xll.qlInterestRateIndexFixingDate(IborIndex1Y,D38)</f>
        <v>43220</v>
      </c>
      <c r="C38" s="407" t="str">
        <f>_xll.qlMakeDatedOIS(,D38,E38,OvernightIndex,0,DayCounter,0)</f>
        <v>obj_00454#0000</v>
      </c>
      <c r="D38" s="408">
        <f>_xll.qlCalendarAdvance(Calendar,SettlementDate,A38&amp;"M","mf")</f>
        <v>43220</v>
      </c>
      <c r="E38" s="408">
        <f>_xll.qlInterestRateIndexMaturity(IborIndex1Y,D38)</f>
        <v>43585</v>
      </c>
      <c r="F38" s="409">
        <f>_xll.qlOvernightIndexedSwapFairRate(C38,_xll.ohTrigger(InterestRatesTrigger))</f>
        <v>1.5741021672078359E-2</v>
      </c>
      <c r="G38" s="410">
        <f>_xll.qlInterpolationInterpolate(BasisInterpolator,D38,TRUE,F38)</f>
        <v>4.8168361490519285E-3</v>
      </c>
      <c r="H38" s="409">
        <f t="shared" si="1"/>
        <v>2.0557857821130288E-2</v>
      </c>
      <c r="I38" s="154"/>
      <c r="AA38" s="57"/>
      <c r="AB38" s="57"/>
      <c r="AC38" s="154"/>
    </row>
    <row r="39" spans="1:29" x14ac:dyDescent="0.2">
      <c r="A39" s="411">
        <v>37</v>
      </c>
      <c r="B39" s="412">
        <f>_xll.qlInterestRateIndexFixingDate(IborIndex1Y,D39)</f>
        <v>43250</v>
      </c>
      <c r="C39" s="411" t="str">
        <f>_xll.qlMakeDatedOIS(,D39,E39,OvernightIndex,0,DayCounter,0)</f>
        <v>obj_00452#0000</v>
      </c>
      <c r="D39" s="412">
        <f>_xll.qlCalendarAdvance(Calendar,SettlementDate,A39&amp;"M","mf")</f>
        <v>43250</v>
      </c>
      <c r="E39" s="412">
        <f>_xll.qlInterestRateIndexMaturity(IborIndex1Y,D39)</f>
        <v>43615</v>
      </c>
      <c r="F39" s="413">
        <f>_xll.qlOvernightIndexedSwapFairRate(C39,_xll.ohTrigger(InterestRatesTrigger))</f>
        <v>1.594331124295989E-2</v>
      </c>
      <c r="G39" s="414">
        <f>_xll.qlInterpolationInterpolate(BasisInterpolator,D39,TRUE,F39)</f>
        <v>4.7969546072739984E-3</v>
      </c>
      <c r="H39" s="413">
        <f t="shared" si="1"/>
        <v>2.0740265850233888E-2</v>
      </c>
      <c r="I39" s="154"/>
      <c r="AA39" s="57"/>
      <c r="AB39" s="57"/>
      <c r="AC39" s="154"/>
    </row>
    <row r="40" spans="1:29" x14ac:dyDescent="0.2">
      <c r="A40" s="411">
        <v>38</v>
      </c>
      <c r="B40" s="412">
        <f>_xll.qlInterestRateIndexFixingDate(IborIndex1Y,D40)</f>
        <v>43280</v>
      </c>
      <c r="C40" s="411" t="str">
        <f>_xll.qlMakeDatedOIS(,D40,E40,OvernightIndex,0,DayCounter,0)</f>
        <v>obj_00460#0000</v>
      </c>
      <c r="D40" s="412">
        <f>_xll.qlCalendarAdvance(Calendar,SettlementDate,A40&amp;"M","mf")</f>
        <v>43280</v>
      </c>
      <c r="E40" s="412">
        <f>_xll.qlInterestRateIndexMaturity(IborIndex1Y,D40)</f>
        <v>43644</v>
      </c>
      <c r="F40" s="413">
        <f>_xll.qlOvernightIndexedSwapFairRate(C40,_xll.ohTrigger(InterestRatesTrigger))</f>
        <v>1.61349119477514E-2</v>
      </c>
      <c r="G40" s="414">
        <f>_xll.qlInterpolationInterpolate(BasisInterpolator,D40,TRUE,F40)</f>
        <v>4.7741962482384147E-3</v>
      </c>
      <c r="H40" s="413">
        <f t="shared" si="1"/>
        <v>2.0909108195989814E-2</v>
      </c>
      <c r="I40" s="154"/>
      <c r="AA40" s="57"/>
      <c r="AB40" s="57"/>
      <c r="AC40" s="154"/>
    </row>
    <row r="41" spans="1:29" x14ac:dyDescent="0.2">
      <c r="A41" s="411">
        <v>39</v>
      </c>
      <c r="B41" s="412">
        <f>_xll.qlInterestRateIndexFixingDate(IborIndex1Y,D41)</f>
        <v>43311</v>
      </c>
      <c r="C41" s="411" t="str">
        <f>_xll.qlMakeDatedOIS(,D41,E41,OvernightIndex,0,DayCounter,0)</f>
        <v>obj_0043f#0000</v>
      </c>
      <c r="D41" s="412">
        <f>_xll.qlCalendarAdvance(Calendar,SettlementDate,A41&amp;"M","mf")</f>
        <v>43311</v>
      </c>
      <c r="E41" s="412">
        <f>_xll.qlInterestRateIndexMaturity(IborIndex1Y,D41)</f>
        <v>43676</v>
      </c>
      <c r="F41" s="413">
        <f>_xll.qlOvernightIndexedSwapFairRate(C41,_xll.ohTrigger(InterestRatesTrigger))</f>
        <v>1.6331637240980079E-2</v>
      </c>
      <c r="G41" s="414">
        <f>_xll.qlInterpolationInterpolate(BasisInterpolator,D41,TRUE,F41)</f>
        <v>4.7484500593757912E-3</v>
      </c>
      <c r="H41" s="413">
        <f t="shared" si="1"/>
        <v>2.1080087300355869E-2</v>
      </c>
      <c r="I41" s="154"/>
      <c r="AA41" s="57"/>
      <c r="AB41" s="57"/>
      <c r="AC41" s="154"/>
    </row>
    <row r="42" spans="1:29" x14ac:dyDescent="0.2">
      <c r="A42" s="411">
        <v>40</v>
      </c>
      <c r="B42" s="412">
        <f>_xll.qlInterestRateIndexFixingDate(IborIndex1Y,D42)</f>
        <v>43342</v>
      </c>
      <c r="C42" s="411" t="str">
        <f>_xll.qlMakeDatedOIS(,D42,E42,OvernightIndex,0,DayCounter,0)</f>
        <v>obj_00464#0000</v>
      </c>
      <c r="D42" s="412">
        <f>_xll.qlCalendarAdvance(Calendar,SettlementDate,A42&amp;"M","mf")</f>
        <v>43342</v>
      </c>
      <c r="E42" s="412">
        <f>_xll.qlInterestRateIndexMaturity(IborIndex1Y,D42)</f>
        <v>43707</v>
      </c>
      <c r="F42" s="413">
        <f>_xll.qlOvernightIndexedSwapFairRate(C42,_xll.ohTrigger(InterestRatesTrigger))</f>
        <v>1.6516799580503116E-2</v>
      </c>
      <c r="G42" s="414">
        <f>_xll.qlInterpolationInterpolate(BasisInterpolator,D42,TRUE,F42)</f>
        <v>4.7212530047958997E-3</v>
      </c>
      <c r="H42" s="413">
        <f t="shared" si="1"/>
        <v>2.1238052585299018E-2</v>
      </c>
      <c r="I42" s="154"/>
      <c r="AA42" s="57"/>
      <c r="AB42" s="57"/>
      <c r="AC42" s="154"/>
    </row>
    <row r="43" spans="1:29" x14ac:dyDescent="0.2">
      <c r="A43" s="411">
        <v>41</v>
      </c>
      <c r="B43" s="412">
        <f>_xll.qlInterestRateIndexFixingDate(IborIndex1Y,D43)</f>
        <v>43371</v>
      </c>
      <c r="C43" s="411" t="str">
        <f>_xll.qlMakeDatedOIS(,D43,E43,OvernightIndex,0,DayCounter,0)</f>
        <v>obj_00465#0000</v>
      </c>
      <c r="D43" s="412">
        <f>_xll.qlCalendarAdvance(Calendar,SettlementDate,A43&amp;"M","mf")</f>
        <v>43371</v>
      </c>
      <c r="E43" s="412">
        <f>_xll.qlInterestRateIndexMaturity(IborIndex1Y,D43)</f>
        <v>43738</v>
      </c>
      <c r="F43" s="413">
        <f>_xll.qlOvernightIndexedSwapFairRate(C43,_xll.ohTrigger(InterestRatesTrigger))</f>
        <v>1.6688148505844002E-2</v>
      </c>
      <c r="G43" s="414">
        <f>_xll.qlInterpolationInterpolate(BasisInterpolator,D43,TRUE,F43)</f>
        <v>4.6952268328882031E-3</v>
      </c>
      <c r="H43" s="413">
        <f t="shared" si="1"/>
        <v>2.1383375338732205E-2</v>
      </c>
      <c r="I43" s="154"/>
      <c r="AA43" s="57"/>
      <c r="AB43" s="57"/>
      <c r="AC43" s="154"/>
    </row>
    <row r="44" spans="1:29" x14ac:dyDescent="0.2">
      <c r="A44" s="411">
        <v>42</v>
      </c>
      <c r="B44" s="412">
        <f>_xll.qlInterestRateIndexFixingDate(IborIndex1Y,D44)</f>
        <v>43403</v>
      </c>
      <c r="C44" s="411" t="str">
        <f>_xll.qlMakeDatedOIS(,D44,E44,OvernightIndex,0,DayCounter,0)</f>
        <v>obj_00450#0000</v>
      </c>
      <c r="D44" s="412">
        <f>_xll.qlCalendarAdvance(Calendar,SettlementDate,A44&amp;"M","mf")</f>
        <v>43403</v>
      </c>
      <c r="E44" s="412">
        <f>_xll.qlInterestRateIndexMaturity(IborIndex1Y,D44)</f>
        <v>43768</v>
      </c>
      <c r="F44" s="413">
        <f>_xll.qlOvernightIndexedSwapFairRate(C44,_xll.ohTrigger(InterestRatesTrigger))</f>
        <v>1.6856267617404889E-2</v>
      </c>
      <c r="G44" s="414">
        <f>_xll.qlInterpolationInterpolate(BasisInterpolator,D44,TRUE,F44)</f>
        <v>4.6666810230534652E-3</v>
      </c>
      <c r="H44" s="413">
        <f t="shared" si="1"/>
        <v>2.1522948640458353E-2</v>
      </c>
      <c r="I44" s="154"/>
      <c r="AA44" s="57"/>
      <c r="AB44" s="57"/>
      <c r="AC44" s="154"/>
    </row>
    <row r="45" spans="1:29" x14ac:dyDescent="0.2">
      <c r="A45" s="411">
        <v>43</v>
      </c>
      <c r="B45" s="412">
        <f>_xll.qlInterestRateIndexFixingDate(IborIndex1Y,D45)</f>
        <v>43434</v>
      </c>
      <c r="C45" s="411" t="str">
        <f>_xll.qlMakeDatedOIS(,D45,E45,OvernightIndex,0,DayCounter,0)</f>
        <v>obj_0046b#0000</v>
      </c>
      <c r="D45" s="412">
        <f>_xll.qlCalendarAdvance(Calendar,SettlementDate,A45&amp;"M","mf")</f>
        <v>43434</v>
      </c>
      <c r="E45" s="412">
        <f>_xll.qlInterestRateIndexMaturity(IborIndex1Y,D45)</f>
        <v>43798</v>
      </c>
      <c r="F45" s="413">
        <f>_xll.qlOvernightIndexedSwapFairRate(C45,_xll.ohTrigger(InterestRatesTrigger))</f>
        <v>1.7013159984739241E-2</v>
      </c>
      <c r="G45" s="414">
        <f>_xll.qlInterpolationInterpolate(BasisInterpolator,D45,TRUE,F45)</f>
        <v>4.6400281231382678E-3</v>
      </c>
      <c r="H45" s="413">
        <f t="shared" si="1"/>
        <v>2.1653188107877509E-2</v>
      </c>
      <c r="I45" s="154"/>
      <c r="AA45" s="57"/>
      <c r="AB45" s="57"/>
      <c r="AC45" s="154"/>
    </row>
    <row r="46" spans="1:29" x14ac:dyDescent="0.2">
      <c r="A46" s="411">
        <v>44</v>
      </c>
      <c r="B46" s="412">
        <f>_xll.qlInterestRateIndexFixingDate(IborIndex1Y,D46)</f>
        <v>43465</v>
      </c>
      <c r="C46" s="411" t="str">
        <f>_xll.qlMakeDatedOIS(,D46,E46,OvernightIndex,0,DayCounter,0)</f>
        <v>obj_00440#0000</v>
      </c>
      <c r="D46" s="412">
        <f>_xll.qlCalendarAdvance(Calendar,SettlementDate,A46&amp;"M","mf")</f>
        <v>43465</v>
      </c>
      <c r="E46" s="412">
        <f>_xll.qlInterestRateIndexMaturity(IborIndex1Y,D46)</f>
        <v>43830</v>
      </c>
      <c r="F46" s="413">
        <f>_xll.qlOvernightIndexedSwapFairRate(C46,_xll.ohTrigger(InterestRatesTrigger))</f>
        <v>1.7166244135006226E-2</v>
      </c>
      <c r="G46" s="414">
        <f>_xll.qlInterpolationInterpolate(BasisInterpolator,D46,TRUE,F46)</f>
        <v>4.6151928018665469E-3</v>
      </c>
      <c r="H46" s="413">
        <f t="shared" si="1"/>
        <v>2.1781436936872772E-2</v>
      </c>
      <c r="I46" s="154"/>
      <c r="AA46" s="57"/>
      <c r="AB46" s="57"/>
      <c r="AC46" s="154"/>
    </row>
    <row r="47" spans="1:29" x14ac:dyDescent="0.2">
      <c r="A47" s="411">
        <v>45</v>
      </c>
      <c r="B47" s="412">
        <f>_xll.qlInterestRateIndexFixingDate(IborIndex1Y,D47)</f>
        <v>43495</v>
      </c>
      <c r="C47" s="411" t="str">
        <f>_xll.qlMakeDatedOIS(,D47,E47,OvernightIndex,0,DayCounter,0)</f>
        <v>obj_00455#0000</v>
      </c>
      <c r="D47" s="412">
        <f>_xll.qlCalendarAdvance(Calendar,SettlementDate,A47&amp;"M","mf")</f>
        <v>43495</v>
      </c>
      <c r="E47" s="412">
        <f>_xll.qlInterestRateIndexMaturity(IborIndex1Y,D47)</f>
        <v>43860</v>
      </c>
      <c r="F47" s="413">
        <f>_xll.qlOvernightIndexedSwapFairRate(C47,_xll.ohTrigger(InterestRatesTrigger))</f>
        <v>1.7303098621341162E-2</v>
      </c>
      <c r="G47" s="414">
        <f>_xll.qlInterpolationInterpolate(BasisInterpolator,D47,TRUE,F47)</f>
        <v>4.59366508714628E-3</v>
      </c>
      <c r="H47" s="413">
        <f t="shared" si="1"/>
        <v>2.1896763708487442E-2</v>
      </c>
      <c r="I47" s="154"/>
      <c r="AA47" s="57"/>
      <c r="AB47" s="57"/>
      <c r="AC47" s="154"/>
    </row>
    <row r="48" spans="1:29" x14ac:dyDescent="0.2">
      <c r="A48" s="411">
        <v>46</v>
      </c>
      <c r="B48" s="412">
        <f>_xll.qlInterestRateIndexFixingDate(IborIndex1Y,D48)</f>
        <v>43524</v>
      </c>
      <c r="C48" s="411" t="str">
        <f>_xll.qlMakeDatedOIS(,D48,E48,OvernightIndex,0,DayCounter,0)</f>
        <v>obj_00462#0000</v>
      </c>
      <c r="D48" s="412">
        <f>_xll.qlCalendarAdvance(Calendar,SettlementDate,A48&amp;"M","mf")</f>
        <v>43524</v>
      </c>
      <c r="E48" s="412">
        <f>_xll.qlInterestRateIndexMaturity(IborIndex1Y,D48)</f>
        <v>43889</v>
      </c>
      <c r="F48" s="413">
        <f>_xll.qlOvernightIndexedSwapFairRate(C48,_xll.ohTrigger(InterestRatesTrigger))</f>
        <v>1.7427030398346588E-2</v>
      </c>
      <c r="G48" s="414">
        <f>_xll.qlInterpolationInterpolate(BasisInterpolator,D48,TRUE,F48)</f>
        <v>4.5759081070072078E-3</v>
      </c>
      <c r="H48" s="413">
        <f t="shared" si="1"/>
        <v>2.2002938505353797E-2</v>
      </c>
      <c r="I48" s="154"/>
      <c r="AA48" s="57"/>
      <c r="AB48" s="57"/>
      <c r="AC48" s="154"/>
    </row>
    <row r="49" spans="1:29" x14ac:dyDescent="0.2">
      <c r="A49" s="415">
        <v>47</v>
      </c>
      <c r="B49" s="416">
        <f>_xll.qlInterestRateIndexFixingDate(IborIndex1Y,D49)</f>
        <v>43553</v>
      </c>
      <c r="C49" s="415" t="str">
        <f>_xll.qlMakeDatedOIS(,D49,E49,OvernightIndex,0,DayCounter,0)</f>
        <v>obj_0044d#0000</v>
      </c>
      <c r="D49" s="416">
        <f>_xll.qlCalendarAdvance(Calendar,SettlementDate,A49&amp;"M","mf")</f>
        <v>43553</v>
      </c>
      <c r="E49" s="416">
        <f>_xll.qlInterestRateIndexMaturity(IborIndex1Y,D49)</f>
        <v>43921</v>
      </c>
      <c r="F49" s="417">
        <f>_xll.qlOvernightIndexedSwapFairRate(C49,_xll.ohTrigger(InterestRatesTrigger))</f>
        <v>1.7548646752607856E-2</v>
      </c>
      <c r="G49" s="418">
        <f>_xll.qlInterpolationInterpolate(BasisInterpolator,D49,TRUE,F49)</f>
        <v>4.5618346572462286E-3</v>
      </c>
      <c r="H49" s="417">
        <f t="shared" si="1"/>
        <v>2.2110481409854083E-2</v>
      </c>
      <c r="I49" s="154"/>
      <c r="AA49" s="57"/>
      <c r="AB49" s="57"/>
      <c r="AC49" s="154"/>
    </row>
    <row r="50" spans="1:29" x14ac:dyDescent="0.2">
      <c r="A50" s="415">
        <v>48</v>
      </c>
      <c r="B50" s="416">
        <f>_xll.qlInterestRateIndexFixingDate(IborIndex1Y,D50)</f>
        <v>43585</v>
      </c>
      <c r="C50" s="415" t="str">
        <f>_xll.qlMakeDatedOIS(,D50,E50,OvernightIndex,0,DayCounter,0)</f>
        <v>obj_00443#0000</v>
      </c>
      <c r="D50" s="416">
        <f>_xll.qlCalendarAdvance(Calendar,SettlementDate,A50&amp;"M","mf")</f>
        <v>43585</v>
      </c>
      <c r="E50" s="416">
        <f>_xll.qlInterestRateIndexMaturity(IborIndex1Y,D50)</f>
        <v>43951</v>
      </c>
      <c r="F50" s="417">
        <f>_xll.qlOvernightIndexedSwapFairRate(C50,_xll.ohTrigger(InterestRatesTrigger))</f>
        <v>1.7662055780370705E-2</v>
      </c>
      <c r="G50" s="418">
        <f>_xll.qlInterpolationInterpolate(BasisInterpolator,D50,TRUE,F50)</f>
        <v>4.551389780336354E-3</v>
      </c>
      <c r="H50" s="417">
        <f t="shared" si="1"/>
        <v>2.2213445560707059E-2</v>
      </c>
      <c r="I50" s="154"/>
      <c r="AA50" s="57"/>
      <c r="AB50" s="57"/>
      <c r="AC50" s="154"/>
    </row>
    <row r="51" spans="1:29" x14ac:dyDescent="0.2">
      <c r="I51" s="154"/>
    </row>
    <row r="52" spans="1:29" x14ac:dyDescent="0.2">
      <c r="I52" s="154"/>
    </row>
    <row r="53" spans="1:29" x14ac:dyDescent="0.2">
      <c r="I53" s="154"/>
    </row>
    <row r="54" spans="1:29" x14ac:dyDescent="0.2">
      <c r="I54" s="154"/>
    </row>
    <row r="55" spans="1:29" x14ac:dyDescent="0.2">
      <c r="I55" s="154"/>
    </row>
    <row r="56" spans="1:29" x14ac:dyDescent="0.2">
      <c r="I56" s="154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C00000"/>
    <pageSetUpPr autoPageBreaks="0"/>
  </sheetPr>
  <dimension ref="A1:N85"/>
  <sheetViews>
    <sheetView showGridLines="0" tabSelected="1" workbookViewId="0">
      <selection activeCell="G2" sqref="G2"/>
    </sheetView>
  </sheetViews>
  <sheetFormatPr defaultRowHeight="11.25" x14ac:dyDescent="0.2"/>
  <cols>
    <col min="1" max="1" width="4.33203125" style="36" customWidth="1"/>
    <col min="2" max="2" width="7.83203125" style="36" customWidth="1"/>
    <col min="3" max="3" width="36.6640625" style="36" bestFit="1" customWidth="1"/>
    <col min="4" max="4" width="35.83203125" style="36" customWidth="1"/>
    <col min="5" max="5" width="25.6640625" style="36" customWidth="1"/>
    <col min="6" max="6" width="4.33203125" style="36" customWidth="1"/>
    <col min="7" max="7" width="7.83203125" style="36" customWidth="1"/>
    <col min="8" max="8" width="10.5" style="36" bestFit="1" customWidth="1"/>
    <col min="9" max="9" width="3.1640625" style="36" customWidth="1"/>
    <col min="10" max="10" width="10.5" style="36" bestFit="1" customWidth="1"/>
    <col min="11" max="11" width="3.1640625" style="36" customWidth="1"/>
    <col min="12" max="12" width="11.6640625" style="36" bestFit="1" customWidth="1"/>
    <col min="13" max="13" width="10.5" style="36" bestFit="1" customWidth="1"/>
    <col min="14" max="14" width="5.83203125" style="36" customWidth="1"/>
    <col min="15" max="16384" width="9.33203125" style="40"/>
  </cols>
  <sheetData>
    <row r="1" spans="1:14" ht="12" thickBot="1" x14ac:dyDescent="0.25">
      <c r="A1" s="34"/>
      <c r="D1" s="35"/>
      <c r="E1" s="35"/>
      <c r="F1" s="38"/>
      <c r="G1" s="37"/>
      <c r="H1" s="37"/>
      <c r="I1" s="38"/>
      <c r="J1" s="38"/>
      <c r="K1" s="38"/>
      <c r="L1" s="37"/>
      <c r="N1" s="39"/>
    </row>
    <row r="2" spans="1:14" ht="12.75" thickBot="1" x14ac:dyDescent="0.3">
      <c r="A2" s="311"/>
      <c r="B2" s="312"/>
      <c r="C2" s="313" t="str">
        <f>Currency&amp;"_015_SyntheticQuotes"&amp;".xml"</f>
        <v>GBP_015_SyntheticQuotes.xml</v>
      </c>
      <c r="D2" s="318" t="str">
        <f>IF(Serialize,_xll.ohObjectSave(D3:D84,SerializationPath&amp;C2,FileOverwrite,Serialize),"---")</f>
        <v>---</v>
      </c>
      <c r="E2" s="318" t="s">
        <v>98</v>
      </c>
      <c r="F2" s="41"/>
      <c r="G2" s="322"/>
      <c r="H2" s="323" t="s">
        <v>54</v>
      </c>
      <c r="I2" s="42"/>
      <c r="J2" s="324" t="s">
        <v>55</v>
      </c>
      <c r="K2" s="42"/>
      <c r="L2" s="322" t="s">
        <v>56</v>
      </c>
      <c r="M2" s="325" t="s">
        <v>57</v>
      </c>
      <c r="N2" s="142">
        <f>_xll.ohTrigger(M3:M7)</f>
        <v>203</v>
      </c>
    </row>
    <row r="3" spans="1:14" x14ac:dyDescent="0.2">
      <c r="A3" s="314">
        <v>1</v>
      </c>
      <c r="B3" s="119" t="s">
        <v>58</v>
      </c>
      <c r="C3" s="120" t="str">
        <f t="shared" ref="C3" si="0">Currency&amp;$B3&amp;"_SYNTH"&amp;Tenor1M&amp;QuoteSuffix</f>
        <v>GBPSND_SYNTH1M_Quote</v>
      </c>
      <c r="D3" s="121" t="str">
        <f>_xll.qlSimpleQuote(C3,,RateTickValue,Permanent,EvaluationDate,ObjectOverwrite)</f>
        <v>GBPSND_SYNTH1M_Quote#0000</v>
      </c>
      <c r="E3" s="319" t="str">
        <f>_xll.ohRangeRetrieveError(D3)</f>
        <v/>
      </c>
      <c r="F3" s="41"/>
      <c r="G3" s="83" t="s">
        <v>58</v>
      </c>
      <c r="H3" s="84">
        <f>'1MSynthDepo'!C23</f>
        <v>5.0554780199763005E-3</v>
      </c>
      <c r="I3" s="44" t="s">
        <v>59</v>
      </c>
      <c r="J3" s="89">
        <v>-7.2268146798837307E-4</v>
      </c>
      <c r="K3" s="42"/>
      <c r="L3" s="92">
        <f t="array" ref="L3:L84">QuoteLive</f>
        <v>5.0554780199763005E-3</v>
      </c>
      <c r="M3" s="93">
        <f>_xll.qlSimpleQuoteSetValue(D3,ROUND($L3,6),EvaluationDate)</f>
        <v>0</v>
      </c>
      <c r="N3" s="43"/>
    </row>
    <row r="4" spans="1:14" x14ac:dyDescent="0.2">
      <c r="A4" s="315" t="str">
        <f>_xll.qlPeriodEquivalent(Months1M&amp;"M")</f>
        <v>1M</v>
      </c>
      <c r="B4" s="122" t="s">
        <v>60</v>
      </c>
      <c r="C4" s="45" t="str">
        <f t="shared" ref="C4:C7" si="1">Currency&amp;$B4&amp;"_SYNTH"&amp;Tenor1M&amp;QuoteSuffix</f>
        <v>GBPSWD_SYNTH1M_Quote</v>
      </c>
      <c r="D4" s="123" t="str">
        <f>_xll.qlSimpleQuote(C4,,RateTickValue,Permanent,EvaluationDate,ObjectOverwrite)</f>
        <v>GBPSWD_SYNTH1M_Quote#0000</v>
      </c>
      <c r="E4" s="320" t="str">
        <f>_xll.ohRangeRetrieveError(D4)</f>
        <v/>
      </c>
      <c r="F4" s="41"/>
      <c r="G4" s="83" t="s">
        <v>60</v>
      </c>
      <c r="H4" s="84">
        <f>'1MSynthDepo'!C24</f>
        <v>5.0636606476334957E-3</v>
      </c>
      <c r="I4" s="44" t="s">
        <v>59</v>
      </c>
      <c r="J4" s="89">
        <v>3.8879337395262124E-5</v>
      </c>
      <c r="K4" s="42"/>
      <c r="L4" s="92">
        <v>5.0636606476334957E-3</v>
      </c>
      <c r="M4" s="93">
        <f>_xll.qlSimpleQuoteSetValue(D4,ROUND($L4,6),EvaluationDate)</f>
        <v>0</v>
      </c>
      <c r="N4" s="43"/>
    </row>
    <row r="5" spans="1:14" x14ac:dyDescent="0.2">
      <c r="A5" s="128"/>
      <c r="B5" s="122" t="s">
        <v>61</v>
      </c>
      <c r="C5" s="45" t="str">
        <f t="shared" si="1"/>
        <v>GBP2WD_SYNTH1M_Quote</v>
      </c>
      <c r="D5" s="123" t="str">
        <f>_xll.qlSimpleQuote(C5,,RateTickValue,Permanent,EvaluationDate,ObjectOverwrite)</f>
        <v>GBP2WD_SYNTH1M_Quote#0000</v>
      </c>
      <c r="E5" s="320" t="str">
        <f>_xll.ohRangeRetrieveError(D5)</f>
        <v/>
      </c>
      <c r="F5" s="41"/>
      <c r="G5" s="83" t="s">
        <v>61</v>
      </c>
      <c r="H5" s="84">
        <f>'1MSynthDepo'!C25</f>
        <v>5.0718243306472977E-3</v>
      </c>
      <c r="I5" s="44" t="s">
        <v>59</v>
      </c>
      <c r="J5" s="89">
        <v>-6.441524711345688E-5</v>
      </c>
      <c r="K5" s="42"/>
      <c r="L5" s="92">
        <v>5.0718243306472977E-3</v>
      </c>
      <c r="M5" s="93">
        <f>_xll.qlSimpleQuoteSetValue(D5,ROUND($L5,6),EvaluationDate)</f>
        <v>0</v>
      </c>
      <c r="N5" s="43"/>
    </row>
    <row r="6" spans="1:14" x14ac:dyDescent="0.2">
      <c r="A6" s="128"/>
      <c r="B6" s="122" t="s">
        <v>62</v>
      </c>
      <c r="C6" s="45" t="str">
        <f t="shared" si="1"/>
        <v>GBP3WD_SYNTH1M_Quote</v>
      </c>
      <c r="D6" s="123" t="str">
        <f>_xll.qlSimpleQuote(C6,,RateTickValue,Permanent,EvaluationDate,ObjectOverwrite)</f>
        <v>GBP3WD_SYNTH1M_Quote#0000</v>
      </c>
      <c r="E6" s="320" t="str">
        <f>_xll.ohRangeRetrieveError(D6)</f>
        <v/>
      </c>
      <c r="F6" s="41"/>
      <c r="G6" s="85" t="s">
        <v>62</v>
      </c>
      <c r="H6" s="84">
        <f>'1MSynthDepo'!C26</f>
        <v>5.0746041721968132E-3</v>
      </c>
      <c r="I6" s="44" t="s">
        <v>59</v>
      </c>
      <c r="J6" s="90">
        <v>3.1675359980657246E-5</v>
      </c>
      <c r="K6" s="42"/>
      <c r="L6" s="94">
        <v>5.0746041721968132E-3</v>
      </c>
      <c r="M6" s="95">
        <f>_xll.qlSimpleQuoteSetValue(D6,ROUND($L6,6),EvaluationDate)</f>
        <v>0</v>
      </c>
      <c r="N6" s="43"/>
    </row>
    <row r="7" spans="1:14" ht="12" thickBot="1" x14ac:dyDescent="0.25">
      <c r="A7" s="129"/>
      <c r="B7" s="127" t="s">
        <v>63</v>
      </c>
      <c r="C7" s="82" t="str">
        <f t="shared" si="1"/>
        <v>GBP1MD_SYNTH1M_Quote</v>
      </c>
      <c r="D7" s="126" t="str">
        <f>_xll.qlSimpleQuote(C7,,RateTickValue,Permanent,EvaluationDate,ObjectOverwrite)</f>
        <v>GBP1MD_SYNTH1M_Quote#0000</v>
      </c>
      <c r="E7" s="321" t="str">
        <f>_xll.ohRangeRetrieveError(D7)</f>
        <v/>
      </c>
      <c r="F7" s="101"/>
      <c r="G7" s="87" t="s">
        <v>63</v>
      </c>
      <c r="H7" s="393">
        <f>'1MSynthDepo'!C27</f>
        <v>5.0756000000021896E-3</v>
      </c>
      <c r="I7" s="102" t="s">
        <v>59</v>
      </c>
      <c r="J7" s="91">
        <v>1.1971529473624584E-5</v>
      </c>
      <c r="K7" s="101"/>
      <c r="L7" s="96">
        <v>5.0756000000021896E-3</v>
      </c>
      <c r="M7" s="97">
        <f>_xll.qlSimpleQuoteSetValue(D7,ROUND($L7,6),EvaluationDate)</f>
        <v>0</v>
      </c>
      <c r="N7" s="101"/>
    </row>
    <row r="8" spans="1:14" x14ac:dyDescent="0.2">
      <c r="A8" s="314">
        <v>3</v>
      </c>
      <c r="B8" s="119" t="s">
        <v>58</v>
      </c>
      <c r="C8" s="120" t="str">
        <f t="shared" ref="C8:C14" si="2">Currency&amp;$B8&amp;"_SYNTH"&amp;Tenor3M&amp;QuoteSuffix</f>
        <v>GBPSND_SYNTH3M_Quote</v>
      </c>
      <c r="D8" s="121" t="str">
        <f>_xll.qlSimpleQuote(C8,,RateTickValue,Permanent,EvaluationDate,ObjectOverwrite)</f>
        <v>GBPSND_SYNTH3M_Quote#0000</v>
      </c>
      <c r="E8" s="319"/>
      <c r="F8" s="49"/>
      <c r="G8" s="103" t="s">
        <v>58</v>
      </c>
      <c r="H8" s="104">
        <f>'3MSynthDepo'!C25</f>
        <v>5.3452755813876429E-3</v>
      </c>
      <c r="I8" s="50"/>
      <c r="J8" s="105">
        <v>4.1468384102572031E-4</v>
      </c>
      <c r="K8" s="48"/>
      <c r="L8" s="106">
        <v>5.3452755813876429E-3</v>
      </c>
      <c r="M8" s="107">
        <f>_xll.qlSimpleQuoteSetValue(D8,ROUND($L8,6),EvaluationDate)</f>
        <v>0</v>
      </c>
      <c r="N8" s="143">
        <f>_xll.ohTrigger(M8:M14)</f>
        <v>203</v>
      </c>
    </row>
    <row r="9" spans="1:14" x14ac:dyDescent="0.2">
      <c r="A9" s="315" t="str">
        <f>_xll.qlPeriodEquivalent(Months3M&amp;"M")</f>
        <v>3M</v>
      </c>
      <c r="B9" s="122" t="s">
        <v>60</v>
      </c>
      <c r="C9" s="45" t="str">
        <f t="shared" si="2"/>
        <v>GBPSWD_SYNTH3M_Quote</v>
      </c>
      <c r="D9" s="123" t="str">
        <f>_xll.qlSimpleQuote(C9,,RateTickValue,Permanent,EvaluationDate,ObjectOverwrite)</f>
        <v>GBPSWD_SYNTH3M_Quote#0000</v>
      </c>
      <c r="E9" s="320"/>
      <c r="F9" s="49"/>
      <c r="G9" s="98" t="s">
        <v>60</v>
      </c>
      <c r="H9" s="84">
        <f>'3MSynthDepo'!C26</f>
        <v>5.3776306831660693E-3</v>
      </c>
      <c r="I9" s="50"/>
      <c r="J9" s="89">
        <v>1.089294466741616E-3</v>
      </c>
      <c r="K9" s="48"/>
      <c r="L9" s="92">
        <v>5.3776306831660693E-3</v>
      </c>
      <c r="M9" s="93">
        <f>_xll.qlSimpleQuoteSetValue(D9,ROUND($L9,6),EvaluationDate)</f>
        <v>0</v>
      </c>
      <c r="N9" s="43"/>
    </row>
    <row r="10" spans="1:14" x14ac:dyDescent="0.2">
      <c r="A10" s="46"/>
      <c r="B10" s="122" t="s">
        <v>61</v>
      </c>
      <c r="C10" s="45" t="str">
        <f t="shared" si="2"/>
        <v>GBP2WD_SYNTH3M_Quote</v>
      </c>
      <c r="D10" s="123" t="str">
        <f>_xll.qlSimpleQuote(C10,,RateTickValue,Permanent,EvaluationDate,ObjectOverwrite)</f>
        <v>GBP2WD_SYNTH3M_Quote#0000</v>
      </c>
      <c r="E10" s="320"/>
      <c r="F10" s="49"/>
      <c r="G10" s="98" t="s">
        <v>61</v>
      </c>
      <c r="H10" s="84">
        <f>'3MSynthDepo'!C27</f>
        <v>5.4132477681072856E-3</v>
      </c>
      <c r="I10" s="50"/>
      <c r="J10" s="89">
        <v>8.9421415957627705E-4</v>
      </c>
      <c r="K10" s="48"/>
      <c r="L10" s="92">
        <v>5.4132477681072856E-3</v>
      </c>
      <c r="M10" s="93">
        <f>_xll.qlSimpleQuoteSetValue(D10,ROUND($L10,6),EvaluationDate)</f>
        <v>0</v>
      </c>
      <c r="N10" s="43"/>
    </row>
    <row r="11" spans="1:14" x14ac:dyDescent="0.2">
      <c r="A11" s="46"/>
      <c r="B11" s="122" t="s">
        <v>62</v>
      </c>
      <c r="C11" s="45" t="str">
        <f t="shared" si="2"/>
        <v>GBP3WD_SYNTH3M_Quote</v>
      </c>
      <c r="D11" s="123" t="str">
        <f>_xll.qlSimpleQuote(C11,,RateTickValue,Permanent,EvaluationDate,ObjectOverwrite)</f>
        <v>GBP3WD_SYNTH3M_Quote#0000</v>
      </c>
      <c r="E11" s="320"/>
      <c r="F11" s="49"/>
      <c r="G11" s="99" t="s">
        <v>62</v>
      </c>
      <c r="H11" s="86">
        <f>'3MSynthDepo'!C28</f>
        <v>5.4426753799180234E-3</v>
      </c>
      <c r="I11" s="50"/>
      <c r="J11" s="90">
        <v>9.0893346892098993E-4</v>
      </c>
      <c r="K11" s="48"/>
      <c r="L11" s="94">
        <v>5.4426753799180234E-3</v>
      </c>
      <c r="M11" s="95">
        <f>_xll.qlSimpleQuoteSetValue(D11,ROUND($L11,6),EvaluationDate)</f>
        <v>0</v>
      </c>
      <c r="N11" s="43"/>
    </row>
    <row r="12" spans="1:14" x14ac:dyDescent="0.2">
      <c r="A12" s="46"/>
      <c r="B12" s="122" t="s">
        <v>63</v>
      </c>
      <c r="C12" s="45" t="str">
        <f t="shared" si="2"/>
        <v>GBP1MD_SYNTH3M_Quote</v>
      </c>
      <c r="D12" s="124" t="str">
        <f>_xll.qlSimpleQuote(C12,,RateTickValue,Permanent,EvaluationDate,ObjectOverwrite)</f>
        <v>GBP1MD_SYNTH3M_Quote#0000</v>
      </c>
      <c r="E12" s="320"/>
      <c r="F12" s="49"/>
      <c r="G12" s="98" t="s">
        <v>63</v>
      </c>
      <c r="H12" s="84">
        <f>'3MSynthDepo'!C29</f>
        <v>5.4731390191397776E-3</v>
      </c>
      <c r="I12" s="50"/>
      <c r="J12" s="89">
        <v>7.6571691908287973E-4</v>
      </c>
      <c r="K12" s="48"/>
      <c r="L12" s="92">
        <v>5.4731390191397776E-3</v>
      </c>
      <c r="M12" s="93">
        <f>_xll.qlSimpleQuoteSetValue(D12,ROUND($L12,6),EvaluationDate)</f>
        <v>0</v>
      </c>
      <c r="N12" s="43"/>
    </row>
    <row r="13" spans="1:14" x14ac:dyDescent="0.2">
      <c r="A13" s="46"/>
      <c r="B13" s="122" t="s">
        <v>64</v>
      </c>
      <c r="C13" s="45" t="str">
        <f t="shared" si="2"/>
        <v>GBP2MD_SYNTH3M_Quote</v>
      </c>
      <c r="D13" s="124" t="str">
        <f>_xll.qlSimpleQuote(C13,,RateTickValue,Permanent,EvaluationDate,ObjectOverwrite)</f>
        <v>GBP2MD_SYNTH3M_Quote#0000</v>
      </c>
      <c r="E13" s="320"/>
      <c r="F13" s="49"/>
      <c r="G13" s="98" t="s">
        <v>64</v>
      </c>
      <c r="H13" s="84">
        <f>'3MSynthDepo'!C30</f>
        <v>5.5846456381645057E-3</v>
      </c>
      <c r="I13" s="50"/>
      <c r="J13" s="89">
        <v>7.4085490671904261E-4</v>
      </c>
      <c r="K13" s="48"/>
      <c r="L13" s="92">
        <v>5.5846456381645057E-3</v>
      </c>
      <c r="M13" s="93">
        <f>_xll.qlSimpleQuoteSetValue(D13,ROUND($L13,6),EvaluationDate)</f>
        <v>0</v>
      </c>
      <c r="N13" s="43"/>
    </row>
    <row r="14" spans="1:14" ht="12" thickBot="1" x14ac:dyDescent="0.25">
      <c r="A14" s="46"/>
      <c r="B14" s="125" t="s">
        <v>65</v>
      </c>
      <c r="C14" s="82" t="str">
        <f t="shared" si="2"/>
        <v>GBP3MD_SYNTH3M_Quote</v>
      </c>
      <c r="D14" s="126" t="str">
        <f>_xll.qlSimpleQuote(C14,,RateTickValue,Permanent,EvaluationDate,ObjectOverwrite)</f>
        <v>GBP3MD_SYNTH3M_Quote#0000</v>
      </c>
      <c r="E14" s="321"/>
      <c r="F14" s="49"/>
      <c r="G14" s="100" t="s">
        <v>65</v>
      </c>
      <c r="H14" s="88">
        <f>'3MSynthDepo'!C31</f>
        <v>5.6810832921478536E-3</v>
      </c>
      <c r="I14" s="50"/>
      <c r="J14" s="91">
        <v>8.2668403181896809E-4</v>
      </c>
      <c r="K14" s="48"/>
      <c r="L14" s="96">
        <v>5.6810832921478536E-3</v>
      </c>
      <c r="M14" s="97">
        <f>_xll.qlSimpleQuoteSetValue(D14,ROUND($L14,6),EvaluationDate)</f>
        <v>0</v>
      </c>
      <c r="N14" s="43"/>
    </row>
    <row r="15" spans="1:14" x14ac:dyDescent="0.2">
      <c r="A15" s="314">
        <v>6</v>
      </c>
      <c r="B15" s="130" t="s">
        <v>58</v>
      </c>
      <c r="C15" s="120" t="str">
        <f t="shared" ref="C15:C24" si="3">Currency&amp;$B15&amp;"_SYNTH"&amp;Tenor6M&amp;QuoteSuffix</f>
        <v>GBPSND_SYNTH6M_Quote</v>
      </c>
      <c r="D15" s="121" t="str">
        <f>_xll.qlSimpleQuote(C15,,RateTickValue,Permanent,EvaluationDate,ObjectOverwrite)</f>
        <v>GBPSND_SYNTH6M_Quote#0000</v>
      </c>
      <c r="E15" s="319" t="str">
        <f>_xll.ohRangeRetrieveError(D15)</f>
        <v/>
      </c>
      <c r="F15" s="49"/>
      <c r="G15" s="103" t="s">
        <v>58</v>
      </c>
      <c r="H15" s="104">
        <f>'6MSynthDepo'!C28</f>
        <v>5.9793631507110145E-3</v>
      </c>
      <c r="I15" s="50"/>
      <c r="J15" s="105">
        <v>-3.0034421194091721E-4</v>
      </c>
      <c r="K15" s="48"/>
      <c r="L15" s="106">
        <v>5.9793631507110145E-3</v>
      </c>
      <c r="M15" s="107">
        <f>_xll.qlSimpleQuoteSetValue(D15,ROUND($L15,6),EvaluationDate)</f>
        <v>0</v>
      </c>
      <c r="N15" s="144">
        <f>_xll.ohTrigger(M15:M24)</f>
        <v>203</v>
      </c>
    </row>
    <row r="16" spans="1:14" x14ac:dyDescent="0.2">
      <c r="A16" s="315" t="str">
        <f>_xll.qlPeriodEquivalent(Months6M&amp;"M")</f>
        <v>6M</v>
      </c>
      <c r="B16" s="131" t="s">
        <v>60</v>
      </c>
      <c r="C16" s="45" t="str">
        <f t="shared" si="3"/>
        <v>GBPSWD_SYNTH6M_Quote</v>
      </c>
      <c r="D16" s="123" t="str">
        <f>_xll.qlSimpleQuote(C16,,RateTickValue,Permanent,EvaluationDate,ObjectOverwrite)</f>
        <v>GBPSWD_SYNTH6M_Quote#0000</v>
      </c>
      <c r="E16" s="320" t="str">
        <f>_xll.ohRangeRetrieveError(D16)</f>
        <v/>
      </c>
      <c r="F16" s="49"/>
      <c r="G16" s="98" t="s">
        <v>60</v>
      </c>
      <c r="H16" s="84">
        <f>'6MSynthDepo'!C29</f>
        <v>6.0413477748609357E-3</v>
      </c>
      <c r="I16" s="50"/>
      <c r="J16" s="89">
        <v>4.6464757071643499E-4</v>
      </c>
      <c r="K16" s="48"/>
      <c r="L16" s="92">
        <v>6.0413477748609357E-3</v>
      </c>
      <c r="M16" s="93">
        <f>_xll.qlSimpleQuoteSetValue(D16,ROUND($L16,6),EvaluationDate)</f>
        <v>0</v>
      </c>
      <c r="N16" s="51"/>
    </row>
    <row r="17" spans="1:14" x14ac:dyDescent="0.2">
      <c r="A17" s="133"/>
      <c r="B17" s="131" t="s">
        <v>61</v>
      </c>
      <c r="C17" s="45" t="str">
        <f t="shared" si="3"/>
        <v>GBP2WD_SYNTH6M_Quote</v>
      </c>
      <c r="D17" s="123" t="str">
        <f>_xll.qlSimpleQuote(C17,,RateTickValue,Permanent,EvaluationDate,ObjectOverwrite)</f>
        <v>GBP2WD_SYNTH6M_Quote#0000</v>
      </c>
      <c r="E17" s="320" t="str">
        <f>_xll.ohRangeRetrieveError(D17)</f>
        <v/>
      </c>
      <c r="F17" s="47"/>
      <c r="G17" s="98" t="s">
        <v>61</v>
      </c>
      <c r="H17" s="84">
        <f>'6MSynthDepo'!C30</f>
        <v>6.1102728540572493E-3</v>
      </c>
      <c r="I17" s="50"/>
      <c r="J17" s="89">
        <v>3.7158652098158635E-4</v>
      </c>
      <c r="K17" s="48"/>
      <c r="L17" s="92">
        <v>6.1102728540572493E-3</v>
      </c>
      <c r="M17" s="93">
        <f>_xll.qlSimpleQuoteSetValue(D17,ROUND($L17,6),EvaluationDate)</f>
        <v>0</v>
      </c>
      <c r="N17" s="51"/>
    </row>
    <row r="18" spans="1:14" x14ac:dyDescent="0.2">
      <c r="A18" s="134"/>
      <c r="B18" s="131" t="s">
        <v>62</v>
      </c>
      <c r="C18" s="45" t="str">
        <f t="shared" si="3"/>
        <v>GBP3WD_SYNTH6M_Quote</v>
      </c>
      <c r="D18" s="123" t="str">
        <f>_xll.qlSimpleQuote(C18,,RateTickValue,Permanent,EvaluationDate,ObjectOverwrite)</f>
        <v>GBP3WD_SYNTH6M_Quote#0000</v>
      </c>
      <c r="E18" s="320" t="str">
        <f>_xll.ohRangeRetrieveError(D18)</f>
        <v/>
      </c>
      <c r="F18" s="47"/>
      <c r="G18" s="98" t="s">
        <v>62</v>
      </c>
      <c r="H18" s="84">
        <f>'6MSynthDepo'!C31</f>
        <v>6.1716512439955037E-3</v>
      </c>
      <c r="I18" s="50"/>
      <c r="J18" s="89">
        <v>4.8462718726811308E-4</v>
      </c>
      <c r="K18" s="48"/>
      <c r="L18" s="92">
        <v>6.1716512439955037E-3</v>
      </c>
      <c r="M18" s="93">
        <f>_xll.qlSimpleQuoteSetValue(D18,ROUND($L18,6),EvaluationDate)</f>
        <v>0</v>
      </c>
      <c r="N18" s="51"/>
    </row>
    <row r="19" spans="1:14" x14ac:dyDescent="0.2">
      <c r="A19" s="134"/>
      <c r="B19" s="131" t="s">
        <v>63</v>
      </c>
      <c r="C19" s="45" t="str">
        <f t="shared" si="3"/>
        <v>GBP1MD_SYNTH6M_Quote</v>
      </c>
      <c r="D19" s="123" t="str">
        <f>_xll.qlSimpleQuote(C19,,RateTickValue,Permanent,EvaluationDate,ObjectOverwrite)</f>
        <v>GBP1MD_SYNTH6M_Quote#0000</v>
      </c>
      <c r="E19" s="320" t="str">
        <f>_xll.ohRangeRetrieveError(D19)</f>
        <v/>
      </c>
      <c r="F19" s="47"/>
      <c r="G19" s="388" t="s">
        <v>63</v>
      </c>
      <c r="H19" s="389">
        <f>'6MSynthDepo'!C32</f>
        <v>6.2369676438894595E-3</v>
      </c>
      <c r="I19" s="386"/>
      <c r="J19" s="390">
        <v>5.1420940780660626E-4</v>
      </c>
      <c r="K19" s="387"/>
      <c r="L19" s="391">
        <v>6.2369676438894595E-3</v>
      </c>
      <c r="M19" s="392">
        <f>_xll.qlSimpleQuoteSetValue(D19,ROUND($L19,6),EvaluationDate)</f>
        <v>0</v>
      </c>
      <c r="N19" s="51"/>
    </row>
    <row r="20" spans="1:14" x14ac:dyDescent="0.2">
      <c r="A20" s="134"/>
      <c r="B20" s="131" t="s">
        <v>64</v>
      </c>
      <c r="C20" s="45" t="str">
        <f t="shared" si="3"/>
        <v>GBP2MD_SYNTH6M_Quote</v>
      </c>
      <c r="D20" s="123" t="str">
        <f>_xll.qlSimpleQuote(C20,,RateTickValue,Permanent,EvaluationDate,ObjectOverwrite)</f>
        <v>GBP2MD_SYNTH6M_Quote#0000</v>
      </c>
      <c r="E20" s="320" t="str">
        <f>_xll.ohRangeRetrieveError(D20)</f>
        <v/>
      </c>
      <c r="F20" s="47"/>
      <c r="G20" s="98" t="s">
        <v>64</v>
      </c>
      <c r="H20" s="84">
        <f>'6MSynthDepo'!C33</f>
        <v>6.4701413919893416E-3</v>
      </c>
      <c r="I20" s="50"/>
      <c r="J20" s="89">
        <v>8.1824348655893634E-4</v>
      </c>
      <c r="K20" s="48"/>
      <c r="L20" s="92">
        <v>6.4701413919893416E-3</v>
      </c>
      <c r="M20" s="93">
        <f>_xll.qlSimpleQuoteSetValue(D20,ROUND($L20,6),EvaluationDate)</f>
        <v>0</v>
      </c>
      <c r="N20" s="51"/>
    </row>
    <row r="21" spans="1:14" x14ac:dyDescent="0.2">
      <c r="A21" s="134"/>
      <c r="B21" s="131" t="s">
        <v>65</v>
      </c>
      <c r="C21" s="45" t="str">
        <f t="shared" si="3"/>
        <v>GBP3MD_SYNTH6M_Quote</v>
      </c>
      <c r="D21" s="123" t="str">
        <f>_xll.qlSimpleQuote(C21,,RateTickValue,Permanent,EvaluationDate,ObjectOverwrite)</f>
        <v>GBP3MD_SYNTH6M_Quote#0000</v>
      </c>
      <c r="E21" s="320" t="str">
        <f>_xll.ohRangeRetrieveError(D21)</f>
        <v/>
      </c>
      <c r="F21" s="47"/>
      <c r="G21" s="98" t="s">
        <v>65</v>
      </c>
      <c r="H21" s="84">
        <f>'6MSynthDepo'!C34</f>
        <v>6.6573401606192587E-3</v>
      </c>
      <c r="I21" s="50"/>
      <c r="J21" s="89">
        <v>1.1908777193457023E-3</v>
      </c>
      <c r="K21" s="48"/>
      <c r="L21" s="92">
        <v>6.6573401606192587E-3</v>
      </c>
      <c r="M21" s="93">
        <f>_xll.qlSimpleQuoteSetValue(D21,ROUND($L21,6),EvaluationDate)</f>
        <v>0</v>
      </c>
      <c r="N21" s="51"/>
    </row>
    <row r="22" spans="1:14" x14ac:dyDescent="0.2">
      <c r="A22" s="134"/>
      <c r="B22" s="131" t="s">
        <v>66</v>
      </c>
      <c r="C22" s="45" t="str">
        <f t="shared" si="3"/>
        <v>GBP4MD_SYNTH6M_Quote</v>
      </c>
      <c r="D22" s="123" t="str">
        <f>_xll.qlSimpleQuote(C22,,RateTickValue,Permanent,EvaluationDate,ObjectOverwrite)</f>
        <v>GBP4MD_SYNTH6M_Quote#0000</v>
      </c>
      <c r="E22" s="320" t="str">
        <f>_xll.ohRangeRetrieveError(D22)</f>
        <v/>
      </c>
      <c r="F22" s="47"/>
      <c r="G22" s="98" t="s">
        <v>66</v>
      </c>
      <c r="H22" s="84">
        <f>'6MSynthDepo'!C35</f>
        <v>6.7950150931019582E-3</v>
      </c>
      <c r="I22" s="50"/>
      <c r="J22" s="89">
        <v>1.4859395290376387E-3</v>
      </c>
      <c r="K22" s="48"/>
      <c r="L22" s="92">
        <v>6.7950150931019582E-3</v>
      </c>
      <c r="M22" s="93">
        <f>_xll.qlSimpleQuoteSetValue(D22,ROUND($L22,6),EvaluationDate)</f>
        <v>0</v>
      </c>
      <c r="N22" s="51"/>
    </row>
    <row r="23" spans="1:14" x14ac:dyDescent="0.2">
      <c r="A23" s="134"/>
      <c r="B23" s="131" t="s">
        <v>67</v>
      </c>
      <c r="C23" s="45" t="str">
        <f t="shared" si="3"/>
        <v>GBP5MD_SYNTH6M_Quote</v>
      </c>
      <c r="D23" s="123" t="str">
        <f>_xll.qlSimpleQuote(C23,,RateTickValue,Permanent,EvaluationDate,ObjectOverwrite)</f>
        <v>GBP5MD_SYNTH6M_Quote#0000</v>
      </c>
      <c r="E23" s="320" t="str">
        <f>_xll.ohRangeRetrieveError(D23)</f>
        <v/>
      </c>
      <c r="F23" s="47"/>
      <c r="G23" s="98" t="s">
        <v>67</v>
      </c>
      <c r="H23" s="84">
        <f>'6MSynthDepo'!C36</f>
        <v>6.9176652348595389E-3</v>
      </c>
      <c r="I23" s="50"/>
      <c r="J23" s="89">
        <v>1.666421336793596E-3</v>
      </c>
      <c r="K23" s="48"/>
      <c r="L23" s="92">
        <v>6.9176652348595389E-3</v>
      </c>
      <c r="M23" s="93">
        <f>_xll.qlSimpleQuoteSetValue(D23,ROUND($L23,6),EvaluationDate)</f>
        <v>0</v>
      </c>
      <c r="N23" s="51"/>
    </row>
    <row r="24" spans="1:14" ht="12" thickBot="1" x14ac:dyDescent="0.25">
      <c r="A24" s="135"/>
      <c r="B24" s="127" t="s">
        <v>68</v>
      </c>
      <c r="C24" s="82" t="str">
        <f t="shared" si="3"/>
        <v>GBP6MD_SYNTH6M_Quote</v>
      </c>
      <c r="D24" s="132" t="str">
        <f>_xll.qlSimpleQuote(C24,,RateTickValue,Permanent,EvaluationDate,ObjectOverwrite)</f>
        <v>GBP6MD_SYNTH6M_Quote#0000</v>
      </c>
      <c r="E24" s="321" t="str">
        <f>_xll.ohRangeRetrieveError(D24)</f>
        <v/>
      </c>
      <c r="F24" s="47"/>
      <c r="G24" s="100" t="s">
        <v>68</v>
      </c>
      <c r="H24" s="88">
        <f>'6MSynthDepo'!C37</f>
        <v>6.9938000000000344E-3</v>
      </c>
      <c r="I24" s="50"/>
      <c r="J24" s="91">
        <v>1.7354869612805641E-3</v>
      </c>
      <c r="K24" s="48"/>
      <c r="L24" s="96">
        <v>6.9938000000000344E-3</v>
      </c>
      <c r="M24" s="97">
        <f>_xll.qlSimpleQuoteSetValue(D24,ROUND($L24,6),EvaluationDate)</f>
        <v>0</v>
      </c>
      <c r="N24" s="51"/>
    </row>
    <row r="25" spans="1:14" x14ac:dyDescent="0.2">
      <c r="A25" s="314">
        <v>12</v>
      </c>
      <c r="B25" s="119" t="s">
        <v>58</v>
      </c>
      <c r="C25" s="120" t="str">
        <f t="shared" ref="C25:C40" si="4">Currency&amp;$B25&amp;"_SYNTH"&amp;Tenor12M&amp;QuoteSuffix</f>
        <v>GBPSND_SYNTH1Y_Quote</v>
      </c>
      <c r="D25" s="121" t="str">
        <f>_xll.qlSimpleQuote(C25,,RateTickValue,Permanent,EvaluationDate,ObjectOverwrite)</f>
        <v>GBPSND_SYNTH1Y_Quote#0000</v>
      </c>
      <c r="E25" s="319" t="str">
        <f>_xll.ohRangeRetrieveError(D25)</f>
        <v/>
      </c>
      <c r="F25" s="49"/>
      <c r="G25" s="108" t="s">
        <v>58</v>
      </c>
      <c r="H25" s="104">
        <f>'1YSynthDepo'!C34</f>
        <v>8.4965795626634755E-3</v>
      </c>
      <c r="I25" s="50"/>
      <c r="J25" s="105">
        <v>3.2741444829742505E-3</v>
      </c>
      <c r="K25" s="48"/>
      <c r="L25" s="106">
        <v>8.4965795626634755E-3</v>
      </c>
      <c r="M25" s="107">
        <f>_xll.qlSimpleQuoteSetValue(D25,ROUND($L25,6),EvaluationDate)</f>
        <v>0</v>
      </c>
      <c r="N25" s="144">
        <f>_xll.ohTrigger(M25:M40)</f>
        <v>203</v>
      </c>
    </row>
    <row r="26" spans="1:14" x14ac:dyDescent="0.2">
      <c r="A26" s="315" t="str">
        <f>_xll.qlPeriodEquivalent(Months12M&amp;"M")</f>
        <v>1Y</v>
      </c>
      <c r="B26" s="122" t="s">
        <v>60</v>
      </c>
      <c r="C26" s="45" t="str">
        <f t="shared" si="4"/>
        <v>GBPSWD_SYNTH1Y_Quote</v>
      </c>
      <c r="D26" s="123" t="str">
        <f>_xll.qlSimpleQuote(C26,,RateTickValue,Permanent,EvaluationDate,ObjectOverwrite)</f>
        <v>GBPSWD_SYNTH1Y_Quote#0000</v>
      </c>
      <c r="E26" s="320" t="str">
        <f>_xll.ohRangeRetrieveError(D26)</f>
        <v/>
      </c>
      <c r="F26" s="49"/>
      <c r="G26" s="109" t="s">
        <v>60</v>
      </c>
      <c r="H26" s="84">
        <f>'1YSynthDepo'!C35</f>
        <v>8.5107429183964699E-3</v>
      </c>
      <c r="I26" s="50"/>
      <c r="J26" s="89">
        <v>3.9376267112637264E-3</v>
      </c>
      <c r="K26" s="48"/>
      <c r="L26" s="92">
        <v>8.5107429183964699E-3</v>
      </c>
      <c r="M26" s="93">
        <f>_xll.qlSimpleQuoteSetValue(D26,ROUND($L26,6),EvaluationDate)</f>
        <v>0</v>
      </c>
      <c r="N26" s="51"/>
    </row>
    <row r="27" spans="1:14" x14ac:dyDescent="0.2">
      <c r="A27" s="134"/>
      <c r="B27" s="122" t="s">
        <v>61</v>
      </c>
      <c r="C27" s="45" t="str">
        <f t="shared" si="4"/>
        <v>GBP2WD_SYNTH1Y_Quote</v>
      </c>
      <c r="D27" s="123" t="str">
        <f>_xll.qlSimpleQuote(C27,,RateTickValue,Permanent,EvaluationDate,ObjectOverwrite)</f>
        <v>GBP2WD_SYNTH1Y_Quote#0000</v>
      </c>
      <c r="E27" s="320" t="str">
        <f>_xll.ohRangeRetrieveError(D27)</f>
        <v/>
      </c>
      <c r="F27" s="47"/>
      <c r="G27" s="109" t="s">
        <v>61</v>
      </c>
      <c r="H27" s="84">
        <f>'1YSynthDepo'!C36</f>
        <v>8.5262242595095829E-3</v>
      </c>
      <c r="I27" s="50"/>
      <c r="J27" s="89">
        <v>3.7298706984018842E-3</v>
      </c>
      <c r="K27" s="48"/>
      <c r="L27" s="92">
        <v>8.5262242595095829E-3</v>
      </c>
      <c r="M27" s="93">
        <f>_xll.qlSimpleQuoteSetValue(D27,ROUND($L27,6),EvaluationDate)</f>
        <v>0</v>
      </c>
      <c r="N27" s="51"/>
    </row>
    <row r="28" spans="1:14" x14ac:dyDescent="0.2">
      <c r="A28" s="134"/>
      <c r="B28" s="122" t="s">
        <v>62</v>
      </c>
      <c r="C28" s="45" t="str">
        <f t="shared" si="4"/>
        <v>GBP3WD_SYNTH1Y_Quote</v>
      </c>
      <c r="D28" s="123" t="str">
        <f>_xll.qlSimpleQuote(C28,,RateTickValue,Permanent,EvaluationDate,ObjectOverwrite)</f>
        <v>GBP3WD_SYNTH1Y_Quote#0000</v>
      </c>
      <c r="E28" s="320" t="str">
        <f>_xll.ohRangeRetrieveError(D28)</f>
        <v/>
      </c>
      <c r="F28" s="47"/>
      <c r="G28" s="109" t="s">
        <v>62</v>
      </c>
      <c r="H28" s="84">
        <f>'1YSynthDepo'!C37</f>
        <v>8.5366871869624588E-3</v>
      </c>
      <c r="I28" s="50"/>
      <c r="J28" s="89">
        <v>3.7322886820057022E-3</v>
      </c>
      <c r="K28" s="48"/>
      <c r="L28" s="92">
        <v>8.5366871869624588E-3</v>
      </c>
      <c r="M28" s="93">
        <f>_xll.qlSimpleQuoteSetValue(D28,ROUND($L28,6),EvaluationDate)</f>
        <v>0</v>
      </c>
      <c r="N28" s="51"/>
    </row>
    <row r="29" spans="1:14" x14ac:dyDescent="0.2">
      <c r="A29" s="134"/>
      <c r="B29" s="122" t="s">
        <v>63</v>
      </c>
      <c r="C29" s="45" t="str">
        <f t="shared" si="4"/>
        <v>GBP1MD_SYNTH1Y_Quote</v>
      </c>
      <c r="D29" s="123" t="str">
        <f>_xll.qlSimpleQuote(C29,,RateTickValue,Permanent,EvaluationDate,ObjectOverwrite)</f>
        <v>GBP1MD_SYNTH1Y_Quote#0000</v>
      </c>
      <c r="E29" s="320" t="str">
        <f>_xll.ohRangeRetrieveError(D29)</f>
        <v/>
      </c>
      <c r="F29" s="47"/>
      <c r="G29" s="110" t="s">
        <v>63</v>
      </c>
      <c r="H29" s="86">
        <f>'1YSynthDepo'!C38</f>
        <v>8.5507651956578251E-3</v>
      </c>
      <c r="I29" s="50"/>
      <c r="J29" s="90">
        <v>3.5671443455276941E-3</v>
      </c>
      <c r="K29" s="48"/>
      <c r="L29" s="94">
        <v>8.5507651956578251E-3</v>
      </c>
      <c r="M29" s="95">
        <f>_xll.qlSimpleQuoteSetValue(D29,ROUND($L29,6),EvaluationDate)</f>
        <v>0</v>
      </c>
      <c r="N29" s="51"/>
    </row>
    <row r="30" spans="1:14" x14ac:dyDescent="0.2">
      <c r="A30" s="134"/>
      <c r="B30" s="122" t="s">
        <v>64</v>
      </c>
      <c r="C30" s="45" t="str">
        <f t="shared" si="4"/>
        <v>GBP2MD_SYNTH1Y_Quote</v>
      </c>
      <c r="D30" s="123" t="str">
        <f>_xll.qlSimpleQuote(C30,,RateTickValue,Permanent,EvaluationDate,ObjectOverwrite)</f>
        <v>GBP2MD_SYNTH1Y_Quote#0000</v>
      </c>
      <c r="E30" s="320" t="str">
        <f>_xll.ohRangeRetrieveError(D30)</f>
        <v/>
      </c>
      <c r="F30" s="47"/>
      <c r="G30" s="109" t="s">
        <v>64</v>
      </c>
      <c r="H30" s="84">
        <f>'1YSynthDepo'!C39</f>
        <v>8.5927735440470849E-3</v>
      </c>
      <c r="I30" s="50"/>
      <c r="J30" s="89">
        <v>3.4993270593571572E-3</v>
      </c>
      <c r="K30" s="48"/>
      <c r="L30" s="92">
        <v>8.5927735440470849E-3</v>
      </c>
      <c r="M30" s="93">
        <f>_xll.qlSimpleQuoteSetValue(D30,ROUND($L30,6),EvaluationDate)</f>
        <v>0</v>
      </c>
      <c r="N30" s="144"/>
    </row>
    <row r="31" spans="1:14" x14ac:dyDescent="0.2">
      <c r="A31" s="134"/>
      <c r="B31" s="122" t="s">
        <v>65</v>
      </c>
      <c r="C31" s="45" t="str">
        <f t="shared" si="4"/>
        <v>GBP3MD_SYNTH1Y_Quote</v>
      </c>
      <c r="D31" s="123" t="str">
        <f>_xll.qlSimpleQuote(C31,,RateTickValue,Permanent,EvaluationDate,ObjectOverwrite)</f>
        <v>GBP3MD_SYNTH1Y_Quote#0000</v>
      </c>
      <c r="E31" s="320" t="str">
        <f>_xll.ohRangeRetrieveError(D31)</f>
        <v/>
      </c>
      <c r="F31" s="47"/>
      <c r="G31" s="109" t="s">
        <v>65</v>
      </c>
      <c r="H31" s="84">
        <f>'1YSynthDepo'!C40</f>
        <v>8.6470136213589281E-3</v>
      </c>
      <c r="I31" s="50"/>
      <c r="J31" s="89">
        <v>3.5456229020878484E-3</v>
      </c>
      <c r="K31" s="48"/>
      <c r="L31" s="92">
        <v>8.6470136213589281E-3</v>
      </c>
      <c r="M31" s="93">
        <f>_xll.qlSimpleQuoteSetValue(D31,ROUND($L31,6),EvaluationDate)</f>
        <v>0</v>
      </c>
      <c r="N31" s="51"/>
    </row>
    <row r="32" spans="1:14" x14ac:dyDescent="0.2">
      <c r="A32" s="134"/>
      <c r="B32" s="122" t="s">
        <v>66</v>
      </c>
      <c r="C32" s="45" t="str">
        <f t="shared" si="4"/>
        <v>GBP4MD_SYNTH1Y_Quote</v>
      </c>
      <c r="D32" s="123" t="str">
        <f>_xll.qlSimpleQuote(C32,,RateTickValue,Permanent,EvaluationDate,ObjectOverwrite)</f>
        <v>GBP4MD_SYNTH1Y_Quote#0000</v>
      </c>
      <c r="E32" s="320" t="str">
        <f>_xll.ohRangeRetrieveError(D32)</f>
        <v/>
      </c>
      <c r="F32" s="47"/>
      <c r="G32" s="109" t="s">
        <v>66</v>
      </c>
      <c r="H32" s="84">
        <f>'1YSynthDepo'!C41</f>
        <v>8.7211803506407944E-3</v>
      </c>
      <c r="I32" s="50"/>
      <c r="J32" s="89">
        <v>3.6033508135462355E-3</v>
      </c>
      <c r="K32" s="48"/>
      <c r="L32" s="92">
        <v>8.7211803506407944E-3</v>
      </c>
      <c r="M32" s="93">
        <f>_xll.qlSimpleQuoteSetValue(D32,ROUND($L32,6),EvaluationDate)</f>
        <v>0</v>
      </c>
      <c r="N32" s="51"/>
    </row>
    <row r="33" spans="1:14" x14ac:dyDescent="0.2">
      <c r="A33" s="134"/>
      <c r="B33" s="122" t="s">
        <v>67</v>
      </c>
      <c r="C33" s="45" t="str">
        <f t="shared" si="4"/>
        <v>GBP5MD_SYNTH1Y_Quote</v>
      </c>
      <c r="D33" s="123" t="str">
        <f>_xll.qlSimpleQuote(C33,,RateTickValue,Permanent,EvaluationDate,ObjectOverwrite)</f>
        <v>GBP5MD_SYNTH1Y_Quote#0000</v>
      </c>
      <c r="E33" s="320" t="str">
        <f>_xll.ohRangeRetrieveError(D33)</f>
        <v/>
      </c>
      <c r="F33" s="49"/>
      <c r="G33" s="109" t="s">
        <v>67</v>
      </c>
      <c r="H33" s="84">
        <f>'1YSynthDepo'!C42</f>
        <v>8.7971137286069132E-3</v>
      </c>
      <c r="I33" s="50"/>
      <c r="J33" s="89">
        <v>3.5874219876094902E-3</v>
      </c>
      <c r="K33" s="48"/>
      <c r="L33" s="92">
        <v>8.7971137286069132E-3</v>
      </c>
      <c r="M33" s="93">
        <f>_xll.qlSimpleQuoteSetValue(D33,ROUND($L33,6),EvaluationDate)</f>
        <v>0</v>
      </c>
      <c r="N33" s="51"/>
    </row>
    <row r="34" spans="1:14" x14ac:dyDescent="0.2">
      <c r="A34" s="134"/>
      <c r="B34" s="122" t="s">
        <v>68</v>
      </c>
      <c r="C34" s="45" t="str">
        <f t="shared" si="4"/>
        <v>GBP6MD_SYNTH1Y_Quote</v>
      </c>
      <c r="D34" s="123" t="str">
        <f>_xll.qlSimpleQuote(C34,,RateTickValue,Permanent,EvaluationDate,ObjectOverwrite)</f>
        <v>GBP6MD_SYNTH1Y_Quote#0000</v>
      </c>
      <c r="E34" s="320" t="str">
        <f>_xll.ohRangeRetrieveError(D34)</f>
        <v/>
      </c>
      <c r="F34" s="49"/>
      <c r="G34" s="109" t="s">
        <v>68</v>
      </c>
      <c r="H34" s="84">
        <f>'1YSynthDepo'!C43</f>
        <v>8.8889930353358657E-3</v>
      </c>
      <c r="I34" s="50"/>
      <c r="J34" s="89">
        <v>3.5605829939326472E-3</v>
      </c>
      <c r="K34" s="48"/>
      <c r="L34" s="92">
        <v>8.8889930353358657E-3</v>
      </c>
      <c r="M34" s="93">
        <f>_xll.qlSimpleQuoteSetValue(D34,ROUND($L34,6),EvaluationDate)</f>
        <v>0</v>
      </c>
      <c r="N34" s="51"/>
    </row>
    <row r="35" spans="1:14" x14ac:dyDescent="0.2">
      <c r="A35" s="134"/>
      <c r="B35" s="122" t="s">
        <v>69</v>
      </c>
      <c r="C35" s="45" t="str">
        <f t="shared" si="4"/>
        <v>GBP7MD_SYNTH1Y_Quote</v>
      </c>
      <c r="D35" s="123" t="str">
        <f>_xll.qlSimpleQuote(C35,,RateTickValue,Permanent,EvaluationDate,ObjectOverwrite)</f>
        <v>GBP7MD_SYNTH1Y_Quote#0000</v>
      </c>
      <c r="E35" s="320" t="str">
        <f>_xll.ohRangeRetrieveError(D35)</f>
        <v/>
      </c>
      <c r="F35" s="49"/>
      <c r="G35" s="109" t="s">
        <v>69</v>
      </c>
      <c r="H35" s="84">
        <f>'1YSynthDepo'!C44</f>
        <v>9.0333501044760414E-3</v>
      </c>
      <c r="I35" s="50"/>
      <c r="J35" s="89">
        <v>3.5391910896233206E-3</v>
      </c>
      <c r="K35" s="48"/>
      <c r="L35" s="92">
        <v>9.0333501044760414E-3</v>
      </c>
      <c r="M35" s="93">
        <f>_xll.qlSimpleQuoteSetValue(D35,ROUND($L35,6),EvaluationDate)</f>
        <v>0</v>
      </c>
      <c r="N35" s="51"/>
    </row>
    <row r="36" spans="1:14" x14ac:dyDescent="0.2">
      <c r="A36" s="134"/>
      <c r="B36" s="122" t="s">
        <v>70</v>
      </c>
      <c r="C36" s="45" t="str">
        <f t="shared" si="4"/>
        <v>GBP8MD_SYNTH1Y_Quote</v>
      </c>
      <c r="D36" s="123" t="str">
        <f>_xll.qlSimpleQuote(C36,,RateTickValue,Permanent,EvaluationDate,ObjectOverwrite)</f>
        <v>GBP8MD_SYNTH1Y_Quote#0000</v>
      </c>
      <c r="E36" s="320" t="str">
        <f>_xll.ohRangeRetrieveError(D36)</f>
        <v/>
      </c>
      <c r="F36" s="49"/>
      <c r="G36" s="109" t="s">
        <v>70</v>
      </c>
      <c r="H36" s="84">
        <f>'1YSynthDepo'!C45</f>
        <v>9.1733529578759878E-3</v>
      </c>
      <c r="I36" s="50"/>
      <c r="J36" s="89">
        <v>3.5320133927629347E-3</v>
      </c>
      <c r="K36" s="48"/>
      <c r="L36" s="92">
        <v>9.1733529578759878E-3</v>
      </c>
      <c r="M36" s="93">
        <f>_xll.qlSimpleQuoteSetValue(D36,ROUND($L36,6),EvaluationDate)</f>
        <v>0</v>
      </c>
      <c r="N36" s="51"/>
    </row>
    <row r="37" spans="1:14" x14ac:dyDescent="0.2">
      <c r="A37" s="136"/>
      <c r="B37" s="122" t="s">
        <v>71</v>
      </c>
      <c r="C37" s="45" t="str">
        <f t="shared" si="4"/>
        <v>GBP9MD_SYNTH1Y_Quote</v>
      </c>
      <c r="D37" s="123" t="str">
        <f>_xll.qlSimpleQuote(C37,,RateTickValue,Permanent,EvaluationDate,ObjectOverwrite)</f>
        <v>GBP9MD_SYNTH1Y_Quote#0000</v>
      </c>
      <c r="E37" s="320" t="str">
        <f>_xll.ohRangeRetrieveError(D37)</f>
        <v/>
      </c>
      <c r="F37" s="49"/>
      <c r="G37" s="109" t="s">
        <v>71</v>
      </c>
      <c r="H37" s="84">
        <f>'1YSynthDepo'!C46</f>
        <v>9.3349582357855378E-3</v>
      </c>
      <c r="I37" s="50"/>
      <c r="J37" s="89">
        <v>3.5246192513979009E-3</v>
      </c>
      <c r="K37" s="48"/>
      <c r="L37" s="92">
        <v>9.3349582357855378E-3</v>
      </c>
      <c r="M37" s="93">
        <f>_xll.qlSimpleQuoteSetValue(D37,ROUND($L37,6),EvaluationDate)</f>
        <v>0</v>
      </c>
      <c r="N37" s="51"/>
    </row>
    <row r="38" spans="1:14" x14ac:dyDescent="0.2">
      <c r="A38" s="137"/>
      <c r="B38" s="122" t="s">
        <v>72</v>
      </c>
      <c r="C38" s="45" t="str">
        <f t="shared" si="4"/>
        <v>GBP10MD_SYNTH1Y_Quote</v>
      </c>
      <c r="D38" s="123" t="str">
        <f>_xll.qlSimpleQuote(C38,,RateTickValue,Permanent,EvaluationDate,ObjectOverwrite)</f>
        <v>GBP10MD_SYNTH1Y_Quote#0000</v>
      </c>
      <c r="E38" s="320" t="str">
        <f>_xll.ohRangeRetrieveError(D38)</f>
        <v/>
      </c>
      <c r="F38" s="49"/>
      <c r="G38" s="109" t="s">
        <v>72</v>
      </c>
      <c r="H38" s="84">
        <f>'1YSynthDepo'!C47</f>
        <v>9.513136729323763E-3</v>
      </c>
      <c r="I38" s="50"/>
      <c r="J38" s="89">
        <v>3.5124690786614873E-3</v>
      </c>
      <c r="K38" s="48"/>
      <c r="L38" s="92">
        <v>9.513136729323763E-3</v>
      </c>
      <c r="M38" s="93">
        <f>_xll.qlSimpleQuoteSetValue(D38,ROUND($L38,6),EvaluationDate)</f>
        <v>0</v>
      </c>
      <c r="N38" s="51"/>
    </row>
    <row r="39" spans="1:14" x14ac:dyDescent="0.2">
      <c r="A39" s="134"/>
      <c r="B39" s="122" t="s">
        <v>73</v>
      </c>
      <c r="C39" s="45" t="str">
        <f t="shared" si="4"/>
        <v>GBP11MD_SYNTH1Y_Quote</v>
      </c>
      <c r="D39" s="123" t="str">
        <f>_xll.qlSimpleQuote(C39,,RateTickValue,Permanent,EvaluationDate,ObjectOverwrite)</f>
        <v>GBP11MD_SYNTH1Y_Quote#0000</v>
      </c>
      <c r="E39" s="320" t="str">
        <f>_xll.ohRangeRetrieveError(D39)</f>
        <v/>
      </c>
      <c r="F39" s="49"/>
      <c r="G39" s="109" t="s">
        <v>73</v>
      </c>
      <c r="H39" s="84">
        <f>'1YSynthDepo'!C48</f>
        <v>9.7145787287304941E-3</v>
      </c>
      <c r="I39" s="50"/>
      <c r="J39" s="89">
        <v>3.526495177091726E-3</v>
      </c>
      <c r="K39" s="48"/>
      <c r="L39" s="92">
        <v>9.7145787287304941E-3</v>
      </c>
      <c r="M39" s="93">
        <f>_xll.qlSimpleQuoteSetValue(D39,ROUND($L39,6),EvaluationDate)</f>
        <v>0</v>
      </c>
      <c r="N39" s="51"/>
    </row>
    <row r="40" spans="1:14" ht="12" thickBot="1" x14ac:dyDescent="0.25">
      <c r="A40" s="138"/>
      <c r="B40" s="127" t="s">
        <v>74</v>
      </c>
      <c r="C40" s="82" t="str">
        <f t="shared" si="4"/>
        <v>GBP1YD_SYNTH1Y_Quote</v>
      </c>
      <c r="D40" s="132" t="str">
        <f>_xll.qlSimpleQuote(C40,,RateTickValue,Permanent,EvaluationDate,ObjectOverwrite)</f>
        <v>GBP1YD_SYNTH1Y_Quote#0000</v>
      </c>
      <c r="E40" s="321" t="str">
        <f>_xll.ohRangeRetrieveError(D40)</f>
        <v/>
      </c>
      <c r="F40" s="49"/>
      <c r="G40" s="139" t="s">
        <v>74</v>
      </c>
      <c r="H40" s="88">
        <f>'1YSynthDepo'!C49</f>
        <v>9.9245312154763125E-3</v>
      </c>
      <c r="I40" s="50"/>
      <c r="J40" s="91">
        <v>3.5462405279165373E-3</v>
      </c>
      <c r="K40" s="48"/>
      <c r="L40" s="96">
        <v>9.9245312154763125E-3</v>
      </c>
      <c r="M40" s="97">
        <f>_xll.qlSimpleQuoteSetValue(D40,ROUND($L40,6),EvaluationDate)</f>
        <v>0</v>
      </c>
      <c r="N40" s="144"/>
    </row>
    <row r="41" spans="1:14" x14ac:dyDescent="0.2">
      <c r="A41" s="316">
        <v>1</v>
      </c>
      <c r="B41" s="122" t="str">
        <f t="shared" ref="B41:B84" si="5">A41&amp;"x"&amp;A41+Months12M&amp;"F"</f>
        <v>1x13F</v>
      </c>
      <c r="C41" s="45" t="str">
        <f t="shared" ref="C41:C84" si="6">Currency&amp;$B41&amp;"_SYNTH"&amp;"1Y"&amp;"_Quote"</f>
        <v>GBP1x13F_SYNTH1Y_Quote</v>
      </c>
      <c r="D41" s="123" t="str">
        <f>_xll.qlSimpleQuote(C41,,RateTickValue,Permanent,Trigger,ObjectOverwrite)</f>
        <v>GBP1x13F_SYNTH1Y_Quote#0000</v>
      </c>
      <c r="E41" s="320" t="str">
        <f>_xll.ohRangeRetrieveError(D41)</f>
        <v/>
      </c>
      <c r="F41" s="47">
        <v>1</v>
      </c>
      <c r="G41" s="111" t="str">
        <f t="shared" ref="G41:G84" si="7">F41&amp;"x"&amp;(F41+Months12M)&amp;"F"</f>
        <v>1x13F</v>
      </c>
      <c r="H41" s="112">
        <f>SynthFRA!H3</f>
        <v>1.0141611477836592E-2</v>
      </c>
      <c r="I41" s="58"/>
      <c r="J41" s="115">
        <v>3.5154655213764001E-3</v>
      </c>
      <c r="K41" s="59"/>
      <c r="L41" s="117">
        <v>1.0141611477836592E-2</v>
      </c>
      <c r="M41" s="118">
        <f>_xll.qlSimpleQuoteSetValue(D41,ROUND(L41,6),EvaluationDate)</f>
        <v>0</v>
      </c>
      <c r="N41" s="144">
        <f>_xll.ohTrigger(M41:M84)</f>
        <v>203</v>
      </c>
    </row>
    <row r="42" spans="1:14" x14ac:dyDescent="0.2">
      <c r="A42" s="316">
        <v>2</v>
      </c>
      <c r="B42" s="122" t="str">
        <f t="shared" si="5"/>
        <v>2x14F</v>
      </c>
      <c r="C42" s="45" t="str">
        <f t="shared" si="6"/>
        <v>GBP2x14F_SYNTH1Y_Quote</v>
      </c>
      <c r="D42" s="123" t="str">
        <f>_xll.qlSimpleQuote(C42,,RateTickValue,Permanent,Trigger,ObjectOverwrite)</f>
        <v>GBP2x14F_SYNTH1Y_Quote#0000</v>
      </c>
      <c r="E42" s="320" t="str">
        <f>_xll.ohRangeRetrieveError(D42)</f>
        <v/>
      </c>
      <c r="F42" s="47">
        <v>2</v>
      </c>
      <c r="G42" s="111" t="str">
        <f t="shared" si="7"/>
        <v>2x14F</v>
      </c>
      <c r="H42" s="112">
        <f>SynthFRA!H4</f>
        <v>1.0429748041207118E-2</v>
      </c>
      <c r="I42" s="59"/>
      <c r="J42" s="115">
        <v>3.532295049804414E-3</v>
      </c>
      <c r="K42" s="59"/>
      <c r="L42" s="117">
        <v>1.0429748041207118E-2</v>
      </c>
      <c r="M42" s="118">
        <f>_xll.qlSimpleQuoteSetValue(D42,ROUND(L42,6),EvaluationDate)</f>
        <v>0</v>
      </c>
      <c r="N42" s="51"/>
    </row>
    <row r="43" spans="1:14" x14ac:dyDescent="0.2">
      <c r="A43" s="316">
        <v>3</v>
      </c>
      <c r="B43" s="122" t="str">
        <f t="shared" si="5"/>
        <v>3x15F</v>
      </c>
      <c r="C43" s="45" t="str">
        <f t="shared" si="6"/>
        <v>GBP3x15F_SYNTH1Y_Quote</v>
      </c>
      <c r="D43" s="123" t="str">
        <f>_xll.qlSimpleQuote(C43,,RateTickValue,Permanent,Trigger,ObjectOverwrite)</f>
        <v>GBP3x15F_SYNTH1Y_Quote#0000</v>
      </c>
      <c r="E43" s="320" t="str">
        <f>_xll.ohRangeRetrieveError(D43)</f>
        <v/>
      </c>
      <c r="F43" s="47">
        <v>3</v>
      </c>
      <c r="G43" s="111" t="str">
        <f t="shared" si="7"/>
        <v>3x15F</v>
      </c>
      <c r="H43" s="112">
        <f>SynthFRA!H5</f>
        <v>1.0740340383056421E-2</v>
      </c>
      <c r="I43" s="59"/>
      <c r="J43" s="115">
        <v>3.4850405815286247E-3</v>
      </c>
      <c r="K43" s="59"/>
      <c r="L43" s="117">
        <v>1.0740340383056421E-2</v>
      </c>
      <c r="M43" s="118">
        <f>_xll.qlSimpleQuoteSetValue(D43,ROUND(L43,6),EvaluationDate)</f>
        <v>0</v>
      </c>
      <c r="N43" s="51"/>
    </row>
    <row r="44" spans="1:14" x14ac:dyDescent="0.2">
      <c r="A44" s="316">
        <v>4</v>
      </c>
      <c r="B44" s="122" t="str">
        <f t="shared" si="5"/>
        <v>4x16F</v>
      </c>
      <c r="C44" s="45" t="str">
        <f t="shared" si="6"/>
        <v>GBP4x16F_SYNTH1Y_Quote</v>
      </c>
      <c r="D44" s="123" t="str">
        <f>_xll.qlSimpleQuote(C44,,RateTickValue,Permanent,Trigger,ObjectOverwrite)</f>
        <v>GBP4x16F_SYNTH1Y_Quote#0000</v>
      </c>
      <c r="E44" s="320" t="str">
        <f>_xll.ohRangeRetrieveError(D44)</f>
        <v/>
      </c>
      <c r="F44" s="47">
        <v>4</v>
      </c>
      <c r="G44" s="111" t="str">
        <f t="shared" si="7"/>
        <v>4x16F</v>
      </c>
      <c r="H44" s="112">
        <f>SynthFRA!H6</f>
        <v>1.1099279686746831E-2</v>
      </c>
      <c r="I44" s="59"/>
      <c r="J44" s="115">
        <v>3.4415012724434762E-3</v>
      </c>
      <c r="K44" s="59"/>
      <c r="L44" s="117">
        <v>1.1099279686746831E-2</v>
      </c>
      <c r="M44" s="118">
        <f>_xll.qlSimpleQuoteSetValue(D44,ROUND(L44,6),EvaluationDate)</f>
        <v>0</v>
      </c>
      <c r="N44" s="51"/>
    </row>
    <row r="45" spans="1:14" x14ac:dyDescent="0.2">
      <c r="A45" s="316">
        <v>5</v>
      </c>
      <c r="B45" s="122" t="str">
        <f t="shared" si="5"/>
        <v>5x17F</v>
      </c>
      <c r="C45" s="45" t="str">
        <f t="shared" si="6"/>
        <v>GBP5x17F_SYNTH1Y_Quote</v>
      </c>
      <c r="D45" s="123" t="str">
        <f>_xll.qlSimpleQuote(C45,,RateTickValue,Permanent,Trigger,ObjectOverwrite)</f>
        <v>GBP5x17F_SYNTH1Y_Quote#0000</v>
      </c>
      <c r="E45" s="320" t="str">
        <f>_xll.ohRangeRetrieveError(D45)</f>
        <v/>
      </c>
      <c r="F45" s="47">
        <v>5</v>
      </c>
      <c r="G45" s="111" t="str">
        <f t="shared" si="7"/>
        <v>5x17F</v>
      </c>
      <c r="H45" s="112">
        <f>SynthFRA!H7</f>
        <v>1.1491008438458496E-2</v>
      </c>
      <c r="I45" s="59"/>
      <c r="J45" s="115">
        <v>3.4396668017846748E-3</v>
      </c>
      <c r="K45" s="59"/>
      <c r="L45" s="117">
        <v>1.1491008438458496E-2</v>
      </c>
      <c r="M45" s="118">
        <f>_xll.qlSimpleQuoteSetValue(D45,ROUND(L45,6),EvaluationDate)</f>
        <v>0</v>
      </c>
      <c r="N45" s="51"/>
    </row>
    <row r="46" spans="1:14" x14ac:dyDescent="0.2">
      <c r="A46" s="316">
        <v>6</v>
      </c>
      <c r="B46" s="122" t="str">
        <f t="shared" si="5"/>
        <v>6x18F</v>
      </c>
      <c r="C46" s="45" t="str">
        <f t="shared" si="6"/>
        <v>GBP6x18F_SYNTH1Y_Quote</v>
      </c>
      <c r="D46" s="123" t="str">
        <f>_xll.qlSimpleQuote(C46,,RateTickValue,Permanent,Trigger,ObjectOverwrite)</f>
        <v>GBP6x18F_SYNTH1Y_Quote#0000</v>
      </c>
      <c r="E46" s="320" t="str">
        <f>_xll.ohRangeRetrieveError(D46)</f>
        <v/>
      </c>
      <c r="F46" s="47">
        <v>6</v>
      </c>
      <c r="G46" s="111" t="str">
        <f t="shared" si="7"/>
        <v>6x18F</v>
      </c>
      <c r="H46" s="112">
        <f>SynthFRA!H8</f>
        <v>1.1892044478652972E-2</v>
      </c>
      <c r="I46" s="59"/>
      <c r="J46" s="115">
        <v>3.4605640887299519E-3</v>
      </c>
      <c r="K46" s="59"/>
      <c r="L46" s="117">
        <v>1.1892044478652972E-2</v>
      </c>
      <c r="M46" s="118">
        <f>_xll.qlSimpleQuoteSetValue(D46,ROUND(L46,6),EvaluationDate)</f>
        <v>0</v>
      </c>
      <c r="N46" s="51"/>
    </row>
    <row r="47" spans="1:14" x14ac:dyDescent="0.2">
      <c r="A47" s="316">
        <v>7</v>
      </c>
      <c r="B47" s="122" t="str">
        <f t="shared" si="5"/>
        <v>7x19F</v>
      </c>
      <c r="C47" s="45" t="str">
        <f t="shared" si="6"/>
        <v>GBP7x19F_SYNTH1Y_Quote</v>
      </c>
      <c r="D47" s="123" t="str">
        <f>_xll.qlSimpleQuote(C47,,RateTickValue,Permanent,Trigger,ObjectOverwrite)</f>
        <v>GBP7x19F_SYNTH1Y_Quote#0000</v>
      </c>
      <c r="E47" s="320" t="str">
        <f>_xll.ohRangeRetrieveError(D47)</f>
        <v/>
      </c>
      <c r="F47" s="47">
        <v>7</v>
      </c>
      <c r="G47" s="111" t="str">
        <f t="shared" si="7"/>
        <v>7x19F</v>
      </c>
      <c r="H47" s="112">
        <f>SynthFRA!H9</f>
        <v>1.2289018348676257E-2</v>
      </c>
      <c r="I47" s="59"/>
      <c r="J47" s="115">
        <v>3.4944777323652411E-3</v>
      </c>
      <c r="K47" s="59"/>
      <c r="L47" s="117">
        <v>1.2289018348676257E-2</v>
      </c>
      <c r="M47" s="118">
        <f>_xll.qlSimpleQuoteSetValue(D47,ROUND(L47,6),EvaluationDate)</f>
        <v>0</v>
      </c>
      <c r="N47" s="51"/>
    </row>
    <row r="48" spans="1:14" x14ac:dyDescent="0.2">
      <c r="A48" s="316">
        <v>8</v>
      </c>
      <c r="B48" s="122" t="str">
        <f t="shared" si="5"/>
        <v>8x20F</v>
      </c>
      <c r="C48" s="45" t="str">
        <f t="shared" si="6"/>
        <v>GBP8x20F_SYNTH1Y_Quote</v>
      </c>
      <c r="D48" s="123" t="str">
        <f>_xll.qlSimpleQuote(C48,,RateTickValue,Permanent,Trigger,ObjectOverwrite)</f>
        <v>GBP8x20F_SYNTH1Y_Quote#0000</v>
      </c>
      <c r="E48" s="320" t="str">
        <f>_xll.ohRangeRetrieveError(D48)</f>
        <v/>
      </c>
      <c r="F48" s="47">
        <v>8</v>
      </c>
      <c r="G48" s="111" t="str">
        <f t="shared" si="7"/>
        <v>8x20F</v>
      </c>
      <c r="H48" s="112">
        <f>SynthFRA!H10</f>
        <v>1.2693181110965896E-2</v>
      </c>
      <c r="I48" s="59"/>
      <c r="J48" s="115">
        <v>3.5321172705571544E-3</v>
      </c>
      <c r="K48" s="59"/>
      <c r="L48" s="117">
        <v>1.2693181110965896E-2</v>
      </c>
      <c r="M48" s="118">
        <f>_xll.qlSimpleQuoteSetValue(D48,ROUND(L48,6),EvaluationDate)</f>
        <v>0</v>
      </c>
      <c r="N48" s="51"/>
    </row>
    <row r="49" spans="1:14" x14ac:dyDescent="0.2">
      <c r="A49" s="316">
        <v>9</v>
      </c>
      <c r="B49" s="122" t="str">
        <f t="shared" si="5"/>
        <v>9x21F</v>
      </c>
      <c r="C49" s="45" t="str">
        <f t="shared" si="6"/>
        <v>GBP9x21F_SYNTH1Y_Quote</v>
      </c>
      <c r="D49" s="123" t="str">
        <f>_xll.qlSimpleQuote(C49,,RateTickValue,Permanent,Trigger,ObjectOverwrite)</f>
        <v>GBP9x21F_SYNTH1Y_Quote#0000</v>
      </c>
      <c r="E49" s="320" t="str">
        <f>_xll.ohRangeRetrieveError(D49)</f>
        <v/>
      </c>
      <c r="F49" s="47">
        <v>9</v>
      </c>
      <c r="G49" s="111" t="str">
        <f t="shared" si="7"/>
        <v>9x21F</v>
      </c>
      <c r="H49" s="112">
        <f>SynthFRA!H11</f>
        <v>1.3118182534226783E-2</v>
      </c>
      <c r="I49" s="59"/>
      <c r="J49" s="115">
        <v>3.5813365788215775E-3</v>
      </c>
      <c r="K49" s="59"/>
      <c r="L49" s="117">
        <v>1.3118182534226783E-2</v>
      </c>
      <c r="M49" s="118">
        <f>_xll.qlSimpleQuoteSetValue(D49,ROUND(L49,6),EvaluationDate)</f>
        <v>0</v>
      </c>
      <c r="N49" s="51"/>
    </row>
    <row r="50" spans="1:14" x14ac:dyDescent="0.2">
      <c r="A50" s="316">
        <v>10</v>
      </c>
      <c r="B50" s="122" t="str">
        <f t="shared" si="5"/>
        <v>10x22F</v>
      </c>
      <c r="C50" s="45" t="str">
        <f t="shared" si="6"/>
        <v>GBP10x22F_SYNTH1Y_Quote</v>
      </c>
      <c r="D50" s="123" t="str">
        <f>_xll.qlSimpleQuote(C50,,RateTickValue,Permanent,Trigger,ObjectOverwrite)</f>
        <v>GBP10x22F_SYNTH1Y_Quote#0000</v>
      </c>
      <c r="E50" s="320" t="str">
        <f>_xll.ohRangeRetrieveError(D50)</f>
        <v/>
      </c>
      <c r="F50" s="47">
        <v>10</v>
      </c>
      <c r="G50" s="111" t="str">
        <f t="shared" si="7"/>
        <v>10x22F</v>
      </c>
      <c r="H50" s="112">
        <f>SynthFRA!H12</f>
        <v>1.3496927980189685E-2</v>
      </c>
      <c r="I50" s="59"/>
      <c r="J50" s="115">
        <v>3.6543872266933592E-3</v>
      </c>
      <c r="K50" s="59"/>
      <c r="L50" s="117">
        <v>1.3496927980189685E-2</v>
      </c>
      <c r="M50" s="118">
        <f>_xll.qlSimpleQuoteSetValue(D50,ROUND(L50,6),EvaluationDate)</f>
        <v>0</v>
      </c>
      <c r="N50" s="51"/>
    </row>
    <row r="51" spans="1:14" x14ac:dyDescent="0.2">
      <c r="A51" s="316">
        <v>11</v>
      </c>
      <c r="B51" s="122" t="str">
        <f t="shared" si="5"/>
        <v>11x23F</v>
      </c>
      <c r="C51" s="45" t="str">
        <f t="shared" si="6"/>
        <v>GBP11x23F_SYNTH1Y_Quote</v>
      </c>
      <c r="D51" s="123" t="str">
        <f>_xll.qlSimpleQuote(C51,,RateTickValue,Permanent,Trigger,ObjectOverwrite)</f>
        <v>GBP11x23F_SYNTH1Y_Quote#0000</v>
      </c>
      <c r="E51" s="320" t="str">
        <f>_xll.ohRangeRetrieveError(D51)</f>
        <v/>
      </c>
      <c r="F51" s="47">
        <v>11</v>
      </c>
      <c r="G51" s="111" t="str">
        <f t="shared" si="7"/>
        <v>11x23F</v>
      </c>
      <c r="H51" s="112">
        <f>SynthFRA!H13</f>
        <v>1.387012153371093E-2</v>
      </c>
      <c r="I51" s="59"/>
      <c r="J51" s="115">
        <v>3.7194370522021635E-3</v>
      </c>
      <c r="K51" s="59"/>
      <c r="L51" s="117">
        <v>1.387012153371093E-2</v>
      </c>
      <c r="M51" s="118">
        <f>_xll.qlSimpleQuoteSetValue(D51,ROUND(L51,6),EvaluationDate)</f>
        <v>0</v>
      </c>
      <c r="N51" s="51"/>
    </row>
    <row r="52" spans="1:14" x14ac:dyDescent="0.2">
      <c r="A52" s="316">
        <v>13</v>
      </c>
      <c r="B52" s="122" t="str">
        <f t="shared" si="5"/>
        <v>13x25F</v>
      </c>
      <c r="C52" s="45" t="str">
        <f t="shared" si="6"/>
        <v>GBP13x25F_SYNTH1Y_Quote</v>
      </c>
      <c r="D52" s="123" t="str">
        <f>_xll.qlSimpleQuote(C52,,RateTickValue,Permanent,Trigger,ObjectOverwrite)</f>
        <v>GBP13x25F_SYNTH1Y_Quote#0000</v>
      </c>
      <c r="E52" s="320" t="str">
        <f>_xll.ohRangeRetrieveError(D52)</f>
        <v/>
      </c>
      <c r="F52" s="47">
        <v>13</v>
      </c>
      <c r="G52" s="111" t="str">
        <f t="shared" si="7"/>
        <v>13x25F</v>
      </c>
      <c r="H52" s="112">
        <f>SynthFRA!H15</f>
        <v>1.4649515577511863E-2</v>
      </c>
      <c r="I52" s="59"/>
      <c r="J52" s="115">
        <v>3.8720283583146007E-3</v>
      </c>
      <c r="K52" s="59"/>
      <c r="L52" s="117">
        <v>1.4649515577511863E-2</v>
      </c>
      <c r="M52" s="118">
        <f>_xll.qlSimpleQuoteSetValue(D52,ROUND(L52,6),EvaluationDate)</f>
        <v>0</v>
      </c>
      <c r="N52" s="51"/>
    </row>
    <row r="53" spans="1:14" x14ac:dyDescent="0.2">
      <c r="A53" s="316">
        <v>14</v>
      </c>
      <c r="B53" s="122" t="str">
        <f t="shared" si="5"/>
        <v>14x26F</v>
      </c>
      <c r="C53" s="45" t="str">
        <f t="shared" si="6"/>
        <v>GBP14x26F_SYNTH1Y_Quote</v>
      </c>
      <c r="D53" s="123" t="str">
        <f>_xll.qlSimpleQuote(C53,,RateTickValue,Permanent,Trigger,ObjectOverwrite)</f>
        <v>GBP14x26F_SYNTH1Y_Quote#0000</v>
      </c>
      <c r="E53" s="320" t="str">
        <f>_xll.ohRangeRetrieveError(D53)</f>
        <v/>
      </c>
      <c r="F53" s="47">
        <v>14</v>
      </c>
      <c r="G53" s="111" t="str">
        <f t="shared" si="7"/>
        <v>14x26F</v>
      </c>
      <c r="H53" s="112">
        <f>SynthFRA!H16</f>
        <v>1.4995397970340435E-2</v>
      </c>
      <c r="I53" s="59"/>
      <c r="J53" s="115">
        <v>3.9171599819746638E-3</v>
      </c>
      <c r="K53" s="59"/>
      <c r="L53" s="117">
        <v>1.4995397970340435E-2</v>
      </c>
      <c r="M53" s="118">
        <f>_xll.qlSimpleQuoteSetValue(D53,ROUND(L53,6),EvaluationDate)</f>
        <v>0</v>
      </c>
      <c r="N53" s="51"/>
    </row>
    <row r="54" spans="1:14" x14ac:dyDescent="0.2">
      <c r="A54" s="316">
        <v>15</v>
      </c>
      <c r="B54" s="122" t="str">
        <f t="shared" si="5"/>
        <v>15x27F</v>
      </c>
      <c r="C54" s="45" t="str">
        <f t="shared" si="6"/>
        <v>GBP15x27F_SYNTH1Y_Quote</v>
      </c>
      <c r="D54" s="123" t="str">
        <f>_xll.qlSimpleQuote(C54,,RateTickValue,Permanent,Trigger,ObjectOverwrite)</f>
        <v>GBP15x27F_SYNTH1Y_Quote#0000</v>
      </c>
      <c r="E54" s="320" t="str">
        <f>_xll.ohRangeRetrieveError(D54)</f>
        <v/>
      </c>
      <c r="F54" s="47">
        <v>15</v>
      </c>
      <c r="G54" s="111" t="str">
        <f t="shared" si="7"/>
        <v>15x27F</v>
      </c>
      <c r="H54" s="112">
        <f>SynthFRA!H17</f>
        <v>1.5321827442413057E-2</v>
      </c>
      <c r="I54" s="59"/>
      <c r="J54" s="115">
        <v>4.0267198538210588E-3</v>
      </c>
      <c r="K54" s="59"/>
      <c r="L54" s="117">
        <v>1.5321827442413057E-2</v>
      </c>
      <c r="M54" s="118">
        <f>_xll.qlSimpleQuoteSetValue(D54,ROUND(L54,6),EvaluationDate)</f>
        <v>0</v>
      </c>
      <c r="N54" s="51"/>
    </row>
    <row r="55" spans="1:14" x14ac:dyDescent="0.2">
      <c r="A55" s="316">
        <v>16</v>
      </c>
      <c r="B55" s="122" t="str">
        <f t="shared" si="5"/>
        <v>16x28F</v>
      </c>
      <c r="C55" s="45" t="str">
        <f t="shared" si="6"/>
        <v>GBP16x28F_SYNTH1Y_Quote</v>
      </c>
      <c r="D55" s="123" t="str">
        <f>_xll.qlSimpleQuote(C55,,RateTickValue,Permanent,Trigger,ObjectOverwrite)</f>
        <v>GBP16x28F_SYNTH1Y_Quote#0000</v>
      </c>
      <c r="E55" s="320" t="str">
        <f>_xll.ohRangeRetrieveError(D55)</f>
        <v/>
      </c>
      <c r="F55" s="47">
        <v>16</v>
      </c>
      <c r="G55" s="111" t="str">
        <f t="shared" si="7"/>
        <v>16x28F</v>
      </c>
      <c r="H55" s="112">
        <f>SynthFRA!H18</f>
        <v>1.5642295543294708E-2</v>
      </c>
      <c r="I55" s="59"/>
      <c r="J55" s="115">
        <v>4.1329970922189185E-3</v>
      </c>
      <c r="K55" s="59"/>
      <c r="L55" s="117">
        <v>1.5642295543294708E-2</v>
      </c>
      <c r="M55" s="118">
        <f>_xll.qlSimpleQuoteSetValue(D55,ROUND(L55,6),EvaluationDate)</f>
        <v>0</v>
      </c>
      <c r="N55" s="51"/>
    </row>
    <row r="56" spans="1:14" x14ac:dyDescent="0.2">
      <c r="A56" s="316">
        <v>17</v>
      </c>
      <c r="B56" s="122" t="str">
        <f t="shared" si="5"/>
        <v>17x29F</v>
      </c>
      <c r="C56" s="45" t="str">
        <f t="shared" si="6"/>
        <v>GBP17x29F_SYNTH1Y_Quote</v>
      </c>
      <c r="D56" s="123" t="str">
        <f>_xll.qlSimpleQuote(C56,,RateTickValue,Permanent,Trigger,ObjectOverwrite)</f>
        <v>GBP17x29F_SYNTH1Y_Quote#0000</v>
      </c>
      <c r="E56" s="320" t="str">
        <f>_xll.ohRangeRetrieveError(D56)</f>
        <v/>
      </c>
      <c r="F56" s="47">
        <v>17</v>
      </c>
      <c r="G56" s="111" t="str">
        <f t="shared" si="7"/>
        <v>17x29F</v>
      </c>
      <c r="H56" s="112">
        <f>SynthFRA!H19</f>
        <v>1.5942079579508852E-2</v>
      </c>
      <c r="I56" s="59"/>
      <c r="J56" s="115">
        <v>4.2134721254825282E-3</v>
      </c>
      <c r="K56" s="59"/>
      <c r="L56" s="117">
        <v>1.5942079579508852E-2</v>
      </c>
      <c r="M56" s="118">
        <f>_xll.qlSimpleQuoteSetValue(D56,ROUND(L56,6),EvaluationDate)</f>
        <v>0</v>
      </c>
      <c r="N56" s="51"/>
    </row>
    <row r="57" spans="1:14" x14ac:dyDescent="0.2">
      <c r="A57" s="316">
        <v>18</v>
      </c>
      <c r="B57" s="122" t="str">
        <f t="shared" si="5"/>
        <v>18x30F</v>
      </c>
      <c r="C57" s="45" t="str">
        <f t="shared" si="6"/>
        <v>GBP18x30F_SYNTH1Y_Quote</v>
      </c>
      <c r="D57" s="123" t="str">
        <f>_xll.qlSimpleQuote(C57,,RateTickValue,Permanent,Trigger,ObjectOverwrite)</f>
        <v>GBP18x30F_SYNTH1Y_Quote#0000</v>
      </c>
      <c r="E57" s="320" t="str">
        <f>_xll.ohRangeRetrieveError(D57)</f>
        <v/>
      </c>
      <c r="F57" s="47">
        <v>18</v>
      </c>
      <c r="G57" s="111" t="str">
        <f t="shared" si="7"/>
        <v>18x30F</v>
      </c>
      <c r="H57" s="112">
        <f>SynthFRA!H20</f>
        <v>1.6237905780253969E-2</v>
      </c>
      <c r="I57" s="59"/>
      <c r="J57" s="115">
        <v>4.3008791705088749E-3</v>
      </c>
      <c r="K57" s="59"/>
      <c r="L57" s="117">
        <v>1.6237905780253969E-2</v>
      </c>
      <c r="M57" s="118">
        <f>_xll.qlSimpleQuoteSetValue(D57,ROUND(L57,6),EvaluationDate)</f>
        <v>0</v>
      </c>
      <c r="N57" s="51"/>
    </row>
    <row r="58" spans="1:14" x14ac:dyDescent="0.2">
      <c r="A58" s="316">
        <v>19</v>
      </c>
      <c r="B58" s="122" t="str">
        <f t="shared" si="5"/>
        <v>19x31F</v>
      </c>
      <c r="C58" s="45" t="str">
        <f t="shared" si="6"/>
        <v>GBP19x31F_SYNTH1Y_Quote</v>
      </c>
      <c r="D58" s="123" t="str">
        <f>_xll.qlSimpleQuote(C58,,RateTickValue,Permanent,Trigger,ObjectOverwrite)</f>
        <v>GBP19x31F_SYNTH1Y_Quote#0000</v>
      </c>
      <c r="E58" s="320" t="str">
        <f>_xll.ohRangeRetrieveError(D58)</f>
        <v/>
      </c>
      <c r="F58" s="47">
        <v>19</v>
      </c>
      <c r="G58" s="111" t="str">
        <f t="shared" si="7"/>
        <v>19x31F</v>
      </c>
      <c r="H58" s="112">
        <f>SynthFRA!H21</f>
        <v>1.6507982293526825E-2</v>
      </c>
      <c r="I58" s="59"/>
      <c r="J58" s="115">
        <v>4.4018605292064873E-3</v>
      </c>
      <c r="K58" s="59"/>
      <c r="L58" s="117">
        <v>1.6507982293526825E-2</v>
      </c>
      <c r="M58" s="118">
        <f>_xll.qlSimpleQuoteSetValue(D58,ROUND(L58,6),EvaluationDate)</f>
        <v>0</v>
      </c>
      <c r="N58" s="51"/>
    </row>
    <row r="59" spans="1:14" x14ac:dyDescent="0.2">
      <c r="A59" s="316">
        <v>20</v>
      </c>
      <c r="B59" s="122" t="str">
        <f t="shared" si="5"/>
        <v>20x32F</v>
      </c>
      <c r="C59" s="45" t="str">
        <f t="shared" si="6"/>
        <v>GBP20x32F_SYNTH1Y_Quote</v>
      </c>
      <c r="D59" s="123" t="str">
        <f>_xll.qlSimpleQuote(C59,,RateTickValue,Permanent,Trigger,ObjectOverwrite)</f>
        <v>GBP20x32F_SYNTH1Y_Quote#0000</v>
      </c>
      <c r="E59" s="320" t="str">
        <f>_xll.ohRangeRetrieveError(D59)</f>
        <v/>
      </c>
      <c r="F59" s="47">
        <v>20</v>
      </c>
      <c r="G59" s="111" t="str">
        <f t="shared" si="7"/>
        <v>20x32F</v>
      </c>
      <c r="H59" s="112">
        <f>SynthFRA!H22</f>
        <v>1.6764170578172956E-2</v>
      </c>
      <c r="I59" s="59"/>
      <c r="J59" s="115">
        <v>4.4919660238962921E-3</v>
      </c>
      <c r="K59" s="59"/>
      <c r="L59" s="117">
        <v>1.6764170578172956E-2</v>
      </c>
      <c r="M59" s="118">
        <f>_xll.qlSimpleQuoteSetValue(D59,ROUND(L59,6),EvaluationDate)</f>
        <v>0</v>
      </c>
      <c r="N59" s="51"/>
    </row>
    <row r="60" spans="1:14" x14ac:dyDescent="0.2">
      <c r="A60" s="316">
        <v>21</v>
      </c>
      <c r="B60" s="122" t="str">
        <f t="shared" si="5"/>
        <v>21x33F</v>
      </c>
      <c r="C60" s="45" t="str">
        <f t="shared" si="6"/>
        <v>GBP21x33F_SYNTH1Y_Quote</v>
      </c>
      <c r="D60" s="123" t="str">
        <f>_xll.qlSimpleQuote(C60,,RateTickValue,Permanent,Trigger,ObjectOverwrite)</f>
        <v>GBP21x33F_SYNTH1Y_Quote#0000</v>
      </c>
      <c r="E60" s="320" t="str">
        <f>_xll.ohRangeRetrieveError(D60)</f>
        <v/>
      </c>
      <c r="F60" s="47">
        <v>21</v>
      </c>
      <c r="G60" s="111" t="str">
        <f t="shared" si="7"/>
        <v>21x33F</v>
      </c>
      <c r="H60" s="112">
        <f>SynthFRA!H23</f>
        <v>1.7031024544458626E-2</v>
      </c>
      <c r="I60" s="59"/>
      <c r="J60" s="115">
        <v>4.5954939536650523E-3</v>
      </c>
      <c r="K60" s="59"/>
      <c r="L60" s="117">
        <v>1.7031024544458626E-2</v>
      </c>
      <c r="M60" s="118">
        <f>_xll.qlSimpleQuoteSetValue(D60,ROUND(L60,6),EvaluationDate)</f>
        <v>0</v>
      </c>
      <c r="N60" s="51"/>
    </row>
    <row r="61" spans="1:14" x14ac:dyDescent="0.2">
      <c r="A61" s="316">
        <v>22</v>
      </c>
      <c r="B61" s="122" t="str">
        <f t="shared" si="5"/>
        <v>22x34F</v>
      </c>
      <c r="C61" s="45" t="str">
        <f t="shared" si="6"/>
        <v>GBP22x34F_SYNTH1Y_Quote</v>
      </c>
      <c r="D61" s="123" t="str">
        <f>_xll.qlSimpleQuote(C61,,RateTickValue,Permanent,Trigger,ObjectOverwrite)</f>
        <v>GBP22x34F_SYNTH1Y_Quote#0000</v>
      </c>
      <c r="E61" s="320" t="str">
        <f>_xll.ohRangeRetrieveError(D61)</f>
        <v/>
      </c>
      <c r="F61" s="47">
        <v>22</v>
      </c>
      <c r="G61" s="111" t="str">
        <f t="shared" si="7"/>
        <v>22x34F</v>
      </c>
      <c r="H61" s="112">
        <f>SynthFRA!H24</f>
        <v>1.727150841354138E-2</v>
      </c>
      <c r="I61" s="59"/>
      <c r="J61" s="115">
        <v>4.7058631429596973E-3</v>
      </c>
      <c r="K61" s="59"/>
      <c r="L61" s="117">
        <v>1.727150841354138E-2</v>
      </c>
      <c r="M61" s="118">
        <f>_xll.qlSimpleQuoteSetValue(D61,ROUND(L61,6),EvaluationDate)</f>
        <v>0</v>
      </c>
      <c r="N61" s="51"/>
    </row>
    <row r="62" spans="1:14" x14ac:dyDescent="0.2">
      <c r="A62" s="316">
        <v>23</v>
      </c>
      <c r="B62" s="122" t="str">
        <f t="shared" si="5"/>
        <v>23x35F</v>
      </c>
      <c r="C62" s="45" t="str">
        <f t="shared" si="6"/>
        <v>GBP23x35F_SYNTH1Y_Quote</v>
      </c>
      <c r="D62" s="123" t="str">
        <f>_xll.qlSimpleQuote(C62,,RateTickValue,Permanent,Trigger,ObjectOverwrite)</f>
        <v>GBP23x35F_SYNTH1Y_Quote#0000</v>
      </c>
      <c r="E62" s="320" t="str">
        <f>_xll.ohRangeRetrieveError(D62)</f>
        <v/>
      </c>
      <c r="F62" s="47">
        <v>23</v>
      </c>
      <c r="G62" s="111" t="str">
        <f t="shared" si="7"/>
        <v>23x35F</v>
      </c>
      <c r="H62" s="112">
        <f>SynthFRA!H25</f>
        <v>1.7512955439333032E-2</v>
      </c>
      <c r="I62" s="59"/>
      <c r="J62" s="115">
        <v>4.8096995743170268E-3</v>
      </c>
      <c r="K62" s="59"/>
      <c r="L62" s="117">
        <v>1.7512955439333032E-2</v>
      </c>
      <c r="M62" s="118">
        <f>_xll.qlSimpleQuoteSetValue(D62,ROUND(L62,6),EvaluationDate)</f>
        <v>0</v>
      </c>
      <c r="N62" s="51"/>
    </row>
    <row r="63" spans="1:14" x14ac:dyDescent="0.2">
      <c r="A63" s="316">
        <v>25</v>
      </c>
      <c r="B63" s="122" t="str">
        <f t="shared" si="5"/>
        <v>25x37F</v>
      </c>
      <c r="C63" s="45" t="str">
        <f t="shared" si="6"/>
        <v>GBP25x37F_SYNTH1Y_Quote</v>
      </c>
      <c r="D63" s="123" t="str">
        <f>_xll.qlSimpleQuote(C63,,RateTickValue,Permanent,Trigger,ObjectOverwrite)</f>
        <v>GBP25x37F_SYNTH1Y_Quote#0000</v>
      </c>
      <c r="E63" s="320" t="str">
        <f>_xll.ohRangeRetrieveError(D63)</f>
        <v/>
      </c>
      <c r="F63" s="47">
        <v>25</v>
      </c>
      <c r="G63" s="111" t="str">
        <f t="shared" si="7"/>
        <v>25x37F</v>
      </c>
      <c r="H63" s="112">
        <f>SynthFRA!H27</f>
        <v>1.801722748134485E-2</v>
      </c>
      <c r="I63" s="59"/>
      <c r="J63" s="115">
        <v>5.0522302397286488E-3</v>
      </c>
      <c r="K63" s="59"/>
      <c r="L63" s="117">
        <v>1.801722748134485E-2</v>
      </c>
      <c r="M63" s="118">
        <f>_xll.qlSimpleQuoteSetValue(D63,ROUND(L63,6),EvaluationDate)</f>
        <v>0</v>
      </c>
      <c r="N63" s="51"/>
    </row>
    <row r="64" spans="1:14" x14ac:dyDescent="0.2">
      <c r="A64" s="316">
        <v>26</v>
      </c>
      <c r="B64" s="122" t="str">
        <f t="shared" si="5"/>
        <v>26x38F</v>
      </c>
      <c r="C64" s="45" t="str">
        <f t="shared" si="6"/>
        <v>GBP26x38F_SYNTH1Y_Quote</v>
      </c>
      <c r="D64" s="123" t="str">
        <f>_xll.qlSimpleQuote(C64,,RateTickValue,Permanent,Trigger,ObjectOverwrite)</f>
        <v>GBP26x38F_SYNTH1Y_Quote#0000</v>
      </c>
      <c r="E64" s="320" t="str">
        <f>_xll.ohRangeRetrieveError(D64)</f>
        <v/>
      </c>
      <c r="F64" s="47">
        <v>26</v>
      </c>
      <c r="G64" s="111" t="str">
        <f t="shared" si="7"/>
        <v>26x38F</v>
      </c>
      <c r="H64" s="112">
        <f>SynthFRA!H28</f>
        <v>1.8267497534313063E-2</v>
      </c>
      <c r="I64" s="59"/>
      <c r="J64" s="115">
        <v>5.1723447587727405E-3</v>
      </c>
      <c r="K64" s="59"/>
      <c r="L64" s="117">
        <v>1.8267497534313063E-2</v>
      </c>
      <c r="M64" s="118">
        <f>_xll.qlSimpleQuoteSetValue(D64,ROUND(L64,6),EvaluationDate)</f>
        <v>0</v>
      </c>
      <c r="N64" s="51"/>
    </row>
    <row r="65" spans="1:14" x14ac:dyDescent="0.2">
      <c r="A65" s="316">
        <v>27</v>
      </c>
      <c r="B65" s="122" t="str">
        <f t="shared" si="5"/>
        <v>27x39F</v>
      </c>
      <c r="C65" s="45" t="str">
        <f t="shared" si="6"/>
        <v>GBP27x39F_SYNTH1Y_Quote</v>
      </c>
      <c r="D65" s="123" t="str">
        <f>_xll.qlSimpleQuote(C65,,RateTickValue,Permanent,Trigger,ObjectOverwrite)</f>
        <v>GBP27x39F_SYNTH1Y_Quote#0000</v>
      </c>
      <c r="E65" s="320" t="str">
        <f>_xll.ohRangeRetrieveError(D65)</f>
        <v/>
      </c>
      <c r="F65" s="47">
        <v>27</v>
      </c>
      <c r="G65" s="111" t="str">
        <f t="shared" si="7"/>
        <v>27x39F</v>
      </c>
      <c r="H65" s="112">
        <f>SynthFRA!H29</f>
        <v>1.8525912903748748E-2</v>
      </c>
      <c r="I65" s="59"/>
      <c r="J65" s="115">
        <v>5.3150282994908178E-3</v>
      </c>
      <c r="K65" s="59"/>
      <c r="L65" s="117">
        <v>1.8525912903748748E-2</v>
      </c>
      <c r="M65" s="118">
        <f>_xll.qlSimpleQuoteSetValue(D65,ROUND(L65,6),EvaluationDate)</f>
        <v>0</v>
      </c>
      <c r="N65" s="51"/>
    </row>
    <row r="66" spans="1:14" x14ac:dyDescent="0.2">
      <c r="A66" s="316">
        <v>28</v>
      </c>
      <c r="B66" s="122" t="str">
        <f t="shared" si="5"/>
        <v>28x40F</v>
      </c>
      <c r="C66" s="45" t="str">
        <f t="shared" si="6"/>
        <v>GBP28x40F_SYNTH1Y_Quote</v>
      </c>
      <c r="D66" s="123" t="str">
        <f>_xll.qlSimpleQuote(C66,,RateTickValue,Permanent,Trigger,ObjectOverwrite)</f>
        <v>GBP28x40F_SYNTH1Y_Quote#0000</v>
      </c>
      <c r="E66" s="320" t="str">
        <f>_xll.ohRangeRetrieveError(D66)</f>
        <v/>
      </c>
      <c r="F66" s="47">
        <v>28</v>
      </c>
      <c r="G66" s="111" t="str">
        <f t="shared" si="7"/>
        <v>28x40F</v>
      </c>
      <c r="H66" s="112">
        <f>SynthFRA!H30</f>
        <v>1.8769913563571813E-2</v>
      </c>
      <c r="I66" s="59"/>
      <c r="J66" s="115">
        <v>5.4407488203351683E-3</v>
      </c>
      <c r="K66" s="59"/>
      <c r="L66" s="117">
        <v>1.8769913563571813E-2</v>
      </c>
      <c r="M66" s="118">
        <f>_xll.qlSimpleQuoteSetValue(D66,ROUND(L66,6),EvaluationDate)</f>
        <v>0</v>
      </c>
      <c r="N66" s="51"/>
    </row>
    <row r="67" spans="1:14" x14ac:dyDescent="0.2">
      <c r="A67" s="316">
        <v>29</v>
      </c>
      <c r="B67" s="122" t="str">
        <f t="shared" si="5"/>
        <v>29x41F</v>
      </c>
      <c r="C67" s="45" t="str">
        <f t="shared" si="6"/>
        <v>GBP29x41F_SYNTH1Y_Quote</v>
      </c>
      <c r="D67" s="123" t="str">
        <f>_xll.qlSimpleQuote(C67,,RateTickValue,Permanent,Trigger,ObjectOverwrite)</f>
        <v>GBP29x41F_SYNTH1Y_Quote#0000</v>
      </c>
      <c r="E67" s="320" t="str">
        <f>_xll.ohRangeRetrieveError(D67)</f>
        <v/>
      </c>
      <c r="F67" s="47">
        <v>29</v>
      </c>
      <c r="G67" s="111" t="str">
        <f t="shared" si="7"/>
        <v>29x41F</v>
      </c>
      <c r="H67" s="112">
        <f>SynthFRA!H31</f>
        <v>1.9006919488497837E-2</v>
      </c>
      <c r="I67" s="59"/>
      <c r="J67" s="115">
        <v>5.5751222575614514E-3</v>
      </c>
      <c r="K67" s="59"/>
      <c r="L67" s="117">
        <v>1.9006919488497837E-2</v>
      </c>
      <c r="M67" s="118">
        <f>_xll.qlSimpleQuoteSetValue(D67,ROUND(L67,6),EvaluationDate)</f>
        <v>0</v>
      </c>
      <c r="N67" s="51"/>
    </row>
    <row r="68" spans="1:14" x14ac:dyDescent="0.2">
      <c r="A68" s="316">
        <v>30</v>
      </c>
      <c r="B68" s="122" t="str">
        <f t="shared" si="5"/>
        <v>30x42F</v>
      </c>
      <c r="C68" s="45" t="str">
        <f t="shared" si="6"/>
        <v>GBP30x42F_SYNTH1Y_Quote</v>
      </c>
      <c r="D68" s="123" t="str">
        <f>_xll.qlSimpleQuote(C68,,RateTickValue,Permanent,Trigger,ObjectOverwrite)</f>
        <v>GBP30x42F_SYNTH1Y_Quote#0000</v>
      </c>
      <c r="E68" s="320" t="str">
        <f>_xll.ohRangeRetrieveError(D68)</f>
        <v/>
      </c>
      <c r="F68" s="47">
        <v>30</v>
      </c>
      <c r="G68" s="111" t="str">
        <f t="shared" si="7"/>
        <v>30x42F</v>
      </c>
      <c r="H68" s="112">
        <f>SynthFRA!H32</f>
        <v>1.925651306919067E-2</v>
      </c>
      <c r="I68" s="59"/>
      <c r="J68" s="115">
        <v>5.718231965587536E-3</v>
      </c>
      <c r="K68" s="59"/>
      <c r="L68" s="117">
        <v>1.925651306919067E-2</v>
      </c>
      <c r="M68" s="118">
        <f>_xll.qlSimpleQuoteSetValue(D68,ROUND(L68,6),EvaluationDate)</f>
        <v>0</v>
      </c>
      <c r="N68" s="51"/>
    </row>
    <row r="69" spans="1:14" x14ac:dyDescent="0.2">
      <c r="A69" s="316">
        <v>31</v>
      </c>
      <c r="B69" s="122" t="str">
        <f t="shared" si="5"/>
        <v>31x43F</v>
      </c>
      <c r="C69" s="45" t="str">
        <f t="shared" si="6"/>
        <v>GBP31x43F_SYNTH1Y_Quote</v>
      </c>
      <c r="D69" s="123" t="str">
        <f>_xll.qlSimpleQuote(C69,,RateTickValue,Permanent,Trigger,ObjectOverwrite)</f>
        <v>GBP31x43F_SYNTH1Y_Quote#0000</v>
      </c>
      <c r="E69" s="320" t="str">
        <f>_xll.ohRangeRetrieveError(D69)</f>
        <v/>
      </c>
      <c r="F69" s="47">
        <v>31</v>
      </c>
      <c r="G69" s="111" t="str">
        <f t="shared" si="7"/>
        <v>31x43F</v>
      </c>
      <c r="H69" s="112">
        <f>SynthFRA!H33</f>
        <v>1.9496755992233255E-2</v>
      </c>
      <c r="I69" s="59"/>
      <c r="J69" s="115">
        <v>5.8750651022078052E-3</v>
      </c>
      <c r="K69" s="59"/>
      <c r="L69" s="117">
        <v>1.9496755992233255E-2</v>
      </c>
      <c r="M69" s="118">
        <f>_xll.qlSimpleQuoteSetValue(D69,ROUND(L69,6),EvaluationDate)</f>
        <v>0</v>
      </c>
      <c r="N69" s="51"/>
    </row>
    <row r="70" spans="1:14" x14ac:dyDescent="0.2">
      <c r="A70" s="316">
        <v>32</v>
      </c>
      <c r="B70" s="122" t="str">
        <f t="shared" si="5"/>
        <v>32x44F</v>
      </c>
      <c r="C70" s="45" t="str">
        <f t="shared" si="6"/>
        <v>GBP32x44F_SYNTH1Y_Quote</v>
      </c>
      <c r="D70" s="123" t="str">
        <f>_xll.qlSimpleQuote(C70,,RateTickValue,Permanent,Trigger,ObjectOverwrite)</f>
        <v>GBP32x44F_SYNTH1Y_Quote#0000</v>
      </c>
      <c r="E70" s="320" t="str">
        <f>_xll.ohRangeRetrieveError(D70)</f>
        <v/>
      </c>
      <c r="F70" s="47">
        <v>32</v>
      </c>
      <c r="G70" s="111" t="str">
        <f t="shared" si="7"/>
        <v>32x44F</v>
      </c>
      <c r="H70" s="112">
        <f>SynthFRA!H34</f>
        <v>1.972382519510537E-2</v>
      </c>
      <c r="I70" s="59"/>
      <c r="J70" s="115">
        <v>6.0205538315344842E-3</v>
      </c>
      <c r="K70" s="59"/>
      <c r="L70" s="117">
        <v>1.972382519510537E-2</v>
      </c>
      <c r="M70" s="118">
        <f>_xll.qlSimpleQuoteSetValue(D70,ROUND(L70,6),EvaluationDate)</f>
        <v>0</v>
      </c>
      <c r="N70" s="51"/>
    </row>
    <row r="71" spans="1:14" x14ac:dyDescent="0.2">
      <c r="A71" s="316">
        <v>33</v>
      </c>
      <c r="B71" s="122" t="str">
        <f t="shared" si="5"/>
        <v>33x45F</v>
      </c>
      <c r="C71" s="45" t="str">
        <f t="shared" si="6"/>
        <v>GBP33x45F_SYNTH1Y_Quote</v>
      </c>
      <c r="D71" s="123" t="str">
        <f>_xll.qlSimpleQuote(C71,,RateTickValue,Permanent,Trigger,ObjectOverwrite)</f>
        <v>GBP33x45F_SYNTH1Y_Quote#0000</v>
      </c>
      <c r="E71" s="320" t="str">
        <f>_xll.ohRangeRetrieveError(D71)</f>
        <v/>
      </c>
      <c r="F71" s="47">
        <v>33</v>
      </c>
      <c r="G71" s="111" t="str">
        <f t="shared" si="7"/>
        <v>33x45F</v>
      </c>
      <c r="H71" s="112">
        <f>SynthFRA!H35</f>
        <v>1.995032936927842E-2</v>
      </c>
      <c r="I71" s="59"/>
      <c r="J71" s="115">
        <v>6.1834206352431283E-3</v>
      </c>
      <c r="K71" s="59"/>
      <c r="L71" s="117">
        <v>1.995032936927842E-2</v>
      </c>
      <c r="M71" s="118">
        <f>_xll.qlSimpleQuoteSetValue(D71,ROUND(L71,6),EvaluationDate)</f>
        <v>0</v>
      </c>
      <c r="N71" s="51"/>
    </row>
    <row r="72" spans="1:14" x14ac:dyDescent="0.2">
      <c r="A72" s="316">
        <v>34</v>
      </c>
      <c r="B72" s="122" t="str">
        <f t="shared" si="5"/>
        <v>34x46F</v>
      </c>
      <c r="C72" s="45" t="str">
        <f t="shared" si="6"/>
        <v>GBP34x46F_SYNTH1Y_Quote</v>
      </c>
      <c r="D72" s="123" t="str">
        <f>_xll.qlSimpleQuote(C72,,RateTickValue,Permanent,Trigger,ObjectOverwrite)</f>
        <v>GBP34x46F_SYNTH1Y_Quote#0000</v>
      </c>
      <c r="E72" s="320" t="str">
        <f>_xll.ohRangeRetrieveError(D72)</f>
        <v/>
      </c>
      <c r="F72" s="47">
        <v>34</v>
      </c>
      <c r="G72" s="111" t="str">
        <f t="shared" si="7"/>
        <v>34x46F</v>
      </c>
      <c r="H72" s="112">
        <f>SynthFRA!H36</f>
        <v>2.0155100562230768E-2</v>
      </c>
      <c r="I72" s="59"/>
      <c r="J72" s="115">
        <v>6.3407127429901894E-3</v>
      </c>
      <c r="K72" s="59"/>
      <c r="L72" s="117">
        <v>2.0155100562230768E-2</v>
      </c>
      <c r="M72" s="118">
        <f>_xll.qlSimpleQuoteSetValue(D72,ROUND(L72,6),EvaluationDate)</f>
        <v>0</v>
      </c>
      <c r="N72" s="51"/>
    </row>
    <row r="73" spans="1:14" x14ac:dyDescent="0.2">
      <c r="A73" s="316">
        <v>35</v>
      </c>
      <c r="B73" s="122" t="str">
        <f t="shared" si="5"/>
        <v>35x47F</v>
      </c>
      <c r="C73" s="45" t="str">
        <f t="shared" si="6"/>
        <v>GBP35x47F_SYNTH1Y_Quote</v>
      </c>
      <c r="D73" s="123" t="str">
        <f>_xll.qlSimpleQuote(C73,,RateTickValue,Permanent,Trigger,ObjectOverwrite)</f>
        <v>GBP35x47F_SYNTH1Y_Quote#0000</v>
      </c>
      <c r="E73" s="320" t="str">
        <f>_xll.ohRangeRetrieveError(D73)</f>
        <v/>
      </c>
      <c r="F73" s="47">
        <v>35</v>
      </c>
      <c r="G73" s="111" t="str">
        <f t="shared" si="7"/>
        <v>35x47F</v>
      </c>
      <c r="H73" s="112">
        <f>SynthFRA!H37</f>
        <v>2.0351635487070252E-2</v>
      </c>
      <c r="I73" s="59"/>
      <c r="J73" s="115">
        <v>6.4993179723235994E-3</v>
      </c>
      <c r="K73" s="59"/>
      <c r="L73" s="117">
        <v>2.0351635487070252E-2</v>
      </c>
      <c r="M73" s="118">
        <f>_xll.qlSimpleQuoteSetValue(D73,ROUND(L73,6),EvaluationDate)</f>
        <v>0</v>
      </c>
      <c r="N73" s="51"/>
    </row>
    <row r="74" spans="1:14" x14ac:dyDescent="0.2">
      <c r="A74" s="316">
        <v>37</v>
      </c>
      <c r="B74" s="122" t="str">
        <f t="shared" si="5"/>
        <v>37x49F</v>
      </c>
      <c r="C74" s="45" t="str">
        <f t="shared" si="6"/>
        <v>GBP37x49F_SYNTH1Y_Quote</v>
      </c>
      <c r="D74" s="123" t="str">
        <f>_xll.qlSimpleQuote(C74,,RateTickValue,Permanent,Trigger,ObjectOverwrite)</f>
        <v>GBP37x49F_SYNTH1Y_Quote#0000</v>
      </c>
      <c r="E74" s="320" t="str">
        <f>_xll.ohRangeRetrieveError(D74)</f>
        <v/>
      </c>
      <c r="F74" s="47">
        <v>37</v>
      </c>
      <c r="G74" s="111" t="str">
        <f t="shared" si="7"/>
        <v>37x49F</v>
      </c>
      <c r="H74" s="112">
        <f>SynthFRA!H39</f>
        <v>2.0740265850233888E-2</v>
      </c>
      <c r="I74" s="59"/>
      <c r="J74" s="115">
        <v>6.8382405101225429E-3</v>
      </c>
      <c r="K74" s="59"/>
      <c r="L74" s="117">
        <v>2.0740265850233888E-2</v>
      </c>
      <c r="M74" s="118">
        <f>_xll.qlSimpleQuoteSetValue(D74,ROUND(L74,6),EvaluationDate)</f>
        <v>0</v>
      </c>
      <c r="N74" s="51"/>
    </row>
    <row r="75" spans="1:14" x14ac:dyDescent="0.2">
      <c r="A75" s="316">
        <v>38</v>
      </c>
      <c r="B75" s="122" t="str">
        <f t="shared" si="5"/>
        <v>38x50F</v>
      </c>
      <c r="C75" s="45" t="str">
        <f t="shared" si="6"/>
        <v>GBP38x50F_SYNTH1Y_Quote</v>
      </c>
      <c r="D75" s="123" t="str">
        <f>_xll.qlSimpleQuote(C75,,RateTickValue,Permanent,Trigger,ObjectOverwrite)</f>
        <v>GBP38x50F_SYNTH1Y_Quote#0000</v>
      </c>
      <c r="E75" s="320" t="str">
        <f>_xll.ohRangeRetrieveError(D75)</f>
        <v/>
      </c>
      <c r="F75" s="47">
        <v>38</v>
      </c>
      <c r="G75" s="111" t="str">
        <f t="shared" si="7"/>
        <v>38x50F</v>
      </c>
      <c r="H75" s="112">
        <f>SynthFRA!H40</f>
        <v>2.0909108195989814E-2</v>
      </c>
      <c r="I75" s="59"/>
      <c r="J75" s="115">
        <v>6.9968675313510668E-3</v>
      </c>
      <c r="K75" s="59"/>
      <c r="L75" s="117">
        <v>2.0909108195989814E-2</v>
      </c>
      <c r="M75" s="118">
        <f>_xll.qlSimpleQuoteSetValue(D75,ROUND(L75,6),EvaluationDate)</f>
        <v>0</v>
      </c>
      <c r="N75" s="51"/>
    </row>
    <row r="76" spans="1:14" x14ac:dyDescent="0.2">
      <c r="A76" s="316">
        <v>39</v>
      </c>
      <c r="B76" s="122" t="str">
        <f t="shared" si="5"/>
        <v>39x51F</v>
      </c>
      <c r="C76" s="45" t="str">
        <f t="shared" si="6"/>
        <v>GBP39x51F_SYNTH1Y_Quote</v>
      </c>
      <c r="D76" s="123" t="str">
        <f>_xll.qlSimpleQuote(C76,,RateTickValue,Permanent,Trigger,ObjectOverwrite)</f>
        <v>GBP39x51F_SYNTH1Y_Quote#0000</v>
      </c>
      <c r="E76" s="320" t="str">
        <f>_xll.ohRangeRetrieveError(D76)</f>
        <v/>
      </c>
      <c r="F76" s="47">
        <v>39</v>
      </c>
      <c r="G76" s="111" t="str">
        <f t="shared" si="7"/>
        <v>39x51F</v>
      </c>
      <c r="H76" s="112">
        <f>SynthFRA!H41</f>
        <v>2.1080087300355869E-2</v>
      </c>
      <c r="I76" s="59"/>
      <c r="J76" s="115">
        <v>7.1743604365316314E-3</v>
      </c>
      <c r="K76" s="59"/>
      <c r="L76" s="117">
        <v>2.1080087300355869E-2</v>
      </c>
      <c r="M76" s="118">
        <f>_xll.qlSimpleQuoteSetValue(D76,ROUND(L76,6),EvaluationDate)</f>
        <v>0</v>
      </c>
      <c r="N76" s="51"/>
    </row>
    <row r="77" spans="1:14" x14ac:dyDescent="0.2">
      <c r="A77" s="316">
        <v>40</v>
      </c>
      <c r="B77" s="122" t="str">
        <f t="shared" si="5"/>
        <v>40x52F</v>
      </c>
      <c r="C77" s="45" t="str">
        <f t="shared" si="6"/>
        <v>GBP40x52F_SYNTH1Y_Quote</v>
      </c>
      <c r="D77" s="123" t="str">
        <f>_xll.qlSimpleQuote(C77,,RateTickValue,Permanent,Trigger,ObjectOverwrite)</f>
        <v>GBP40x52F_SYNTH1Y_Quote#0000</v>
      </c>
      <c r="E77" s="320" t="str">
        <f>_xll.ohRangeRetrieveError(D77)</f>
        <v/>
      </c>
      <c r="F77" s="47">
        <v>40</v>
      </c>
      <c r="G77" s="111" t="str">
        <f t="shared" si="7"/>
        <v>40x52F</v>
      </c>
      <c r="H77" s="112">
        <f>SynthFRA!H42</f>
        <v>2.1238052585299018E-2</v>
      </c>
      <c r="I77" s="59"/>
      <c r="J77" s="115">
        <v>7.332157716471617E-3</v>
      </c>
      <c r="K77" s="59"/>
      <c r="L77" s="117">
        <v>2.1238052585299018E-2</v>
      </c>
      <c r="M77" s="118">
        <f>_xll.qlSimpleQuoteSetValue(D77,ROUND(L77,6),EvaluationDate)</f>
        <v>0</v>
      </c>
      <c r="N77" s="51"/>
    </row>
    <row r="78" spans="1:14" x14ac:dyDescent="0.2">
      <c r="A78" s="316">
        <v>41</v>
      </c>
      <c r="B78" s="122" t="str">
        <f t="shared" si="5"/>
        <v>41x53F</v>
      </c>
      <c r="C78" s="45" t="str">
        <f t="shared" si="6"/>
        <v>GBP41x53F_SYNTH1Y_Quote</v>
      </c>
      <c r="D78" s="123" t="str">
        <f>_xll.qlSimpleQuote(C78,,RateTickValue,Permanent,Trigger,ObjectOverwrite)</f>
        <v>GBP41x53F_SYNTH1Y_Quote#0000</v>
      </c>
      <c r="E78" s="320" t="str">
        <f>_xll.ohRangeRetrieveError(D78)</f>
        <v/>
      </c>
      <c r="F78" s="47">
        <v>41</v>
      </c>
      <c r="G78" s="111" t="str">
        <f t="shared" si="7"/>
        <v>41x53F</v>
      </c>
      <c r="H78" s="112">
        <f>SynthFRA!H43</f>
        <v>2.1383375338732205E-2</v>
      </c>
      <c r="I78" s="59"/>
      <c r="J78" s="115">
        <v>7.5042013523346496E-3</v>
      </c>
      <c r="K78" s="59"/>
      <c r="L78" s="117">
        <v>2.1383375338732205E-2</v>
      </c>
      <c r="M78" s="118">
        <f>_xll.qlSimpleQuoteSetValue(D78,ROUND(L78,6),EvaluationDate)</f>
        <v>0</v>
      </c>
      <c r="N78" s="51"/>
    </row>
    <row r="79" spans="1:14" x14ac:dyDescent="0.2">
      <c r="A79" s="316">
        <v>42</v>
      </c>
      <c r="B79" s="122" t="str">
        <f t="shared" si="5"/>
        <v>42x54F</v>
      </c>
      <c r="C79" s="45" t="str">
        <f t="shared" si="6"/>
        <v>GBP42x54F_SYNTH1Y_Quote</v>
      </c>
      <c r="D79" s="123" t="str">
        <f>_xll.qlSimpleQuote(C79,,RateTickValue,Permanent,Trigger,ObjectOverwrite)</f>
        <v>GBP42x54F_SYNTH1Y_Quote#0000</v>
      </c>
      <c r="E79" s="320" t="str">
        <f>_xll.ohRangeRetrieveError(D79)</f>
        <v/>
      </c>
      <c r="F79" s="47">
        <v>42</v>
      </c>
      <c r="G79" s="111" t="str">
        <f t="shared" si="7"/>
        <v>42x54F</v>
      </c>
      <c r="H79" s="112">
        <f>SynthFRA!H44</f>
        <v>2.1522948640458353E-2</v>
      </c>
      <c r="I79" s="59"/>
      <c r="J79" s="115">
        <v>7.6856320593296189E-3</v>
      </c>
      <c r="K79" s="59"/>
      <c r="L79" s="117">
        <v>2.1522948640458353E-2</v>
      </c>
      <c r="M79" s="118">
        <f>_xll.qlSimpleQuoteSetValue(D79,ROUND(L79,6),EvaluationDate)</f>
        <v>0</v>
      </c>
      <c r="N79" s="51"/>
    </row>
    <row r="80" spans="1:14" x14ac:dyDescent="0.2">
      <c r="A80" s="316">
        <v>43</v>
      </c>
      <c r="B80" s="122" t="str">
        <f t="shared" si="5"/>
        <v>43x55F</v>
      </c>
      <c r="C80" s="45" t="str">
        <f t="shared" si="6"/>
        <v>GBP43x55F_SYNTH1Y_Quote</v>
      </c>
      <c r="D80" s="123" t="str">
        <f>_xll.qlSimpleQuote(C80,,RateTickValue,Permanent,Trigger,ObjectOverwrite)</f>
        <v>GBP43x55F_SYNTH1Y_Quote#0000</v>
      </c>
      <c r="E80" s="320" t="str">
        <f>_xll.ohRangeRetrieveError(D80)</f>
        <v/>
      </c>
      <c r="F80" s="47">
        <v>43</v>
      </c>
      <c r="G80" s="111" t="str">
        <f t="shared" si="7"/>
        <v>43x55F</v>
      </c>
      <c r="H80" s="112">
        <f>SynthFRA!H45</f>
        <v>2.1653188107877509E-2</v>
      </c>
      <c r="I80" s="59"/>
      <c r="J80" s="115">
        <v>7.8651831595265478E-3</v>
      </c>
      <c r="K80" s="59"/>
      <c r="L80" s="117">
        <v>2.1653188107877509E-2</v>
      </c>
      <c r="M80" s="118">
        <f>_xll.qlSimpleQuoteSetValue(D80,ROUND(L80,6),EvaluationDate)</f>
        <v>0</v>
      </c>
      <c r="N80" s="51"/>
    </row>
    <row r="81" spans="1:14" x14ac:dyDescent="0.2">
      <c r="A81" s="316">
        <v>44</v>
      </c>
      <c r="B81" s="122" t="str">
        <f t="shared" si="5"/>
        <v>44x56F</v>
      </c>
      <c r="C81" s="45" t="str">
        <f t="shared" si="6"/>
        <v>GBP44x56F_SYNTH1Y_Quote</v>
      </c>
      <c r="D81" s="123" t="str">
        <f>_xll.qlSimpleQuote(C81,,RateTickValue,Permanent,Trigger,ObjectOverwrite)</f>
        <v>GBP44x56F_SYNTH1Y_Quote#0000</v>
      </c>
      <c r="E81" s="320" t="str">
        <f>_xll.ohRangeRetrieveError(D81)</f>
        <v/>
      </c>
      <c r="F81" s="47">
        <v>44</v>
      </c>
      <c r="G81" s="111" t="str">
        <f t="shared" si="7"/>
        <v>44x56F</v>
      </c>
      <c r="H81" s="112">
        <f>SynthFRA!H46</f>
        <v>2.1781436936872772E-2</v>
      </c>
      <c r="I81" s="59"/>
      <c r="J81" s="115">
        <v>8.0490387340789171E-3</v>
      </c>
      <c r="K81" s="59"/>
      <c r="L81" s="117">
        <v>2.1781436936872772E-2</v>
      </c>
      <c r="M81" s="118">
        <f>_xll.qlSimpleQuoteSetValue(D81,ROUND(L81,6),EvaluationDate)</f>
        <v>0</v>
      </c>
      <c r="N81" s="51"/>
    </row>
    <row r="82" spans="1:14" x14ac:dyDescent="0.2">
      <c r="A82" s="316">
        <v>45</v>
      </c>
      <c r="B82" s="122" t="str">
        <f t="shared" si="5"/>
        <v>45x57F</v>
      </c>
      <c r="C82" s="45" t="str">
        <f t="shared" si="6"/>
        <v>GBP45x57F_SYNTH1Y_Quote</v>
      </c>
      <c r="D82" s="123" t="str">
        <f>_xll.qlSimpleQuote(C82,,RateTickValue,Permanent,Trigger,ObjectOverwrite)</f>
        <v>GBP45x57F_SYNTH1Y_Quote#0000</v>
      </c>
      <c r="E82" s="320" t="str">
        <f>_xll.ohRangeRetrieveError(D82)</f>
        <v/>
      </c>
      <c r="F82" s="47">
        <v>45</v>
      </c>
      <c r="G82" s="111" t="str">
        <f t="shared" si="7"/>
        <v>45x57F</v>
      </c>
      <c r="H82" s="112">
        <f>SynthFRA!H47</f>
        <v>2.1896763708487442E-2</v>
      </c>
      <c r="I82" s="59"/>
      <c r="J82" s="115">
        <v>8.2567479453787476E-3</v>
      </c>
      <c r="K82" s="59"/>
      <c r="L82" s="117">
        <v>2.1896763708487442E-2</v>
      </c>
      <c r="M82" s="118">
        <f>_xll.qlSimpleQuoteSetValue(D82,ROUND(L82,6),EvaluationDate)</f>
        <v>0</v>
      </c>
      <c r="N82" s="51"/>
    </row>
    <row r="83" spans="1:14" x14ac:dyDescent="0.2">
      <c r="A83" s="316">
        <v>46</v>
      </c>
      <c r="B83" s="122" t="str">
        <f t="shared" si="5"/>
        <v>46x58F</v>
      </c>
      <c r="C83" s="45" t="str">
        <f t="shared" si="6"/>
        <v>GBP46x58F_SYNTH1Y_Quote</v>
      </c>
      <c r="D83" s="123" t="str">
        <f>_xll.qlSimpleQuote(C83,,RateTickValue,Permanent,Trigger,ObjectOverwrite)</f>
        <v>GBP46x58F_SYNTH1Y_Quote#0000</v>
      </c>
      <c r="E83" s="320" t="str">
        <f>_xll.ohRangeRetrieveError(D83)</f>
        <v/>
      </c>
      <c r="F83" s="47">
        <v>46</v>
      </c>
      <c r="G83" s="111" t="str">
        <f t="shared" si="7"/>
        <v>46x58F</v>
      </c>
      <c r="H83" s="112">
        <f>SynthFRA!H48</f>
        <v>2.2002938505353797E-2</v>
      </c>
      <c r="I83" s="59"/>
      <c r="J83" s="115">
        <v>8.4444284280895728E-3</v>
      </c>
      <c r="K83" s="59"/>
      <c r="L83" s="117">
        <v>2.2002938505353797E-2</v>
      </c>
      <c r="M83" s="118">
        <f>_xll.qlSimpleQuoteSetValue(D83,ROUND(L83,6),EvaluationDate)</f>
        <v>0</v>
      </c>
      <c r="N83" s="51"/>
    </row>
    <row r="84" spans="1:14" ht="12" thickBot="1" x14ac:dyDescent="0.25">
      <c r="A84" s="317">
        <v>47</v>
      </c>
      <c r="B84" s="125" t="str">
        <f t="shared" si="5"/>
        <v>47x59F</v>
      </c>
      <c r="C84" s="82" t="str">
        <f t="shared" si="6"/>
        <v>GBP47x59F_SYNTH1Y_Quote</v>
      </c>
      <c r="D84" s="132" t="str">
        <f>_xll.qlSimpleQuote(C84,,RateTickValue,Permanent,Trigger,ObjectOverwrite)</f>
        <v>GBP47x59F_SYNTH1Y_Quote#0000</v>
      </c>
      <c r="E84" s="321" t="str">
        <f>_xll.ohRangeRetrieveError(D84)</f>
        <v/>
      </c>
      <c r="F84" s="47">
        <v>47</v>
      </c>
      <c r="G84" s="113" t="str">
        <f t="shared" si="7"/>
        <v>47x59F</v>
      </c>
      <c r="H84" s="114">
        <f>SynthFRA!H49</f>
        <v>2.2110481409854083E-2</v>
      </c>
      <c r="I84" s="59"/>
      <c r="J84" s="116">
        <v>8.6440616440412316E-3</v>
      </c>
      <c r="K84" s="59"/>
      <c r="L84" s="140">
        <v>2.2110481409854083E-2</v>
      </c>
      <c r="M84" s="141">
        <f>_xll.qlSimpleQuoteSetValue(D84,ROUND(L84,6),EvaluationDate)</f>
        <v>0</v>
      </c>
      <c r="N84" s="51"/>
    </row>
    <row r="85" spans="1:14" ht="12" thickBot="1" x14ac:dyDescent="0.25">
      <c r="A85" s="55"/>
      <c r="B85" s="78"/>
      <c r="C85" s="79"/>
      <c r="D85" s="79"/>
      <c r="E85" s="79"/>
      <c r="F85" s="52"/>
      <c r="G85" s="53"/>
      <c r="H85" s="53"/>
      <c r="I85" s="53"/>
      <c r="J85" s="53"/>
      <c r="K85" s="53"/>
      <c r="L85" s="53"/>
      <c r="M85" s="53"/>
      <c r="N85" s="54"/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showGridLines="0" topLeftCell="M1" workbookViewId="0">
      <selection activeCell="M1" sqref="M1"/>
    </sheetView>
  </sheetViews>
  <sheetFormatPr defaultRowHeight="11.25" outlineLevelCol="1" x14ac:dyDescent="0.2"/>
  <cols>
    <col min="1" max="1" width="3.1640625" style="36" hidden="1" customWidth="1" outlineLevel="1"/>
    <col min="2" max="2" width="7" style="36" hidden="1" customWidth="1" outlineLevel="1"/>
    <col min="3" max="3" width="3.5" style="36" hidden="1" customWidth="1" outlineLevel="1"/>
    <col min="4" max="4" width="2.33203125" style="255" hidden="1" customWidth="1" outlineLevel="1"/>
    <col min="5" max="5" width="4.6640625" style="255" hidden="1" customWidth="1" outlineLevel="1"/>
    <col min="6" max="6" width="8.1640625" style="36" hidden="1" customWidth="1" outlineLevel="1"/>
    <col min="7" max="7" width="22.5" style="36" hidden="1" customWidth="1" outlineLevel="1"/>
    <col min="8" max="8" width="22.6640625" style="36" hidden="1" customWidth="1" outlineLevel="1"/>
    <col min="9" max="9" width="9.33203125" style="36" hidden="1" customWidth="1" outlineLevel="1"/>
    <col min="10" max="10" width="31.1640625" style="36" hidden="1" customWidth="1" outlineLevel="1"/>
    <col min="11" max="11" width="17.83203125" style="257" hidden="1" customWidth="1" outlineLevel="1"/>
    <col min="12" max="12" width="21.83203125" style="36" hidden="1" customWidth="1" outlineLevel="1"/>
    <col min="13" max="13" width="3.5" style="36" customWidth="1" collapsed="1"/>
    <col min="14" max="14" width="3.5" style="36" customWidth="1"/>
    <col min="15" max="15" width="31.1640625" style="36" bestFit="1" customWidth="1"/>
    <col min="16" max="20" width="20.1640625" style="36" bestFit="1" customWidth="1"/>
    <col min="21" max="21" width="20.1640625" style="36" hidden="1" customWidth="1" outlineLevel="1"/>
    <col min="22" max="22" width="14.1640625" style="36" hidden="1" customWidth="1" outlineLevel="1"/>
    <col min="23" max="23" width="10.5" style="36" bestFit="1" customWidth="1" collapsed="1"/>
    <col min="24" max="24" width="9.33203125" style="36" customWidth="1"/>
    <col min="25" max="25" width="9.33203125" style="36" bestFit="1" customWidth="1"/>
    <col min="26" max="26" width="7" style="36" bestFit="1" customWidth="1"/>
    <col min="27" max="16384" width="9.33203125" style="36"/>
  </cols>
  <sheetData>
    <row r="1" spans="1:20" ht="11.25" customHeight="1" x14ac:dyDescent="0.2">
      <c r="D1" s="36"/>
      <c r="E1" s="36"/>
      <c r="J1" s="36" t="s">
        <v>38</v>
      </c>
      <c r="K1" s="36" t="str">
        <f>_xll.qlLibor(,Currency,J1,,,Trigger)</f>
        <v>obj_003cd#0000</v>
      </c>
      <c r="L1" s="36" t="str">
        <f>_xll.ohRangeRetrieveError(K1)</f>
        <v/>
      </c>
    </row>
    <row r="2" spans="1:20" ht="24" customHeight="1" x14ac:dyDescent="0.2">
      <c r="A2" s="226"/>
      <c r="B2" s="227" t="s">
        <v>119</v>
      </c>
      <c r="C2" s="227"/>
      <c r="D2" s="228"/>
      <c r="E2" s="228"/>
      <c r="F2" s="227" t="s">
        <v>120</v>
      </c>
      <c r="G2" s="227" t="s">
        <v>121</v>
      </c>
      <c r="H2" s="227" t="s">
        <v>122</v>
      </c>
      <c r="I2" s="227" t="s">
        <v>123</v>
      </c>
      <c r="J2" s="227" t="s">
        <v>75</v>
      </c>
      <c r="K2" s="227" t="s">
        <v>76</v>
      </c>
      <c r="L2" s="229" t="s">
        <v>34</v>
      </c>
      <c r="M2" s="230"/>
      <c r="N2" s="230"/>
      <c r="O2" s="231" t="s">
        <v>124</v>
      </c>
      <c r="P2" s="231" t="s">
        <v>77</v>
      </c>
      <c r="Q2" s="231" t="s">
        <v>123</v>
      </c>
      <c r="R2" s="231" t="s">
        <v>78</v>
      </c>
      <c r="S2" s="227" t="s">
        <v>79</v>
      </c>
      <c r="T2" s="227" t="s">
        <v>80</v>
      </c>
    </row>
    <row r="3" spans="1:20" ht="11.25" customHeight="1" x14ac:dyDescent="0.2">
      <c r="A3" s="232"/>
      <c r="B3" s="233" t="s">
        <v>127</v>
      </c>
      <c r="C3" s="277"/>
      <c r="D3" s="278"/>
      <c r="E3" s="278"/>
      <c r="F3" s="275"/>
      <c r="G3" s="275"/>
      <c r="H3" s="275"/>
      <c r="I3" s="279"/>
      <c r="J3" s="263" t="str">
        <f>PROPER((Currency))&amp;IborType&amp;J1&amp;"LastFixing"&amp;QuoteSuffix</f>
        <v>GbpLibor1MLastFixing_Quote</v>
      </c>
      <c r="K3" s="276" t="str">
        <f>_xll.qlDepositRateHelper(,J3,K1,,Trigger)</f>
        <v>obj_00439#0000</v>
      </c>
      <c r="L3" s="287" t="str">
        <f>_xll.ohRangeRetrieveError(K3)</f>
        <v/>
      </c>
      <c r="M3" s="241"/>
      <c r="N3" s="241"/>
      <c r="O3" s="240" t="str">
        <f>_xll.qlRateHelperQuoteName(K3,Trigger)</f>
        <v>GbpLibor1MLastFixing_Quote</v>
      </c>
      <c r="P3" s="242">
        <f>_xll.qlQuoteValue(J3,AllTriggers)</f>
        <v>5.0756000000000004E-3</v>
      </c>
      <c r="Q3" s="293" t="str">
        <f>IF(ISBLANK(I3),"--",_xll.qlSwapRateHelperSpread(K3,AllTriggers))</f>
        <v>--</v>
      </c>
      <c r="R3" s="240" t="b">
        <v>1</v>
      </c>
      <c r="S3" s="243">
        <f>_xll.qlRateHelperEarliestDate(K3,Trigger)</f>
        <v>42124</v>
      </c>
      <c r="T3" s="243">
        <f>_xll.qlRateHelperLatestDate(K3,Trigger)</f>
        <v>42153</v>
      </c>
    </row>
    <row r="4" spans="1:20" ht="11.25" customHeight="1" x14ac:dyDescent="0.2">
      <c r="A4" s="232"/>
      <c r="B4" s="280" t="s">
        <v>127</v>
      </c>
      <c r="C4" s="281" t="s">
        <v>45</v>
      </c>
      <c r="D4" s="282">
        <v>2</v>
      </c>
      <c r="E4" s="282" t="s">
        <v>128</v>
      </c>
      <c r="F4" s="280" t="s">
        <v>129</v>
      </c>
      <c r="G4" s="283" t="s">
        <v>125</v>
      </c>
      <c r="H4" s="283" t="s">
        <v>159</v>
      </c>
      <c r="I4" s="284">
        <v>0</v>
      </c>
      <c r="J4" s="285" t="str">
        <f t="shared" ref="J4:J9" si="0">Currency&amp;$D4&amp;$E4&amp;"_Quote"</f>
        <v>GBP2X1S_Quote</v>
      </c>
      <c r="K4" s="286" t="str">
        <f>_xll.qlSwapRateHelper2(,$J4,C4,Calendar,$F4,$G4,$H4,$K$1,$I4,B4,Discounting,Permanent,Trigger,ObjectOverwrite)</f>
        <v>obj_003e5#0000</v>
      </c>
      <c r="L4" s="287" t="str">
        <f>_xll.ohRangeRetrieveError(K4)</f>
        <v/>
      </c>
      <c r="M4" s="241"/>
      <c r="N4" s="241"/>
      <c r="O4" s="240" t="str">
        <f>_xll.qlRateHelperQuoteName(K4,Trigger)</f>
        <v>GBP2X1S_Quote</v>
      </c>
      <c r="P4" s="242">
        <f>_xll.qlQuoteValue(J4,AllTriggers)</f>
        <v>5.0625000000000002E-3</v>
      </c>
      <c r="Q4" s="326">
        <f>IF(ISBLANK(I4),"--",_xll.qlSwapRateHelperSpread(K4,AllTriggers))</f>
        <v>0</v>
      </c>
      <c r="R4" s="240" t="b">
        <v>1</v>
      </c>
      <c r="S4" s="243">
        <f>_xll.qlRateHelperEarliestDate(K4,Trigger)</f>
        <v>42124</v>
      </c>
      <c r="T4" s="243">
        <f>_xll.qlRateHelperLatestDate(K4,Trigger)</f>
        <v>42185</v>
      </c>
    </row>
    <row r="5" spans="1:20" ht="11.25" customHeight="1" x14ac:dyDescent="0.2">
      <c r="A5" s="232"/>
      <c r="B5" s="233" t="s">
        <v>127</v>
      </c>
      <c r="C5" s="234" t="s">
        <v>39</v>
      </c>
      <c r="D5" s="235">
        <v>3</v>
      </c>
      <c r="E5" s="235" t="s">
        <v>128</v>
      </c>
      <c r="F5" s="233" t="s">
        <v>129</v>
      </c>
      <c r="G5" s="236" t="s">
        <v>125</v>
      </c>
      <c r="H5" s="236" t="s">
        <v>159</v>
      </c>
      <c r="I5" s="237">
        <v>0</v>
      </c>
      <c r="J5" s="238" t="str">
        <f t="shared" si="0"/>
        <v>GBP3X1S_Quote</v>
      </c>
      <c r="K5" s="239" t="str">
        <f>_xll.qlSwapRateHelper2(,$J5,C5,Calendar,$F5,$G5,$H5,$K$1,$I5,B5,Discounting,Permanent,Trigger,ObjectOverwrite)</f>
        <v>obj_003e2#0000</v>
      </c>
      <c r="L5" s="240" t="str">
        <f>_xll.ohRangeRetrieveError(K5)</f>
        <v/>
      </c>
      <c r="M5" s="241"/>
      <c r="N5" s="241"/>
      <c r="O5" s="240" t="str">
        <f>_xll.qlRateHelperQuoteName(K5,Trigger)</f>
        <v>GBP3X1S_Quote</v>
      </c>
      <c r="P5" s="242">
        <f>_xll.qlQuoteValue(J5,AllTriggers)</f>
        <v>5.0750000000000005E-3</v>
      </c>
      <c r="Q5" s="326">
        <f>IF(ISBLANK(I5),"--",_xll.qlSwapRateHelperSpread(K5,AllTriggers))</f>
        <v>0</v>
      </c>
      <c r="R5" s="240" t="b">
        <v>1</v>
      </c>
      <c r="S5" s="243">
        <f>_xll.qlRateHelperEarliestDate(K5,Trigger)</f>
        <v>42124</v>
      </c>
      <c r="T5" s="243">
        <f>_xll.qlRateHelperLatestDate(K5,Trigger)</f>
        <v>42215</v>
      </c>
    </row>
    <row r="6" spans="1:20" ht="11.25" customHeight="1" x14ac:dyDescent="0.2">
      <c r="A6" s="226"/>
      <c r="B6" s="233" t="s">
        <v>127</v>
      </c>
      <c r="C6" s="234" t="s">
        <v>46</v>
      </c>
      <c r="D6" s="235">
        <v>4</v>
      </c>
      <c r="E6" s="235" t="s">
        <v>128</v>
      </c>
      <c r="F6" s="233" t="s">
        <v>129</v>
      </c>
      <c r="G6" s="236" t="s">
        <v>125</v>
      </c>
      <c r="H6" s="236" t="s">
        <v>159</v>
      </c>
      <c r="I6" s="237">
        <v>0</v>
      </c>
      <c r="J6" s="238" t="str">
        <f t="shared" si="0"/>
        <v>GBP4X1S_Quote</v>
      </c>
      <c r="K6" s="239" t="str">
        <f>_xll.qlSwapRateHelper2(,$J6,C6,Calendar,$F6,$G6,$H6,$K$1,$I6,B6,Discounting,Permanent,Trigger,ObjectOverwrite)</f>
        <v>obj_003df#0000</v>
      </c>
      <c r="L6" s="240" t="str">
        <f>_xll.ohRangeRetrieveError(K6)</f>
        <v/>
      </c>
      <c r="M6" s="241"/>
      <c r="N6" s="241"/>
      <c r="O6" s="240" t="str">
        <f>_xll.qlRateHelperQuoteName(K6,Trigger)</f>
        <v>GBP4X1S_Quote</v>
      </c>
      <c r="P6" s="242">
        <f>_xll.qlQuoteValue(J6,AllTriggers)</f>
        <v>5.1124999999999999E-3</v>
      </c>
      <c r="Q6" s="326">
        <f>IF(ISBLANK(I6),"--",_xll.qlSwapRateHelperSpread(K6,AllTriggers))</f>
        <v>0</v>
      </c>
      <c r="R6" s="240" t="b">
        <v>1</v>
      </c>
      <c r="S6" s="243">
        <f>_xll.qlRateHelperEarliestDate(K6,Trigger)</f>
        <v>42124</v>
      </c>
      <c r="T6" s="243">
        <f>_xll.qlRateHelperLatestDate(K6,Trigger)</f>
        <v>42244</v>
      </c>
    </row>
    <row r="7" spans="1:20" ht="11.25" customHeight="1" x14ac:dyDescent="0.2">
      <c r="A7" s="226"/>
      <c r="B7" s="233" t="s">
        <v>127</v>
      </c>
      <c r="C7" s="234" t="s">
        <v>47</v>
      </c>
      <c r="D7" s="235">
        <v>5</v>
      </c>
      <c r="E7" s="235" t="s">
        <v>128</v>
      </c>
      <c r="F7" s="233" t="s">
        <v>129</v>
      </c>
      <c r="G7" s="236" t="s">
        <v>125</v>
      </c>
      <c r="H7" s="236" t="s">
        <v>159</v>
      </c>
      <c r="I7" s="237">
        <v>0</v>
      </c>
      <c r="J7" s="238" t="str">
        <f t="shared" si="0"/>
        <v>GBP5X1S_Quote</v>
      </c>
      <c r="K7" s="239" t="str">
        <f>_xll.qlSwapRateHelper2(,$J7,C7,Calendar,$F7,$G7,$H7,$K$1,$I7,B7,Discounting,Permanent,Trigger,ObjectOverwrite)</f>
        <v>obj_003dd#0000</v>
      </c>
      <c r="L7" s="240" t="str">
        <f>_xll.ohRangeRetrieveError(K7)</f>
        <v/>
      </c>
      <c r="M7" s="241"/>
      <c r="N7" s="241"/>
      <c r="O7" s="240" t="str">
        <f>_xll.qlRateHelperQuoteName(K7,Trigger)</f>
        <v>GBP5X1S_Quote</v>
      </c>
      <c r="P7" s="242">
        <f>_xll.qlQuoteValue(J7,AllTriggers)</f>
        <v>5.1749999999999999E-3</v>
      </c>
      <c r="Q7" s="326">
        <f>IF(ISBLANK(I7),"--",_xll.qlSwapRateHelperSpread(K7,AllTriggers))</f>
        <v>0</v>
      </c>
      <c r="R7" s="240" t="b">
        <v>1</v>
      </c>
      <c r="S7" s="243">
        <f>_xll.qlRateHelperEarliestDate(K7,Trigger)</f>
        <v>42124</v>
      </c>
      <c r="T7" s="243">
        <f>_xll.qlRateHelperLatestDate(K7,Trigger)</f>
        <v>42277</v>
      </c>
    </row>
    <row r="8" spans="1:20" ht="11.25" customHeight="1" x14ac:dyDescent="0.2">
      <c r="A8" s="226"/>
      <c r="B8" s="233" t="s">
        <v>127</v>
      </c>
      <c r="C8" s="234" t="s">
        <v>40</v>
      </c>
      <c r="D8" s="235">
        <v>6</v>
      </c>
      <c r="E8" s="235" t="s">
        <v>128</v>
      </c>
      <c r="F8" s="233" t="s">
        <v>129</v>
      </c>
      <c r="G8" s="236" t="s">
        <v>125</v>
      </c>
      <c r="H8" s="236" t="s">
        <v>159</v>
      </c>
      <c r="I8" s="237">
        <v>0</v>
      </c>
      <c r="J8" s="238" t="str">
        <f t="shared" si="0"/>
        <v>GBP6X1S_Quote</v>
      </c>
      <c r="K8" s="239" t="str">
        <f>_xll.qlSwapRateHelper2(,$J8,C8,Calendar,$F8,$G8,$H8,$K$1,$I8,B8,Discounting,Permanent,Trigger,ObjectOverwrite)</f>
        <v>obj_003e0#0000</v>
      </c>
      <c r="L8" s="240" t="str">
        <f>_xll.ohRangeRetrieveError(K8)</f>
        <v/>
      </c>
      <c r="M8" s="241"/>
      <c r="N8" s="241"/>
      <c r="O8" s="240" t="str">
        <f>_xll.qlRateHelperQuoteName(K8,Trigger)</f>
        <v>GBP6X1S_Quote</v>
      </c>
      <c r="P8" s="242">
        <f>_xll.qlQuoteValue(J8,AllTriggers)</f>
        <v>5.2499999999999995E-3</v>
      </c>
      <c r="Q8" s="326">
        <f>IF(ISBLANK(I8),"--",_xll.qlSwapRateHelperSpread(K8,AllTriggers))</f>
        <v>0</v>
      </c>
      <c r="R8" s="240" t="b">
        <v>0</v>
      </c>
      <c r="S8" s="243">
        <f>_xll.qlRateHelperEarliestDate(K8,Trigger)</f>
        <v>42124</v>
      </c>
      <c r="T8" s="243">
        <f>_xll.qlRateHelperLatestDate(K8,Trigger)</f>
        <v>42307</v>
      </c>
    </row>
    <row r="9" spans="1:20" ht="11.25" customHeight="1" x14ac:dyDescent="0.2">
      <c r="B9" s="244" t="s">
        <v>127</v>
      </c>
      <c r="C9" s="245" t="s">
        <v>48</v>
      </c>
      <c r="D9" s="246">
        <v>7</v>
      </c>
      <c r="E9" s="246" t="s">
        <v>128</v>
      </c>
      <c r="F9" s="244" t="s">
        <v>129</v>
      </c>
      <c r="G9" s="247" t="s">
        <v>125</v>
      </c>
      <c r="H9" s="247" t="s">
        <v>159</v>
      </c>
      <c r="I9" s="248">
        <v>0</v>
      </c>
      <c r="J9" s="273" t="str">
        <f t="shared" si="0"/>
        <v>GBP7X1S_Quote</v>
      </c>
      <c r="K9" s="274" t="str">
        <f>_xll.qlSwapRateHelper2(,$J9,C9,Calendar,$F9,$G9,$H9,$K$1,$I9,B9,Discounting,Permanent,Trigger,ObjectOverwrite)</f>
        <v>obj_003e3#0000</v>
      </c>
      <c r="L9" s="249" t="str">
        <f>_xll.ohRangeRetrieveError(K9)</f>
        <v/>
      </c>
      <c r="O9" s="249" t="str">
        <f>_xll.qlRateHelperQuoteName(K9,Trigger)</f>
        <v>GBP7X1S_Quote</v>
      </c>
      <c r="P9" s="250">
        <f>_xll.qlQuoteValue(J9,AllTriggers)</f>
        <v>5.3249999999999999E-3</v>
      </c>
      <c r="Q9" s="327">
        <f>IF(ISBLANK(I9),"--",_xll.qlSwapRateHelperSpread(K9,AllTriggers))</f>
        <v>0</v>
      </c>
      <c r="R9" s="249" t="b">
        <v>0</v>
      </c>
      <c r="S9" s="251">
        <f>_xll.qlRateHelperEarliestDate(K9,Trigger)</f>
        <v>42124</v>
      </c>
      <c r="T9" s="251">
        <f>_xll.qlRateHelperLatestDate(K9,Trigger)</f>
        <v>42338</v>
      </c>
    </row>
    <row r="10" spans="1:20" x14ac:dyDescent="0.2">
      <c r="D10" s="36"/>
      <c r="E10" s="36"/>
      <c r="K10" s="36"/>
      <c r="L10" s="241"/>
    </row>
    <row r="11" spans="1:20" x14ac:dyDescent="0.2">
      <c r="I11" s="256"/>
      <c r="J11" s="256"/>
      <c r="O11" s="252" t="str">
        <f>J1&amp;" "&amp;PROPER(Currency)&amp;IborType&amp;" Curve"</f>
        <v>1M GbpLibor Curve</v>
      </c>
      <c r="P11" s="253"/>
      <c r="Q11" s="253"/>
      <c r="R11" s="253"/>
      <c r="S11" s="253"/>
      <c r="T11" s="254" t="s">
        <v>152</v>
      </c>
    </row>
    <row r="12" spans="1:20" ht="11.25" customHeight="1" x14ac:dyDescent="0.2">
      <c r="L12" s="231" t="s">
        <v>126</v>
      </c>
      <c r="O12" s="231" t="s">
        <v>84</v>
      </c>
      <c r="P12" s="231" t="s">
        <v>85</v>
      </c>
      <c r="Q12" s="231" t="s">
        <v>123</v>
      </c>
      <c r="R12" s="231" t="s">
        <v>79</v>
      </c>
      <c r="S12" s="231" t="s">
        <v>80</v>
      </c>
      <c r="T12" s="258">
        <f t="array" ref="T12:T21">_xll.qlPiecewiseYieldCurveData('General Settings'!I34,InterestRatesTrigger)</f>
        <v>1</v>
      </c>
    </row>
    <row r="13" spans="1:20" x14ac:dyDescent="0.2">
      <c r="I13" s="256"/>
      <c r="J13" s="256"/>
      <c r="L13" s="263" t="str">
        <f t="array" ref="L13:L21">_xll.ohFilter(K3:K9,R3:R9)</f>
        <v>obj_00439#0000</v>
      </c>
      <c r="O13" s="261" t="str">
        <f t="array" ref="O13:O21">_xll.ohFilter(O3:O8,R3:R8)</f>
        <v>GbpLibor1MLastFixing_Quote</v>
      </c>
      <c r="P13" s="242">
        <f t="array" ref="P13:P21">_xll.ohFilter(P3:P8,R3:R8)</f>
        <v>5.0756000000000004E-3</v>
      </c>
      <c r="Q13" s="293" t="str">
        <f t="array" ref="Q13:Q21">_xll.ohFilter(Q3:Q8,R3:R8)</f>
        <v>--</v>
      </c>
      <c r="R13" s="243">
        <f t="array" ref="R13:R21">_xll.ohFilter(S3:S8,R3:R8)</f>
        <v>42124</v>
      </c>
      <c r="S13" s="243">
        <f t="array" ref="S13:S21">_xll.ohFilter(T3:T8,R3:R8)</f>
        <v>42153</v>
      </c>
      <c r="T13" s="259">
        <v>0.99959689570928212</v>
      </c>
    </row>
    <row r="14" spans="1:20" x14ac:dyDescent="0.2">
      <c r="L14" s="264" t="str">
        <v>obj_003e5#0000</v>
      </c>
      <c r="O14" s="261" t="str">
        <v>GBP2X1S_Quote</v>
      </c>
      <c r="P14" s="242">
        <v>5.0625000000000002E-3</v>
      </c>
      <c r="Q14" s="293">
        <v>0</v>
      </c>
      <c r="R14" s="243">
        <v>42124</v>
      </c>
      <c r="S14" s="243">
        <v>42185</v>
      </c>
      <c r="T14" s="259">
        <v>0.9991546346672564</v>
      </c>
    </row>
    <row r="15" spans="1:20" x14ac:dyDescent="0.2">
      <c r="I15" s="256"/>
      <c r="J15" s="256"/>
      <c r="L15" s="264" t="str">
        <v>obj_003e2#0000</v>
      </c>
      <c r="O15" s="261" t="str">
        <v>GBP3X1S_Quote</v>
      </c>
      <c r="P15" s="242">
        <v>5.0750000000000005E-3</v>
      </c>
      <c r="Q15" s="293">
        <v>0</v>
      </c>
      <c r="R15" s="243">
        <v>42124</v>
      </c>
      <c r="S15" s="243">
        <v>42215</v>
      </c>
      <c r="T15" s="259">
        <v>0.9987362644233535</v>
      </c>
    </row>
    <row r="16" spans="1:20" x14ac:dyDescent="0.2">
      <c r="L16" s="264" t="str">
        <v>obj_003df#0000</v>
      </c>
      <c r="O16" s="261" t="str">
        <v>GBP4X1S_Quote</v>
      </c>
      <c r="P16" s="242">
        <v>5.1124999999999999E-3</v>
      </c>
      <c r="Q16" s="293">
        <v>0</v>
      </c>
      <c r="R16" s="243">
        <v>42124</v>
      </c>
      <c r="S16" s="243">
        <v>42244</v>
      </c>
      <c r="T16" s="259">
        <v>0.99832186737140249</v>
      </c>
    </row>
    <row r="17" spans="9:23" x14ac:dyDescent="0.2">
      <c r="I17" s="256"/>
      <c r="J17" s="256"/>
      <c r="L17" s="264" t="str">
        <v>obj_003dd#0000</v>
      </c>
      <c r="O17" s="261" t="str">
        <v>GBP5X1S_Quote</v>
      </c>
      <c r="P17" s="242">
        <v>5.1749999999999999E-3</v>
      </c>
      <c r="Q17" s="293">
        <v>0</v>
      </c>
      <c r="R17" s="243">
        <v>42124</v>
      </c>
      <c r="S17" s="243">
        <v>42277</v>
      </c>
      <c r="T17" s="259">
        <v>0.99783519396594478</v>
      </c>
    </row>
    <row r="18" spans="9:23" x14ac:dyDescent="0.2">
      <c r="L18" s="264" t="e">
        <v>#N/A</v>
      </c>
      <c r="O18" s="261" t="e">
        <v>#N/A</v>
      </c>
      <c r="P18" s="242" t="e">
        <v>#N/A</v>
      </c>
      <c r="Q18" s="293" t="e">
        <v>#N/A</v>
      </c>
      <c r="R18" s="243" t="e">
        <v>#N/A</v>
      </c>
      <c r="S18" s="243" t="e">
        <v>#N/A</v>
      </c>
      <c r="T18" s="259" t="e">
        <v>#N/A</v>
      </c>
    </row>
    <row r="19" spans="9:23" x14ac:dyDescent="0.2">
      <c r="I19" s="256"/>
      <c r="J19" s="256"/>
      <c r="L19" s="264" t="e">
        <v>#N/A</v>
      </c>
      <c r="O19" s="261" t="e">
        <v>#N/A</v>
      </c>
      <c r="P19" s="242" t="e">
        <v>#N/A</v>
      </c>
      <c r="Q19" s="293" t="e">
        <v>#N/A</v>
      </c>
      <c r="R19" s="243" t="e">
        <v>#N/A</v>
      </c>
      <c r="S19" s="243" t="e">
        <v>#N/A</v>
      </c>
      <c r="T19" s="259" t="e">
        <v>#N/A</v>
      </c>
    </row>
    <row r="20" spans="9:23" x14ac:dyDescent="0.2">
      <c r="L20" s="264" t="e">
        <v>#N/A</v>
      </c>
      <c r="O20" s="261" t="e">
        <v>#N/A</v>
      </c>
      <c r="P20" s="242" t="e">
        <v>#N/A</v>
      </c>
      <c r="Q20" s="293" t="e">
        <v>#N/A</v>
      </c>
      <c r="R20" s="243" t="e">
        <v>#N/A</v>
      </c>
      <c r="S20" s="243" t="e">
        <v>#N/A</v>
      </c>
      <c r="T20" s="259" t="e">
        <v>#N/A</v>
      </c>
    </row>
    <row r="21" spans="9:23" x14ac:dyDescent="0.2">
      <c r="I21" s="256"/>
      <c r="J21" s="256"/>
      <c r="L21" s="265" t="e">
        <v>#N/A</v>
      </c>
      <c r="O21" s="262" t="e">
        <v>#N/A</v>
      </c>
      <c r="P21" s="250" t="e">
        <v>#N/A</v>
      </c>
      <c r="Q21" s="294" t="e">
        <v>#N/A</v>
      </c>
      <c r="R21" s="251" t="e">
        <v>#N/A</v>
      </c>
      <c r="S21" s="251" t="e">
        <v>#N/A</v>
      </c>
      <c r="T21" s="260" t="e">
        <v>#N/A</v>
      </c>
    </row>
    <row r="22" spans="9:23" x14ac:dyDescent="0.2">
      <c r="L22" s="275"/>
    </row>
    <row r="23" spans="9:23" ht="12" thickBot="1" x14ac:dyDescent="0.25">
      <c r="I23" s="256"/>
      <c r="J23" s="256"/>
    </row>
    <row r="24" spans="9:23" ht="12" thickBot="1" x14ac:dyDescent="0.25">
      <c r="O24" s="266" t="str">
        <f>"Delta "&amp;J1</f>
        <v>Delta 1M</v>
      </c>
      <c r="P24" s="266"/>
      <c r="Q24" s="267"/>
      <c r="R24" s="267"/>
      <c r="S24" s="268"/>
      <c r="T24" s="268"/>
      <c r="U24" s="268"/>
      <c r="V24" s="268"/>
      <c r="W24" s="268"/>
    </row>
    <row r="25" spans="9:23" ht="12" thickBot="1" x14ac:dyDescent="0.25">
      <c r="I25" s="256"/>
      <c r="J25" s="256"/>
      <c r="O25" s="213" t="str">
        <f>J1&amp;" Instruments"</f>
        <v>1M Instruments</v>
      </c>
      <c r="P25" s="338" t="s">
        <v>113</v>
      </c>
      <c r="Q25" s="338" t="s">
        <v>114</v>
      </c>
      <c r="R25" s="338" t="s">
        <v>137</v>
      </c>
      <c r="S25" s="338" t="str">
        <f>"F "&amp;J1</f>
        <v>F 1M</v>
      </c>
      <c r="T25" s="338" t="s">
        <v>140</v>
      </c>
      <c r="U25" s="338" t="s">
        <v>138</v>
      </c>
      <c r="V25" s="338" t="s">
        <v>139</v>
      </c>
      <c r="W25" s="339" t="s">
        <v>141</v>
      </c>
    </row>
    <row r="26" spans="9:23" x14ac:dyDescent="0.2">
      <c r="M26" s="36">
        <v>0</v>
      </c>
      <c r="N26" s="36">
        <f>M26+SUBSTITUTE($J$1,"M","")</f>
        <v>1</v>
      </c>
      <c r="O26" s="371" t="str">
        <f>M26&amp;"x"&amp;N26</f>
        <v>0x1</v>
      </c>
      <c r="P26" s="269">
        <f>SettlementDate</f>
        <v>42124</v>
      </c>
      <c r="Q26" s="269">
        <f>_xll.qlInterestRateIndexMaturity(iborindex1M,P26,Trigger)</f>
        <v>42153</v>
      </c>
      <c r="R26" s="372">
        <f>_xll.qlDayCounterYearFraction(DayCounter,P26,Q26,,,Trigger)</f>
        <v>7.9452054794520555E-2</v>
      </c>
      <c r="S26" s="373">
        <f>_xll.qlIndexFixing(iborindex1M,_xll.qlInterestRateIndexFixingDate(iborindex1M,P26,Trigger),TRUE,AllTriggers)</f>
        <v>5.0756000000021896E-3</v>
      </c>
      <c r="T26" s="373">
        <f>(U26/V26-1)/R26</f>
        <v>4.5625000000005453E-3</v>
      </c>
      <c r="U26" s="374">
        <f>_xll.qlYieldTSDiscount(Discounting,P26,,AllTriggers)</f>
        <v>1</v>
      </c>
      <c r="V26" s="374">
        <f>_xll.qlYieldTSDiscount(Discounting,Q26,,AllTriggers)</f>
        <v>0.99963763135863237</v>
      </c>
      <c r="W26" s="427">
        <f>LN((1+S26*R26)/(1+T26*R26))</f>
        <v>4.0751246344092996E-5</v>
      </c>
    </row>
    <row r="27" spans="9:23" x14ac:dyDescent="0.2">
      <c r="I27" s="256"/>
      <c r="J27" s="256"/>
      <c r="M27" s="36">
        <v>1</v>
      </c>
      <c r="N27" s="36">
        <f t="shared" ref="N27:N29" si="1">M27+SUBSTITUTE($J$1,"M","")</f>
        <v>2</v>
      </c>
      <c r="O27" s="375" t="str">
        <f t="shared" ref="O27:O29" si="2">M27&amp;"x"&amp;N27</f>
        <v>1x2</v>
      </c>
      <c r="P27" s="270">
        <f>Q26</f>
        <v>42153</v>
      </c>
      <c r="Q27" s="270">
        <f>_xll.qlInterestRateIndexMaturity(iborindex1M,P27,Trigger)</f>
        <v>42185</v>
      </c>
      <c r="R27" s="342">
        <f>_xll.qlDayCounterYearFraction(DayCounter,P27,Q27,,,Trigger)</f>
        <v>8.7671232876712329E-2</v>
      </c>
      <c r="S27" s="32">
        <f>_xll.qlIndexFixing(iborindex1M,_xll.qlInterestRateIndexFixingDate(iborindex1M,P27,Trigger),TRUE,AllTriggers)</f>
        <v>5.0488080979441824E-3</v>
      </c>
      <c r="T27" s="32">
        <f>(U27/V27-1)/R27</f>
        <v>4.5132077122003039E-3</v>
      </c>
      <c r="U27" s="345">
        <f>_xll.qlYieldTSDiscount(Discounting,P27,,AllTriggers)</f>
        <v>0.99963763135863237</v>
      </c>
      <c r="V27" s="345">
        <f>_xll.qlYieldTSDiscount(Discounting,Q27,,AllTriggers)</f>
        <v>0.9992422526985788</v>
      </c>
      <c r="W27" s="428">
        <f>LN((1+S27*R27)/(1+T27*R27))</f>
        <v>4.6937072160427009E-5</v>
      </c>
    </row>
    <row r="28" spans="9:23" x14ac:dyDescent="0.2">
      <c r="M28" s="36">
        <v>2</v>
      </c>
      <c r="N28" s="36">
        <f t="shared" si="1"/>
        <v>3</v>
      </c>
      <c r="O28" s="375" t="str">
        <f t="shared" si="2"/>
        <v>2x3</v>
      </c>
      <c r="P28" s="270">
        <f>Q27</f>
        <v>42185</v>
      </c>
      <c r="Q28" s="270">
        <f>_xll.qlInterestRateIndexMaturity(iborindex1M,P28,Trigger)</f>
        <v>42216</v>
      </c>
      <c r="R28" s="342">
        <f>_xll.qlDayCounterYearFraction(DayCounter,P28,Q28,,,Trigger)</f>
        <v>8.4931506849315067E-2</v>
      </c>
      <c r="S28" s="32">
        <f>_xll.qlIndexFixing(iborindex1M,_xll.qlInterestRateIndexFixingDate(iborindex1M,P28,Trigger),TRUE,AllTriggers)</f>
        <v>5.1007728362726093E-3</v>
      </c>
      <c r="T28" s="32">
        <f>(U28/V28-1)/R28</f>
        <v>4.4969930470190227E-3</v>
      </c>
      <c r="U28" s="345">
        <f>_xll.qlYieldTSDiscount(Discounting,P28,,AllTriggers)</f>
        <v>0.9992422526985788</v>
      </c>
      <c r="V28" s="345">
        <f>_xll.qlYieldTSDiscount(Discounting,Q28,,AllTriggers)</f>
        <v>0.99886075142329978</v>
      </c>
      <c r="W28" s="428">
        <f>LN((1+S28*R28)/(1+T28*R28))</f>
        <v>5.1259035346602562E-5</v>
      </c>
    </row>
    <row r="29" spans="9:23" ht="12" thickBot="1" x14ac:dyDescent="0.25">
      <c r="I29" s="256"/>
      <c r="J29" s="256"/>
      <c r="M29" s="36">
        <v>3</v>
      </c>
      <c r="N29" s="36">
        <f t="shared" si="1"/>
        <v>4</v>
      </c>
      <c r="O29" s="376" t="str">
        <f t="shared" si="2"/>
        <v>3x4</v>
      </c>
      <c r="P29" s="271">
        <f>Q28</f>
        <v>42216</v>
      </c>
      <c r="Q29" s="271">
        <f>_xll.qlInterestRateIndexMaturity(iborindex1M,P29,Trigger)</f>
        <v>42244</v>
      </c>
      <c r="R29" s="343">
        <f>_xll.qlDayCounterYearFraction(DayCounter,P29,Q29,,,Trigger)</f>
        <v>7.6712328767123292E-2</v>
      </c>
      <c r="S29" s="224">
        <f>_xll.qlIndexFixing(iborindex1M,_xll.qlInterestRateIndexFixingDate(iborindex1M,P29,Trigger),TRUE,AllTriggers)</f>
        <v>5.2244169755520055E-3</v>
      </c>
      <c r="T29" s="224">
        <f>(U29/V29-1)/R29</f>
        <v>4.519844911673533E-3</v>
      </c>
      <c r="U29" s="346">
        <f>_xll.qlYieldTSDiscount(Discounting,P29,,AllTriggers)</f>
        <v>0.99886075142329978</v>
      </c>
      <c r="V29" s="346">
        <f>_xll.qlYieldTSDiscount(Discounting,Q29,,AllTriggers)</f>
        <v>0.99851453864524942</v>
      </c>
      <c r="W29" s="429">
        <f>LN((1+S29*R29)/(1+T29*R29))</f>
        <v>5.4029170279389026E-5</v>
      </c>
    </row>
    <row r="31" spans="9:23" x14ac:dyDescent="0.2">
      <c r="I31" s="256"/>
      <c r="J31" s="256"/>
    </row>
    <row r="33" spans="9:10" x14ac:dyDescent="0.2">
      <c r="I33" s="256"/>
      <c r="J33" s="256"/>
    </row>
    <row r="35" spans="9:10" x14ac:dyDescent="0.2">
      <c r="I35" s="256"/>
      <c r="J35" s="256"/>
    </row>
    <row r="37" spans="9:10" x14ac:dyDescent="0.2">
      <c r="I37" s="256"/>
      <c r="J37" s="256"/>
    </row>
  </sheetData>
  <dataValidations count="4">
    <dataValidation type="list" allowBlank="1" showInputMessage="1" showErrorMessage="1" sqref="R3:R9">
      <formula1>"TRUE,FALSE"</formula1>
    </dataValidation>
    <dataValidation type="list" allowBlank="1" showInputMessage="1" showErrorMessage="1" sqref="G4:G9">
      <formula1>"Following,Modified Following,Preceding,Modified Preceding,Month End Reference,Unadjusted Month End,Unadjusted"</formula1>
    </dataValidation>
    <dataValidation type="list" allowBlank="1" showInputMessage="1" showErrorMessage="1" sqref="H4:H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4:F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36"/>
  <sheetViews>
    <sheetView showGridLines="0" topLeftCell="B1" workbookViewId="0">
      <selection activeCell="G1" sqref="G1"/>
    </sheetView>
  </sheetViews>
  <sheetFormatPr defaultRowHeight="11.25" outlineLevelCol="1" x14ac:dyDescent="0.2"/>
  <cols>
    <col min="1" max="1" width="0" style="30" hidden="1" customWidth="1"/>
    <col min="2" max="2" width="3.1640625" style="30" customWidth="1"/>
    <col min="3" max="3" width="2.33203125" style="30" customWidth="1"/>
    <col min="4" max="4" width="3.1640625" style="30" customWidth="1"/>
    <col min="5" max="5" width="30.83203125" style="30" customWidth="1"/>
    <col min="6" max="7" width="20.1640625" style="30" bestFit="1" customWidth="1"/>
    <col min="8" max="8" width="8.1640625" style="30" bestFit="1" customWidth="1"/>
    <col min="9" max="9" width="11.6640625" style="30" bestFit="1" customWidth="1"/>
    <col min="10" max="11" width="14.1640625" style="30" hidden="1" customWidth="1" outlineLevel="1"/>
    <col min="12" max="12" width="10.5" style="30" bestFit="1" customWidth="1" collapsed="1"/>
    <col min="13" max="13" width="9.33203125" style="30" bestFit="1" customWidth="1"/>
    <col min="14" max="14" width="10.33203125" style="30" customWidth="1"/>
    <col min="15" max="15" width="9.33203125" style="30" customWidth="1"/>
    <col min="16" max="16" width="7" style="30" bestFit="1" customWidth="1"/>
    <col min="17" max="17" width="9.33203125" style="30" customWidth="1"/>
    <col min="18" max="18" width="11.33203125" style="30" customWidth="1"/>
    <col min="19" max="19" width="20.1640625" style="30" bestFit="1" customWidth="1"/>
    <col min="20" max="20" width="20.1640625" style="30" customWidth="1"/>
    <col min="21" max="21" width="8.1640625" style="30" bestFit="1" customWidth="1"/>
    <col min="22" max="22" width="9.33203125" style="30" bestFit="1" customWidth="1"/>
    <col min="23" max="24" width="14.1640625" style="30" hidden="1" customWidth="1" outlineLevel="1"/>
    <col min="25" max="25" width="10.5" style="30" bestFit="1" customWidth="1" collapsed="1"/>
    <col min="26" max="26" width="9.83203125" style="30" customWidth="1"/>
    <col min="27" max="27" width="17.83203125" style="30" bestFit="1" customWidth="1"/>
    <col min="28" max="29" width="15.33203125" style="30" bestFit="1" customWidth="1"/>
    <col min="30" max="30" width="9.33203125" style="30"/>
    <col min="31" max="31" width="14.1640625" style="30" bestFit="1" customWidth="1"/>
    <col min="32" max="32" width="15.33203125" style="30" bestFit="1" customWidth="1"/>
    <col min="33" max="16384" width="9.33203125" style="30"/>
  </cols>
  <sheetData>
    <row r="1" spans="1:32" ht="12" thickBot="1" x14ac:dyDescent="0.25">
      <c r="F1" s="397" t="s">
        <v>112</v>
      </c>
      <c r="G1" s="398" t="s">
        <v>39</v>
      </c>
      <c r="M1" s="30" t="s">
        <v>194</v>
      </c>
      <c r="N1" s="30">
        <v>7</v>
      </c>
      <c r="O1" s="433" t="str">
        <f>_xll.qlInterpolation(,interpolator3M,_xll.ohFilter(F4:F16,N4:N16),_xll.ohFilter(M4:M16,N4:N16))</f>
        <v>obj_00625#0196</v>
      </c>
    </row>
    <row r="2" spans="1:32" ht="26.25" customHeight="1" thickBot="1" x14ac:dyDescent="0.25">
      <c r="E2" s="213" t="str">
        <f>G1&amp;" Instruments"</f>
        <v>3M Instruments</v>
      </c>
      <c r="F2" s="338" t="s">
        <v>113</v>
      </c>
      <c r="G2" s="338" t="s">
        <v>114</v>
      </c>
      <c r="H2" s="338" t="s">
        <v>137</v>
      </c>
      <c r="I2" s="338" t="str">
        <f>G1&amp;" Market quote"</f>
        <v>3M Market quote</v>
      </c>
      <c r="J2" s="338" t="s">
        <v>138</v>
      </c>
      <c r="K2" s="338" t="s">
        <v>139</v>
      </c>
      <c r="L2" s="338" t="s">
        <v>140</v>
      </c>
      <c r="M2" s="338" t="s">
        <v>151</v>
      </c>
      <c r="N2" s="338" t="s">
        <v>84</v>
      </c>
      <c r="O2" s="338" t="s">
        <v>144</v>
      </c>
      <c r="P2" s="338" t="s">
        <v>155</v>
      </c>
      <c r="Q2" s="339" t="s">
        <v>141</v>
      </c>
      <c r="S2" s="213" t="s">
        <v>113</v>
      </c>
      <c r="T2" s="447" t="s">
        <v>114</v>
      </c>
      <c r="U2" s="447" t="s">
        <v>137</v>
      </c>
      <c r="V2" s="447" t="s">
        <v>144</v>
      </c>
      <c r="W2" s="447" t="s">
        <v>138</v>
      </c>
      <c r="X2" s="447" t="s">
        <v>139</v>
      </c>
      <c r="Y2" s="338" t="s">
        <v>140</v>
      </c>
      <c r="Z2" s="339" t="s">
        <v>154</v>
      </c>
    </row>
    <row r="3" spans="1:32" ht="11.25" customHeight="1" x14ac:dyDescent="0.2">
      <c r="E3" s="334" t="s">
        <v>193</v>
      </c>
      <c r="F3" s="335">
        <f>_xll.qlCalendarAdvance(Calendar,_xll.qlLastFixingQuoteReferenceDate(E4),_xll.qlInterestRateIndexFixingDays(PROPER(Currency)&amp;IborType&amp;$G$1)&amp;"D","f",,LastFixingsTrigger)</f>
        <v>42123</v>
      </c>
      <c r="G3" s="335"/>
      <c r="H3" s="341"/>
      <c r="I3" s="336"/>
      <c r="J3" s="344"/>
      <c r="K3" s="344"/>
      <c r="L3" s="336"/>
      <c r="M3" s="336"/>
      <c r="N3" s="337"/>
      <c r="O3" s="340"/>
      <c r="P3" s="456"/>
      <c r="Q3" s="469"/>
      <c r="S3" s="470">
        <f>F4</f>
        <v>42124</v>
      </c>
      <c r="T3" s="471">
        <f>_xll.qlCalendarAdvance(Calendar,S3,$G$1,"mf",,Trigger)</f>
        <v>42215</v>
      </c>
      <c r="U3" s="372">
        <f>_xll.qlDayCounterYearFraction(DayCounter,S3,T3,,,Trigger)</f>
        <v>0.24931506849315069</v>
      </c>
      <c r="V3" s="373">
        <f>_xll.qlInterpolationInterpolate(B3Minterpolation,S3,TRUE)</f>
        <v>1.1560832956510076E-3</v>
      </c>
      <c r="W3" s="374">
        <f>_xll.qlYieldTSDiscount(Discounting,S3,,AllTriggers)</f>
        <v>1</v>
      </c>
      <c r="X3" s="374">
        <f>_xll.qlYieldTSDiscount(Discounting,T3,,AllTriggers)</f>
        <v>0.99887306669886999</v>
      </c>
      <c r="Y3" s="373">
        <f>(W3/X3-1)/U3</f>
        <v>4.5252167043489926E-3</v>
      </c>
      <c r="Z3" s="450">
        <f>LN((1+(V3+Y3)*U3)/(1+Y3*U3))</f>
        <v>2.8786273474334972E-4</v>
      </c>
      <c r="AE3" s="33"/>
      <c r="AF3" s="33"/>
    </row>
    <row r="4" spans="1:32" ht="11.25" customHeight="1" x14ac:dyDescent="0.2">
      <c r="E4" s="497" t="str">
        <f>PROPER(Currency&amp;IborType)&amp;G1&amp;"LastFixing"&amp;QuoteSuffix</f>
        <v>Gbplibor3MLastFixing_Quote</v>
      </c>
      <c r="F4" s="498">
        <f>SettlementDate</f>
        <v>42124</v>
      </c>
      <c r="G4" s="498">
        <f>_xll.qlCalendarAdvance(Calendar,F4,G1,"mf",,Trigger)</f>
        <v>42215</v>
      </c>
      <c r="H4" s="499">
        <f>_xll.qlDayCounterYearFraction(DayCounter,F4,G4,,,Trigger)</f>
        <v>0.24931506849315069</v>
      </c>
      <c r="I4" s="500">
        <f>_xll.qlQuoteValue(E4,LastFixingsTrigger)</f>
        <v>5.6813000000000002E-3</v>
      </c>
      <c r="J4" s="501">
        <f>_xll.qlYieldTSDiscount(Discounting,F4,,AllTriggers)</f>
        <v>1</v>
      </c>
      <c r="K4" s="501">
        <f>_xll.qlYieldTSDiscount(Discounting,G4,,AllTriggers)</f>
        <v>0.99887306669886999</v>
      </c>
      <c r="L4" s="500">
        <f>(J4/K4-1)/H4</f>
        <v>4.5252167043489926E-3</v>
      </c>
      <c r="M4" s="500">
        <f>I4-L4</f>
        <v>1.1560832956510076E-3</v>
      </c>
      <c r="N4" s="502" t="b">
        <v>1</v>
      </c>
      <c r="O4" s="503">
        <f>_xll.qlInterpolationInterpolate(B3Minterpolation,F4,TRUE,Trigger)</f>
        <v>1.1560832956510076E-3</v>
      </c>
      <c r="P4" s="504">
        <f>(M4-O4)*10000</f>
        <v>0</v>
      </c>
      <c r="Q4" s="505">
        <f>LN((1+I4*H4)/(1+L4*H4))</f>
        <v>2.8786273474334972E-4</v>
      </c>
      <c r="S4" s="422">
        <f>_xll.qlCalendarAdvance(Calendar,S3,"1D","f")</f>
        <v>42125</v>
      </c>
      <c r="T4" s="221">
        <f>_xll.qlCalendarAdvance(Calendar,S4,$G$1,"mf",,Trigger)</f>
        <v>42219</v>
      </c>
      <c r="U4" s="342">
        <f>_xll.qlDayCounterYearFraction(DayCounter,S4,T4,,,Trigger)</f>
        <v>0.25753424657534246</v>
      </c>
      <c r="V4" s="32">
        <f>_xll.qlInterpolationInterpolate(B3Minterpolation,S4,TRUE)</f>
        <v>1.1627703745188094E-3</v>
      </c>
      <c r="W4" s="345">
        <f>_xll.qlYieldTSDiscount(Discounting,S4,,AllTriggers)</f>
        <v>0.99998746836962482</v>
      </c>
      <c r="X4" s="345">
        <f>_xll.qlYieldTSDiscount(Discounting,T4,,AllTriggers)</f>
        <v>0.99882379473348426</v>
      </c>
      <c r="Y4" s="32">
        <f t="shared" ref="Y4:Y67" si="0">(W4/X4-1)/U4</f>
        <v>4.523840935654032E-3</v>
      </c>
      <c r="Z4" s="451">
        <f t="shared" ref="Z4:Z67" si="1">LN((1+(V4+Y4)*U4)/(1+Y4*U4))</f>
        <v>2.9905999929010456E-4</v>
      </c>
      <c r="AE4" s="33"/>
      <c r="AF4" s="33"/>
    </row>
    <row r="5" spans="1:32" ht="11.25" customHeight="1" x14ac:dyDescent="0.2">
      <c r="A5" s="30" t="b">
        <v>0</v>
      </c>
      <c r="B5" s="30">
        <v>1</v>
      </c>
      <c r="C5" s="30" t="s">
        <v>35</v>
      </c>
      <c r="D5" s="30">
        <f>B5+SUBSTITUTE($G$1,"M","")</f>
        <v>4</v>
      </c>
      <c r="E5" s="220" t="str">
        <f>Currency&amp;B5&amp;C5&amp;D5&amp;"F"&amp;QuoteSuffix</f>
        <v>GBP1x4F_Quote</v>
      </c>
      <c r="F5" s="221">
        <f>_xll.qlCalendarAdvance("target",SettlementDate,B5&amp;"M","mf",,Trigger)</f>
        <v>42153</v>
      </c>
      <c r="G5" s="221">
        <f>_xll.qlCalendarAdvance(Calendar,F5,$G$1,"mf",,Trigger)</f>
        <v>42244</v>
      </c>
      <c r="H5" s="342">
        <f>_xll.qlDayCounterYearFraction(DayCounter,F5,G5,,,Trigger)</f>
        <v>0.24931506849315069</v>
      </c>
      <c r="I5" s="32">
        <f>_xll.qlQuoteValue(E5,AllTriggers)</f>
        <v>5.8499999999999993E-3</v>
      </c>
      <c r="J5" s="345">
        <f>_xll.qlYieldTSDiscount(Discounting,F5,,AllTriggers)</f>
        <v>0.99963763135863237</v>
      </c>
      <c r="K5" s="345">
        <f>_xll.qlYieldTSDiscount(Discounting,G5,,AllTriggers)</f>
        <v>0.99851453864524942</v>
      </c>
      <c r="L5" s="32">
        <f t="shared" ref="L5:L7" si="2">(J5/K5-1)/H5</f>
        <v>4.5114140629464797E-3</v>
      </c>
      <c r="M5" s="32">
        <f t="shared" ref="M5:M16" si="3">I5-L5</f>
        <v>1.3385859370535196E-3</v>
      </c>
      <c r="N5" s="332" t="b">
        <f>IF(OR(ABS(_xll.qlIMMNextDate(F5,A5)-F5&lt;$N$1),ABS(_xll.qlIMMNextDate(F5-$N$1,A5)-F5&lt;$N$1)),FALSE,TRUE)</f>
        <v>1</v>
      </c>
      <c r="O5" s="32">
        <f>_xll.qlInterpolationInterpolate(B3Minterpolation,F5,TRUE,Trigger)</f>
        <v>1.3385859370535196E-3</v>
      </c>
      <c r="P5" s="446">
        <f t="shared" ref="P5:P16" si="4">(M5-O5)*10000</f>
        <v>0</v>
      </c>
      <c r="Q5" s="451">
        <f t="shared" ref="Q5:Q16" si="5">LN((1+I5*H5)/(1+L5*H5))</f>
        <v>3.332991490471737E-4</v>
      </c>
      <c r="S5" s="422">
        <f>_xll.qlCalendarAdvance(Calendar,S4,"1D","f")</f>
        <v>42129</v>
      </c>
      <c r="T5" s="221">
        <f>_xll.qlCalendarAdvance(Calendar,S5,$G$1,"mf",,Trigger)</f>
        <v>42221</v>
      </c>
      <c r="U5" s="342">
        <f>_xll.qlDayCounterYearFraction(DayCounter,S5,T5,,,Trigger)</f>
        <v>0.25205479452054796</v>
      </c>
      <c r="V5" s="32">
        <f>_xll.qlInterpolationInterpolate(B3Minterpolation,S5,TRUE)</f>
        <v>1.189462420799063E-3</v>
      </c>
      <c r="W5" s="345">
        <f>_xll.qlYieldTSDiscount(Discounting,S5,,AllTriggers)</f>
        <v>0.99993733844940524</v>
      </c>
      <c r="X5" s="345">
        <f>_xll.qlYieldTSDiscount(Discounting,T5,,AllTriggers)</f>
        <v>0.99879914599602981</v>
      </c>
      <c r="Y5" s="32">
        <f t="shared" si="0"/>
        <v>4.5210840040244126E-3</v>
      </c>
      <c r="Z5" s="451">
        <f t="shared" si="1"/>
        <v>2.9942361181146417E-4</v>
      </c>
      <c r="AE5" s="33"/>
      <c r="AF5" s="33"/>
    </row>
    <row r="6" spans="1:32" ht="11.25" customHeight="1" x14ac:dyDescent="0.2">
      <c r="A6" s="30" t="b">
        <v>1</v>
      </c>
      <c r="B6" s="30">
        <v>2</v>
      </c>
      <c r="C6" s="30" t="s">
        <v>35</v>
      </c>
      <c r="D6" s="30">
        <f t="shared" ref="D6:D7" si="6">B6+SUBSTITUTE($G$1,"M","")</f>
        <v>5</v>
      </c>
      <c r="E6" s="220" t="str">
        <f>Currency&amp;B6&amp;C6&amp;D6&amp;"F"&amp;QuoteSuffix</f>
        <v>GBP2x5F_Quote</v>
      </c>
      <c r="F6" s="221">
        <f>_xll.qlCalendarAdvance("target",SettlementDate,B6&amp;"M","mf",,Trigger)</f>
        <v>42185</v>
      </c>
      <c r="G6" s="221">
        <f>_xll.qlCalendarAdvance(Calendar,F6,$G$1,"mf",,Trigger)</f>
        <v>42277</v>
      </c>
      <c r="H6" s="342">
        <f>_xll.qlDayCounterYearFraction(DayCounter,F6,G6,,,Trigger)</f>
        <v>0.25205479452054796</v>
      </c>
      <c r="I6" s="32">
        <f>_xll.qlQuoteValue(E6,AllTriggers)</f>
        <v>6.0000000000000001E-3</v>
      </c>
      <c r="J6" s="345">
        <f>_xll.qlYieldTSDiscount(Discounting,F6,,AllTriggers)</f>
        <v>0.9992422526985788</v>
      </c>
      <c r="K6" s="345">
        <f>_xll.qlYieldTSDiscount(Discounting,G6,,AllTriggers)</f>
        <v>0.99810159026638001</v>
      </c>
      <c r="L6" s="32">
        <f t="shared" si="2"/>
        <v>4.5340617216067499E-3</v>
      </c>
      <c r="M6" s="32">
        <f t="shared" si="3"/>
        <v>1.4659382783932503E-3</v>
      </c>
      <c r="N6" s="332" t="b">
        <v>0</v>
      </c>
      <c r="O6" s="32">
        <f>_xll.qlInterpolationInterpolate(B3Minterpolation,F6,TRUE,Trigger)</f>
        <v>1.4710978979349215E-3</v>
      </c>
      <c r="P6" s="446">
        <f t="shared" si="4"/>
        <v>-5.1596195416712433E-2</v>
      </c>
      <c r="Q6" s="451">
        <f t="shared" si="5"/>
        <v>3.6900688942601066E-4</v>
      </c>
      <c r="S6" s="422">
        <f>_xll.qlCalendarAdvance(Calendar,S5,"1D","f")</f>
        <v>42130</v>
      </c>
      <c r="T6" s="221">
        <f>_xll.qlCalendarAdvance(Calendar,S6,$G$1,"mf",,Trigger)</f>
        <v>42222</v>
      </c>
      <c r="U6" s="342">
        <f>_xll.qlDayCounterYearFraction(DayCounter,S6,T6,,,Trigger)</f>
        <v>0.25205479452054796</v>
      </c>
      <c r="V6" s="32">
        <f>_xll.qlInterpolationInterpolate(B3Minterpolation,S6,TRUE)</f>
        <v>1.1961072977736491E-3</v>
      </c>
      <c r="W6" s="345">
        <f>_xll.qlYieldTSDiscount(Discounting,S6,,AllTriggers)</f>
        <v>0.99992480387749072</v>
      </c>
      <c r="X6" s="345">
        <f>_xll.qlYieldTSDiscount(Discounting,T6,,AllTriggers)</f>
        <v>0.99878681776521494</v>
      </c>
      <c r="Y6" s="32">
        <f t="shared" si="0"/>
        <v>4.5203201784477353E-3</v>
      </c>
      <c r="Z6" s="451">
        <f t="shared" si="1"/>
        <v>3.0109613410939323E-4</v>
      </c>
      <c r="AE6" s="33"/>
      <c r="AF6" s="33"/>
    </row>
    <row r="7" spans="1:32" ht="11.25" customHeight="1" x14ac:dyDescent="0.2">
      <c r="A7" s="30" t="b">
        <v>1</v>
      </c>
      <c r="B7" s="30">
        <v>3</v>
      </c>
      <c r="C7" s="30" t="s">
        <v>35</v>
      </c>
      <c r="D7" s="30">
        <f t="shared" si="6"/>
        <v>6</v>
      </c>
      <c r="E7" s="434" t="str">
        <f>Currency&amp;B7&amp;C7&amp;D7&amp;"F"&amp;QuoteSuffix</f>
        <v>GBP3x6F_Quote</v>
      </c>
      <c r="F7" s="435">
        <f>_xll.qlCalendarAdvance("target",SettlementDate,B7&amp;"M","mf",,Trigger)</f>
        <v>42215</v>
      </c>
      <c r="G7" s="435">
        <f>_xll.qlCalendarAdvance(Calendar,F7,$G$1,"mf",,Trigger)</f>
        <v>42307</v>
      </c>
      <c r="H7" s="436">
        <f>_xll.qlDayCounterYearFraction(DayCounter,F7,G7,,,Trigger)</f>
        <v>0.25205479452054796</v>
      </c>
      <c r="I7" s="384">
        <f>_xll.qlQuoteValue(E7,AllTriggers)</f>
        <v>6.1500000000000001E-3</v>
      </c>
      <c r="J7" s="385">
        <f>_xll.qlYieldTSDiscount(Discounting,F7,,AllTriggers)</f>
        <v>0.99887306669886999</v>
      </c>
      <c r="K7" s="385">
        <f>_xll.qlYieldTSDiscount(Discounting,G7,,AllTriggers)</f>
        <v>0.99771772071387299</v>
      </c>
      <c r="L7" s="384">
        <f t="shared" si="2"/>
        <v>4.5941948501332496E-3</v>
      </c>
      <c r="M7" s="384">
        <f t="shared" si="3"/>
        <v>1.5558051498667505E-3</v>
      </c>
      <c r="N7" s="437" t="b">
        <v>0</v>
      </c>
      <c r="O7" s="384">
        <f>_xll.qlInterpolationInterpolate(B3Minterpolation,F7,TRUE,Trigger)</f>
        <v>1.527063421629563E-3</v>
      </c>
      <c r="P7" s="466">
        <f t="shared" si="4"/>
        <v>0.28741728237187447</v>
      </c>
      <c r="Q7" s="468">
        <f t="shared" si="5"/>
        <v>3.9161787713213041E-4</v>
      </c>
      <c r="S7" s="422">
        <f>_xll.qlCalendarAdvance(Calendar,S6,"1D","f")</f>
        <v>42131</v>
      </c>
      <c r="T7" s="221">
        <f>_xll.qlCalendarAdvance(Calendar,S7,$G$1,"mf",,Trigger)</f>
        <v>42223</v>
      </c>
      <c r="U7" s="342">
        <f>_xll.qlDayCounterYearFraction(DayCounter,S7,T7,,,Trigger)</f>
        <v>0.25205479452054796</v>
      </c>
      <c r="V7" s="32">
        <f>_xll.qlInterpolationInterpolate(B3Minterpolation,S7,TRUE)</f>
        <v>1.2027352939909489E-3</v>
      </c>
      <c r="W7" s="345">
        <f>_xll.qlYieldTSDiscount(Discounting,S7,,AllTriggers)</f>
        <v>0.99991226797200383</v>
      </c>
      <c r="X7" s="345">
        <f>_xll.qlYieldTSDiscount(Discounting,T7,,AllTriggers)</f>
        <v>0.99877448670244651</v>
      </c>
      <c r="Y7" s="32">
        <f t="shared" si="0"/>
        <v>4.5195622987882827E-3</v>
      </c>
      <c r="Z7" s="451">
        <f t="shared" si="1"/>
        <v>3.027644050522577E-4</v>
      </c>
      <c r="AE7" s="33"/>
      <c r="AF7" s="33"/>
    </row>
    <row r="8" spans="1:32" ht="11.25" customHeight="1" x14ac:dyDescent="0.2">
      <c r="D8" s="30" t="str">
        <f>_xll.qlIMMNextCode(SettlementDate,TRUE)</f>
        <v>M5</v>
      </c>
      <c r="E8" s="220" t="str">
        <f t="shared" ref="E8:E16" si="7">Currency&amp;"FUT"&amp;"3M"&amp;D8&amp;QuoteSuffix</f>
        <v>GBPFUT3MM5_Quote</v>
      </c>
      <c r="F8" s="221">
        <f>_xll.qlIMMdate(D8,$F$4,Trigger)</f>
        <v>42172</v>
      </c>
      <c r="G8" s="221">
        <f>_xll.qlCalendarAdvance(Calendar,F8,$G$1,"mf",,Trigger)</f>
        <v>42264</v>
      </c>
      <c r="H8" s="342">
        <f>_xll.qlDayCounterYearFraction(DayCounter,F8,G8,,,Trigger)</f>
        <v>0.25205479452054796</v>
      </c>
      <c r="I8" s="32">
        <f>1-_xll.qlQuoteValue(E8,AllTriggers)/100</f>
        <v>5.9500000000000108E-3</v>
      </c>
      <c r="J8" s="345">
        <f>_xll.qlYieldTSDiscount(Discounting,F8,,AllTriggers)</f>
        <v>0.99940249052212071</v>
      </c>
      <c r="K8" s="345">
        <f>_xll.qlYieldTSDiscount(Discounting,G8,,AllTriggers)</f>
        <v>0.99826465867813063</v>
      </c>
      <c r="L8" s="32">
        <f t="shared" ref="L8:L16" si="8">(J8/K8-1)/H8</f>
        <v>4.5220715011929048E-3</v>
      </c>
      <c r="M8" s="32">
        <f t="shared" si="3"/>
        <v>1.427928498807106E-3</v>
      </c>
      <c r="N8" s="332" t="b">
        <v>1</v>
      </c>
      <c r="O8" s="32">
        <f>_xll.qlInterpolationInterpolate(B3Minterpolation,F8,TRUE,Trigger)</f>
        <v>1.427928498807106E-3</v>
      </c>
      <c r="P8" s="446">
        <f t="shared" si="4"/>
        <v>0</v>
      </c>
      <c r="Q8" s="451">
        <f t="shared" si="5"/>
        <v>3.5944184841296868E-4</v>
      </c>
      <c r="S8" s="422">
        <f>_xll.qlCalendarAdvance(Calendar,S7,"1D","f")</f>
        <v>42132</v>
      </c>
      <c r="T8" s="221">
        <f>_xll.qlCalendarAdvance(Calendar,S8,$G$1,"mf",,Trigger)</f>
        <v>42226</v>
      </c>
      <c r="U8" s="342">
        <f>_xll.qlDayCounterYearFraction(DayCounter,S8,T8,,,Trigger)</f>
        <v>0.25753424657534246</v>
      </c>
      <c r="V8" s="32">
        <f>_xll.qlInterpolationInterpolate(B3Minterpolation,S8,TRUE)</f>
        <v>1.2093435959914147E-3</v>
      </c>
      <c r="W8" s="345">
        <f>_xll.qlYieldTSDiscount(Discounting,S8,,AllTriggers)</f>
        <v>0.99989973075543392</v>
      </c>
      <c r="X8" s="345">
        <f>_xll.qlYieldTSDiscount(Discounting,T8,,AllTriggers)</f>
        <v>0.99873747459337237</v>
      </c>
      <c r="Y8" s="32">
        <f t="shared" si="0"/>
        <v>4.5187209484334684E-3</v>
      </c>
      <c r="Z8" s="451">
        <f t="shared" si="1"/>
        <v>3.1103699687252978E-4</v>
      </c>
      <c r="AE8" s="33"/>
      <c r="AF8" s="33"/>
    </row>
    <row r="9" spans="1:32" ht="11.25" customHeight="1" x14ac:dyDescent="0.2">
      <c r="D9" s="30" t="str">
        <f>_xll.qlIMMNextCode($F$8,TRUE)</f>
        <v>U5</v>
      </c>
      <c r="E9" s="220" t="str">
        <f t="shared" si="7"/>
        <v>GBPFUT3MU5_Quote</v>
      </c>
      <c r="F9" s="221">
        <f>_xll.qlIMMdate(D9,$F$4,Trigger)</f>
        <v>42263</v>
      </c>
      <c r="G9" s="221">
        <f>_xll.qlCalendarAdvance(Calendar,F9,$G$1,"mf",,Trigger)</f>
        <v>42354</v>
      </c>
      <c r="H9" s="342">
        <f>_xll.qlDayCounterYearFraction(DayCounter,F9,G9,,,Trigger)</f>
        <v>0.24931506849315069</v>
      </c>
      <c r="I9" s="32">
        <f>1-_xll.qlQuoteValue(E9,AllTriggers)/100</f>
        <v>6.4500000000000668E-3</v>
      </c>
      <c r="J9" s="345">
        <f>_xll.qlYieldTSDiscount(Discounting,F9,,AllTriggers)</f>
        <v>0.99827719149087257</v>
      </c>
      <c r="K9" s="345">
        <f>_xll.qlYieldTSDiscount(Discounting,G9,,AllTriggers)</f>
        <v>0.99706119567878337</v>
      </c>
      <c r="L9" s="32">
        <f t="shared" si="8"/>
        <v>4.8917216524292234E-3</v>
      </c>
      <c r="M9" s="32">
        <f t="shared" si="3"/>
        <v>1.5582783475708434E-3</v>
      </c>
      <c r="N9" s="332" t="b">
        <v>1</v>
      </c>
      <c r="O9" s="32">
        <f>_xll.qlInterpolationInterpolate(B3Minterpolation,F9,TRUE,Trigger)</f>
        <v>1.5582783475708434E-3</v>
      </c>
      <c r="P9" s="446">
        <f t="shared" si="4"/>
        <v>0</v>
      </c>
      <c r="Q9" s="451">
        <f t="shared" si="5"/>
        <v>3.8795377673117408E-4</v>
      </c>
      <c r="S9" s="422">
        <f>_xll.qlCalendarAdvance(Calendar,S8,"1D","f")</f>
        <v>42135</v>
      </c>
      <c r="T9" s="221">
        <f>_xll.qlCalendarAdvance(Calendar,S9,$G$1,"mf",,Trigger)</f>
        <v>42227</v>
      </c>
      <c r="U9" s="342">
        <f>_xll.qlDayCounterYearFraction(DayCounter,S9,T9,,,Trigger)</f>
        <v>0.25205479452054796</v>
      </c>
      <c r="V9" s="32">
        <f>_xll.qlInterpolationInterpolate(B3Minterpolation,S9,TRUE)</f>
        <v>1.2290222020963305E-3</v>
      </c>
      <c r="W9" s="345">
        <f>_xll.qlYieldTSDiscount(Discounting,S9,,AllTriggers)</f>
        <v>0.99986212338244296</v>
      </c>
      <c r="X9" s="345">
        <f>_xll.qlYieldTSDiscount(Discounting,T9,,AllTriggers)</f>
        <v>0.99872513027379028</v>
      </c>
      <c r="Y9" s="32">
        <f t="shared" si="0"/>
        <v>4.5166547187368107E-3</v>
      </c>
      <c r="Z9" s="451">
        <f t="shared" si="1"/>
        <v>3.0938080807077788E-4</v>
      </c>
      <c r="AE9" s="33"/>
      <c r="AF9" s="33"/>
    </row>
    <row r="10" spans="1:32" ht="11.25" customHeight="1" x14ac:dyDescent="0.2">
      <c r="D10" s="30" t="str">
        <f>_xll.qlIMMNextCode($F9,TRUE)</f>
        <v>Z5</v>
      </c>
      <c r="E10" s="220" t="str">
        <f t="shared" si="7"/>
        <v>GBPFUT3MZ5_Quote</v>
      </c>
      <c r="F10" s="221">
        <f>_xll.qlIMMdate(D10,$F$4,Trigger)</f>
        <v>42354</v>
      </c>
      <c r="G10" s="221">
        <f>_xll.qlCalendarAdvance(Calendar,F10,$G$1,"mf",,Trigger)</f>
        <v>42445</v>
      </c>
      <c r="H10" s="342">
        <f>_xll.qlDayCounterYearFraction(DayCounter,F10,G10,,,Trigger)</f>
        <v>0.24931506849315069</v>
      </c>
      <c r="I10" s="32">
        <f>1-_xll.qlQuoteValue(E10,AllTriggers)/100</f>
        <v>7.4500000000000677E-3</v>
      </c>
      <c r="J10" s="345">
        <f>_xll.qlYieldTSDiscount(Discounting,F10,,AllTriggers)</f>
        <v>0.99706119567878337</v>
      </c>
      <c r="K10" s="345">
        <f>_xll.qlYieldTSDiscount(Discounting,G10,,AllTriggers)</f>
        <v>0.99563494638240713</v>
      </c>
      <c r="L10" s="32">
        <f t="shared" si="8"/>
        <v>5.7457507648577336E-3</v>
      </c>
      <c r="M10" s="32">
        <f t="shared" si="3"/>
        <v>1.7042492351423341E-3</v>
      </c>
      <c r="N10" s="332" t="b">
        <v>1</v>
      </c>
      <c r="O10" s="32">
        <f>_xll.qlInterpolationInterpolate(B3Minterpolation,F10,TRUE,Trigger)</f>
        <v>1.7042492351423341E-3</v>
      </c>
      <c r="P10" s="446">
        <f t="shared" si="4"/>
        <v>0</v>
      </c>
      <c r="Q10" s="451">
        <f t="shared" si="5"/>
        <v>4.2419723801844525E-4</v>
      </c>
      <c r="S10" s="422">
        <f>_xll.qlCalendarAdvance(Calendar,S9,"1D","f")</f>
        <v>42136</v>
      </c>
      <c r="T10" s="221">
        <f>_xll.qlCalendarAdvance(Calendar,S10,$G$1,"mf",,Trigger)</f>
        <v>42228</v>
      </c>
      <c r="U10" s="342">
        <f>_xll.qlDayCounterYearFraction(DayCounter,S10,T10,,,Trigger)</f>
        <v>0.25205479452054796</v>
      </c>
      <c r="V10" s="32">
        <f>_xll.qlInterpolationInterpolate(B3Minterpolation,S10,TRUE)</f>
        <v>1.235523592633983E-3</v>
      </c>
      <c r="W10" s="345">
        <f>_xll.qlYieldTSDiscount(Discounting,S10,,AllTriggers)</f>
        <v>0.99984959360618952</v>
      </c>
      <c r="X10" s="345">
        <f>_xll.qlYieldTSDiscount(Discounting,T10,,AllTriggers)</f>
        <v>0.99871278215780301</v>
      </c>
      <c r="Y10" s="32">
        <f t="shared" si="0"/>
        <v>4.5159889165198646E-3</v>
      </c>
      <c r="Z10" s="451">
        <f t="shared" si="1"/>
        <v>3.1101719573038065E-4</v>
      </c>
      <c r="AE10" s="33"/>
      <c r="AF10" s="33"/>
    </row>
    <row r="11" spans="1:32" ht="11.25" customHeight="1" x14ac:dyDescent="0.2">
      <c r="D11" s="30" t="str">
        <f>_xll.qlIMMNextCode($F10,TRUE)</f>
        <v>H6</v>
      </c>
      <c r="E11" s="220" t="str">
        <f t="shared" si="7"/>
        <v>GBPFUT3MH6_Quote</v>
      </c>
      <c r="F11" s="221">
        <f>_xll.qlIMMdate(D11,$F$4,Trigger)</f>
        <v>42445</v>
      </c>
      <c r="G11" s="221">
        <f>_xll.qlCalendarAdvance(Calendar,F11,$G$1,"mf",,Trigger)</f>
        <v>42537</v>
      </c>
      <c r="H11" s="342">
        <f>_xll.qlDayCounterYearFraction(DayCounter,F11,G11,,,Trigger)</f>
        <v>0.25205479452054796</v>
      </c>
      <c r="I11" s="32">
        <f>1-_xll.qlQuoteValue(E11,AllTriggers)/100</f>
        <v>8.6500000000000465E-3</v>
      </c>
      <c r="J11" s="345">
        <f>_xll.qlYieldTSDiscount(Discounting,F11,,AllTriggers)</f>
        <v>0.99563494638240713</v>
      </c>
      <c r="K11" s="345">
        <f>_xll.qlYieldTSDiscount(Discounting,G11,,AllTriggers)</f>
        <v>0.9939541763003682</v>
      </c>
      <c r="L11" s="32">
        <f t="shared" si="8"/>
        <v>6.7088330298177385E-3</v>
      </c>
      <c r="M11" s="32">
        <f t="shared" si="3"/>
        <v>1.941166970182308E-3</v>
      </c>
      <c r="N11" s="332" t="b">
        <v>1</v>
      </c>
      <c r="O11" s="32">
        <f>_xll.qlInterpolationInterpolate(B3Minterpolation,F11,TRUE,Trigger)</f>
        <v>1.941166970182308E-3</v>
      </c>
      <c r="P11" s="446">
        <f t="shared" si="4"/>
        <v>0</v>
      </c>
      <c r="Q11" s="451">
        <f t="shared" si="5"/>
        <v>4.8833521340145569E-4</v>
      </c>
      <c r="S11" s="422">
        <f>_xll.qlCalendarAdvance(Calendar,S10,"1D","f")</f>
        <v>42137</v>
      </c>
      <c r="T11" s="221">
        <f>_xll.qlCalendarAdvance(Calendar,S11,$G$1,"mf",,Trigger)</f>
        <v>42229</v>
      </c>
      <c r="U11" s="342">
        <f>_xll.qlDayCounterYearFraction(DayCounter,S11,T11,,,Trigger)</f>
        <v>0.25205479452054796</v>
      </c>
      <c r="V11" s="32">
        <f>_xll.qlInterpolationInterpolate(B3Minterpolation,S11,TRUE)</f>
        <v>1.2419912216570627E-3</v>
      </c>
      <c r="W11" s="345">
        <f>_xll.qlYieldTSDiscount(Discounting,S11,,AllTriggers)</f>
        <v>0.99983706913172077</v>
      </c>
      <c r="X11" s="345">
        <f>_xll.qlYieldTSDiscount(Discounting,T11,,AllTriggers)</f>
        <v>0.99870043005254872</v>
      </c>
      <c r="Y11" s="32">
        <f t="shared" si="0"/>
        <v>4.5153600250793218E-3</v>
      </c>
      <c r="Z11" s="451">
        <f t="shared" si="1"/>
        <v>3.1264508093533196E-4</v>
      </c>
      <c r="AE11" s="33"/>
      <c r="AF11" s="33"/>
    </row>
    <row r="12" spans="1:32" ht="11.25" customHeight="1" x14ac:dyDescent="0.2">
      <c r="D12" s="30" t="str">
        <f>_xll.qlIMMNextCode($F11,TRUE)</f>
        <v>M6</v>
      </c>
      <c r="E12" s="220" t="str">
        <f t="shared" si="7"/>
        <v>GBPFUT3MM6_Quote</v>
      </c>
      <c r="F12" s="221">
        <f>_xll.qlIMMdate(D12,$F$4,Trigger)</f>
        <v>42536</v>
      </c>
      <c r="G12" s="221">
        <f>_xll.qlCalendarAdvance(Calendar,F12,$G$1,"mf",,Trigger)</f>
        <v>42628</v>
      </c>
      <c r="H12" s="342">
        <f>_xll.qlDayCounterYearFraction(DayCounter,F12,G12,,,Trigger)</f>
        <v>0.25205479452054796</v>
      </c>
      <c r="I12" s="32">
        <f>1-_xll.qlQuoteValue(E12,AllTriggers)/100</f>
        <v>9.9500000000000144E-3</v>
      </c>
      <c r="J12" s="345">
        <f>_xll.qlYieldTSDiscount(Discounting,F12,,AllTriggers)</f>
        <v>0.99397411587226892</v>
      </c>
      <c r="K12" s="345">
        <f>_xll.qlYieldTSDiscount(Discounting,G12,,AllTriggers)</f>
        <v>0.99198075266725949</v>
      </c>
      <c r="L12" s="32">
        <f t="shared" si="8"/>
        <v>7.9723843680400801E-3</v>
      </c>
      <c r="M12" s="32">
        <f t="shared" si="3"/>
        <v>1.9776156319599343E-3</v>
      </c>
      <c r="N12" s="332" t="b">
        <v>1</v>
      </c>
      <c r="O12" s="32">
        <f>_xll.qlInterpolationInterpolate(B3Minterpolation,F12,TRUE,Trigger)</f>
        <v>1.9776156319599343E-3</v>
      </c>
      <c r="P12" s="446">
        <f t="shared" si="4"/>
        <v>0</v>
      </c>
      <c r="Q12" s="451">
        <f t="shared" si="5"/>
        <v>4.9734415508912171E-4</v>
      </c>
      <c r="S12" s="422">
        <f>_xll.qlCalendarAdvance(Calendar,S11,"1D","f")</f>
        <v>42138</v>
      </c>
      <c r="T12" s="221">
        <f>_xll.qlCalendarAdvance(Calendar,S12,$G$1,"mf",,Trigger)</f>
        <v>42230</v>
      </c>
      <c r="U12" s="342">
        <f>_xll.qlDayCounterYearFraction(DayCounter,S12,T12,,,Trigger)</f>
        <v>0.25205479452054796</v>
      </c>
      <c r="V12" s="32">
        <f>_xll.qlInterpolationInterpolate(B3Minterpolation,S12,TRUE)</f>
        <v>1.2484222757060221E-3</v>
      </c>
      <c r="W12" s="345">
        <f>_xll.qlYieldTSDiscount(Discounting,S12,,AllTriggers)</f>
        <v>0.99982455133558079</v>
      </c>
      <c r="X12" s="345">
        <f>_xll.qlYieldTSDiscount(Discounting,T12,,AllTriggers)</f>
        <v>0.99868807376517554</v>
      </c>
      <c r="Y12" s="32">
        <f t="shared" si="0"/>
        <v>4.5147742812357006E-3</v>
      </c>
      <c r="Z12" s="451">
        <f t="shared" si="1"/>
        <v>3.1426375506738363E-4</v>
      </c>
      <c r="AE12" s="33"/>
      <c r="AF12" s="33"/>
    </row>
    <row r="13" spans="1:32" ht="11.25" customHeight="1" x14ac:dyDescent="0.2">
      <c r="D13" s="30" t="str">
        <f>_xll.qlIMMNextCode($F12,TRUE)</f>
        <v>U6</v>
      </c>
      <c r="E13" s="220" t="str">
        <f t="shared" si="7"/>
        <v>GBPFUT3MU6_Quote</v>
      </c>
      <c r="F13" s="221">
        <f>_xll.qlIMMdate(D13,$F$4,Trigger)</f>
        <v>42634</v>
      </c>
      <c r="G13" s="221">
        <f>_xll.qlCalendarAdvance(Calendar,F13,$G$1,"mf",,Trigger)</f>
        <v>42725</v>
      </c>
      <c r="H13" s="342">
        <f>_xll.qlDayCounterYearFraction(DayCounter,F13,G13,,,Trigger)</f>
        <v>0.24931506849315069</v>
      </c>
      <c r="I13" s="32">
        <f>1-_xll.qlQuoteValue(E13,AllTriggers)/100</f>
        <v>1.134999999999986E-2</v>
      </c>
      <c r="J13" s="345">
        <f>_xll.qlYieldTSDiscount(Discounting,F13,,AllTriggers)</f>
        <v>0.99184014688959066</v>
      </c>
      <c r="K13" s="345">
        <f>_xll.qlYieldTSDiscount(Discounting,G13,,AllTriggers)</f>
        <v>0.98955908384955649</v>
      </c>
      <c r="L13" s="32">
        <f t="shared" si="8"/>
        <v>9.2458539730217067E-3</v>
      </c>
      <c r="M13" s="32">
        <f t="shared" si="3"/>
        <v>2.1041460269781535E-3</v>
      </c>
      <c r="N13" s="332" t="b">
        <v>1</v>
      </c>
      <c r="O13" s="32">
        <f>_xll.qlInterpolationInterpolate(B3Minterpolation,F13,TRUE,Trigger)</f>
        <v>2.1041460269781535E-3</v>
      </c>
      <c r="P13" s="446">
        <f t="shared" si="4"/>
        <v>0</v>
      </c>
      <c r="Q13" s="451">
        <f t="shared" si="5"/>
        <v>5.2325191100281851E-4</v>
      </c>
      <c r="S13" s="422">
        <f>_xll.qlCalendarAdvance(Calendar,S12,"1D","f")</f>
        <v>42139</v>
      </c>
      <c r="T13" s="221">
        <f>_xll.qlCalendarAdvance(Calendar,S13,$G$1,"mf",,Trigger)</f>
        <v>42233</v>
      </c>
      <c r="U13" s="342">
        <f>_xll.qlDayCounterYearFraction(DayCounter,S13,T13,,,Trigger)</f>
        <v>0.25753424657534246</v>
      </c>
      <c r="V13" s="32">
        <f>_xll.qlInterpolationInterpolate(B3Minterpolation,S13,TRUE)</f>
        <v>1.2548139413213135E-3</v>
      </c>
      <c r="W13" s="345">
        <f>_xll.qlYieldTSDiscount(Discounting,S13,,AllTriggers)</f>
        <v>0.99981204133041413</v>
      </c>
      <c r="X13" s="345">
        <f>_xll.qlYieldTSDiscount(Discounting,T13,,AllTriggers)</f>
        <v>0.99865097788196633</v>
      </c>
      <c r="Y13" s="32">
        <f t="shared" si="0"/>
        <v>4.5144747931921865E-3</v>
      </c>
      <c r="Z13" s="451">
        <f t="shared" si="1"/>
        <v>3.2273020300473425E-4</v>
      </c>
      <c r="AE13" s="33"/>
      <c r="AF13" s="33"/>
    </row>
    <row r="14" spans="1:32" ht="11.25" customHeight="1" x14ac:dyDescent="0.2">
      <c r="D14" s="30" t="str">
        <f>_xll.qlIMMNextCode($F13,TRUE)</f>
        <v>Z6</v>
      </c>
      <c r="E14" s="220" t="str">
        <f t="shared" si="7"/>
        <v>GBPFUT3MZ6_Quote</v>
      </c>
      <c r="F14" s="221">
        <f>_xll.qlIMMdate(D14,$F$4,Trigger)</f>
        <v>42725</v>
      </c>
      <c r="G14" s="221">
        <f>_xll.qlCalendarAdvance(Calendar,F14,$G$1,"mf",,Trigger)</f>
        <v>42815</v>
      </c>
      <c r="H14" s="342">
        <f>_xll.qlDayCounterYearFraction(DayCounter,F14,G14,,,Trigger)</f>
        <v>0.24657534246575341</v>
      </c>
      <c r="I14" s="32">
        <f>1-_xll.qlQuoteValue(E14,AllTriggers)/100</f>
        <v>1.254999999999995E-2</v>
      </c>
      <c r="J14" s="345">
        <f>_xll.qlYieldTSDiscount(Discounting,F14,,AllTriggers)</f>
        <v>0.98955908384955649</v>
      </c>
      <c r="K14" s="345">
        <f>_xll.qlYieldTSDiscount(Discounting,G14,,AllTriggers)</f>
        <v>0.9870536869311668</v>
      </c>
      <c r="L14" s="32">
        <f t="shared" si="8"/>
        <v>1.0294046337882569E-2</v>
      </c>
      <c r="M14" s="32">
        <f t="shared" si="3"/>
        <v>2.2559536621173815E-3</v>
      </c>
      <c r="N14" s="332" t="b">
        <v>1</v>
      </c>
      <c r="O14" s="32">
        <f>_xll.qlInterpolationInterpolate(B3Minterpolation,F14,TRUE,Trigger)</f>
        <v>2.2559536621173815E-3</v>
      </c>
      <c r="P14" s="446">
        <f t="shared" si="4"/>
        <v>0</v>
      </c>
      <c r="Q14" s="451">
        <f t="shared" si="5"/>
        <v>5.5470030908554187E-4</v>
      </c>
      <c r="S14" s="422">
        <f>_xll.qlCalendarAdvance(Calendar,S13,"1D","f")</f>
        <v>42142</v>
      </c>
      <c r="T14" s="221">
        <f>_xll.qlCalendarAdvance(Calendar,S14,$G$1,"mf",,Trigger)</f>
        <v>42234</v>
      </c>
      <c r="U14" s="342">
        <f>_xll.qlDayCounterYearFraction(DayCounter,S14,T14,,,Trigger)</f>
        <v>0.25205479452054796</v>
      </c>
      <c r="V14" s="32">
        <f>_xll.qlInterpolationInterpolate(B3Minterpolation,S14,TRUE)</f>
        <v>1.2737244729697015E-3</v>
      </c>
      <c r="W14" s="345">
        <f>_xll.qlYieldTSDiscount(Discounting,S14,,AllTriggers)</f>
        <v>0.99977455757823119</v>
      </c>
      <c r="X14" s="345">
        <f>_xll.qlYieldTSDiscount(Discounting,T14,,AllTriggers)</f>
        <v>0.99863860293778961</v>
      </c>
      <c r="Y14" s="32">
        <f t="shared" si="0"/>
        <v>4.512920439249583E-3</v>
      </c>
      <c r="Z14" s="451">
        <f t="shared" si="1"/>
        <v>3.2063217370928578E-4</v>
      </c>
      <c r="AE14" s="33"/>
      <c r="AF14" s="33"/>
    </row>
    <row r="15" spans="1:32" ht="11.25" customHeight="1" x14ac:dyDescent="0.2">
      <c r="D15" s="30" t="str">
        <f>_xll.qlIMMNextCode($F14,TRUE)</f>
        <v>H7</v>
      </c>
      <c r="E15" s="220" t="str">
        <f t="shared" si="7"/>
        <v>GBPFUT3MH7_Quote</v>
      </c>
      <c r="F15" s="221">
        <f>_xll.qlIMMdate(D15,$F$4,Trigger)</f>
        <v>42809</v>
      </c>
      <c r="G15" s="221">
        <f>_xll.qlCalendarAdvance(Calendar,F15,$G$1,"mf",,Trigger)</f>
        <v>42901</v>
      </c>
      <c r="H15" s="342">
        <f>_xll.qlDayCounterYearFraction(DayCounter,F15,G15,,,Trigger)</f>
        <v>0.25205479452054796</v>
      </c>
      <c r="I15" s="32">
        <f>1-_xll.qlQuoteValue(E15,AllTriggers)/100</f>
        <v>1.3549999999999951E-2</v>
      </c>
      <c r="J15" s="345">
        <f>_xll.qlYieldTSDiscount(Discounting,F15,,AllTriggers)</f>
        <v>0.98722765008360336</v>
      </c>
      <c r="K15" s="345">
        <f>_xll.qlYieldTSDiscount(Discounting,G15,,AllTriggers)</f>
        <v>0.98446286843672459</v>
      </c>
      <c r="L15" s="32">
        <f t="shared" si="8"/>
        <v>1.1142086731687024E-2</v>
      </c>
      <c r="M15" s="32">
        <f t="shared" si="3"/>
        <v>2.4079132683129268E-3</v>
      </c>
      <c r="N15" s="332" t="b">
        <v>1</v>
      </c>
      <c r="O15" s="32">
        <f>_xll.qlInterpolationInterpolate(B3Minterpolation,F15,TRUE,Trigger)</f>
        <v>2.4079132683129268E-3</v>
      </c>
      <c r="P15" s="446">
        <f t="shared" si="4"/>
        <v>0</v>
      </c>
      <c r="Q15" s="451">
        <f t="shared" si="5"/>
        <v>6.0504328084711573E-4</v>
      </c>
      <c r="S15" s="422">
        <f>_xll.qlCalendarAdvance(Calendar,S14,"1D","f")</f>
        <v>42143</v>
      </c>
      <c r="T15" s="221">
        <f>_xll.qlCalendarAdvance(Calendar,S15,$G$1,"mf",,Trigger)</f>
        <v>42235</v>
      </c>
      <c r="U15" s="342">
        <f>_xll.qlDayCounterYearFraction(DayCounter,S15,T15,,,Trigger)</f>
        <v>0.25205479452054796</v>
      </c>
      <c r="V15" s="32">
        <f>_xll.qlInterpolationInterpolate(B3Minterpolation,S15,TRUE)</f>
        <v>1.2799304502548433E-3</v>
      </c>
      <c r="W15" s="345">
        <f>_xll.qlYieldTSDiscount(Discounting,S15,,AllTriggers)</f>
        <v>0.99976207772681236</v>
      </c>
      <c r="X15" s="345">
        <f>_xll.qlYieldTSDiscount(Discounting,T15,,AllTriggers)</f>
        <v>0.99862622284737801</v>
      </c>
      <c r="Y15" s="32">
        <f t="shared" si="0"/>
        <v>4.5125800510420833E-3</v>
      </c>
      <c r="Z15" s="451">
        <f t="shared" si="1"/>
        <v>3.2219416821506708E-4</v>
      </c>
      <c r="AE15" s="33"/>
      <c r="AF15" s="33"/>
    </row>
    <row r="16" spans="1:32" ht="11.25" customHeight="1" thickBot="1" x14ac:dyDescent="0.25">
      <c r="D16" s="30" t="str">
        <f>_xll.qlIMMNextCode($F15,TRUE)</f>
        <v>M7</v>
      </c>
      <c r="E16" s="222" t="str">
        <f t="shared" si="7"/>
        <v>GBPFUT3MM7_Quote</v>
      </c>
      <c r="F16" s="223">
        <f>_xll.qlIMMdate(D16,$F$4,Trigger)</f>
        <v>42907</v>
      </c>
      <c r="G16" s="223">
        <f>_xll.qlCalendarAdvance(Calendar,F16,$G$1,"mf",,Trigger)</f>
        <v>42999</v>
      </c>
      <c r="H16" s="343">
        <f>_xll.qlDayCounterYearFraction(DayCounter,F16,G16,,,Trigger)</f>
        <v>0.25205479452054796</v>
      </c>
      <c r="I16" s="224">
        <f>1-_xll.qlQuoteValue(E16,AllTriggers)/100</f>
        <v>1.4650000000000052E-2</v>
      </c>
      <c r="J16" s="346">
        <f>_xll.qlYieldTSDiscount(Discounting,F16,,AllTriggers)</f>
        <v>0.98427557073336347</v>
      </c>
      <c r="K16" s="346">
        <f>_xll.qlYieldTSDiscount(Discounting,G16,,AllTriggers)</f>
        <v>0.98129980504149295</v>
      </c>
      <c r="L16" s="224">
        <f t="shared" si="8"/>
        <v>1.2031009146286582E-2</v>
      </c>
      <c r="M16" s="224">
        <f t="shared" si="3"/>
        <v>2.6189908537134696E-3</v>
      </c>
      <c r="N16" s="333" t="b">
        <v>1</v>
      </c>
      <c r="O16" s="224">
        <f>_xll.qlInterpolationInterpolate(B3Minterpolation,F16,TRUE,Trigger)</f>
        <v>2.6189908537134696E-3</v>
      </c>
      <c r="P16" s="467">
        <f t="shared" si="4"/>
        <v>0</v>
      </c>
      <c r="Q16" s="452">
        <f t="shared" si="5"/>
        <v>6.5791695444398634E-4</v>
      </c>
      <c r="S16" s="422">
        <f>_xll.qlCalendarAdvance(Calendar,S15,"1D","f")</f>
        <v>42144</v>
      </c>
      <c r="T16" s="221">
        <f>_xll.qlCalendarAdvance(Calendar,S16,$G$1,"mf",,Trigger)</f>
        <v>42236</v>
      </c>
      <c r="U16" s="342">
        <f>_xll.qlDayCounterYearFraction(DayCounter,S16,T16,,,Trigger)</f>
        <v>0.25205479452054796</v>
      </c>
      <c r="V16" s="32">
        <f>_xll.qlInterpolationInterpolate(B3Minterpolation,S16,TRUE)</f>
        <v>1.2860829718085785E-3</v>
      </c>
      <c r="W16" s="345">
        <f>_xll.qlYieldTSDiscount(Discounting,S16,,AllTriggers)</f>
        <v>0.99974960489750886</v>
      </c>
      <c r="X16" s="345">
        <f>_xll.qlYieldTSDiscount(Discounting,T16,,AllTriggers)</f>
        <v>0.99861383741793752</v>
      </c>
      <c r="Y16" s="32">
        <f t="shared" si="0"/>
        <v>4.5122887880898006E-3</v>
      </c>
      <c r="Z16" s="451">
        <f t="shared" si="1"/>
        <v>3.2374270243490464E-4</v>
      </c>
      <c r="AE16" s="33"/>
      <c r="AF16" s="33"/>
    </row>
    <row r="17" spans="6:32" ht="11.25" customHeight="1" x14ac:dyDescent="0.2">
      <c r="F17" s="155"/>
      <c r="G17" s="155"/>
      <c r="H17" s="33"/>
      <c r="L17" s="33"/>
      <c r="M17" s="33"/>
      <c r="S17" s="422">
        <f>_xll.qlCalendarAdvance(Calendar,S16,"1D","f")</f>
        <v>42145</v>
      </c>
      <c r="T17" s="221">
        <f>_xll.qlCalendarAdvance(Calendar,S17,$G$1,"mf",,Trigger)</f>
        <v>42237</v>
      </c>
      <c r="U17" s="342">
        <f>_xll.qlDayCounterYearFraction(DayCounter,S17,T17,,,Trigger)</f>
        <v>0.25205479452054796</v>
      </c>
      <c r="V17" s="32">
        <f>_xll.qlInterpolationInterpolate(B3Minterpolation,S17,TRUE)</f>
        <v>1.2921792241713591E-3</v>
      </c>
      <c r="W17" s="345">
        <f>_xll.qlYieldTSDiscount(Discounting,S17,,AllTriggers)</f>
        <v>0.99973713888381299</v>
      </c>
      <c r="X17" s="345">
        <f>_xll.qlYieldTSDiscount(Discounting,T17,,AllTriggers)</f>
        <v>0.99860144645668336</v>
      </c>
      <c r="Y17" s="32">
        <f t="shared" si="0"/>
        <v>4.5120465985653991E-3</v>
      </c>
      <c r="Z17" s="451">
        <f t="shared" si="1"/>
        <v>3.252770682654829E-4</v>
      </c>
      <c r="AE17" s="33"/>
      <c r="AF17" s="33"/>
    </row>
    <row r="18" spans="6:32" ht="11.25" customHeight="1" x14ac:dyDescent="0.2">
      <c r="F18" s="155"/>
      <c r="G18" s="155"/>
      <c r="H18" s="33"/>
      <c r="L18" s="33"/>
      <c r="M18" s="33"/>
      <c r="S18" s="422">
        <f>_xll.qlCalendarAdvance(Calendar,S17,"1D","f")</f>
        <v>42146</v>
      </c>
      <c r="T18" s="221">
        <f>_xll.qlCalendarAdvance(Calendar,S18,$G$1,"mf",,Trigger)</f>
        <v>42240</v>
      </c>
      <c r="U18" s="342">
        <f>_xll.qlDayCounterYearFraction(DayCounter,S18,T18,,,Trigger)</f>
        <v>0.25753424657534246</v>
      </c>
      <c r="V18" s="32">
        <f>_xll.qlInterpolationInterpolate(B3Minterpolation,S18,TRUE)</f>
        <v>1.2982163938836378E-3</v>
      </c>
      <c r="W18" s="345">
        <f>_xll.qlYieldTSDiscount(Discounting,S18,,AllTriggers)</f>
        <v>0.99972467947922761</v>
      </c>
      <c r="X18" s="345">
        <f>_xll.qlYieldTSDiscount(Discounting,T18,,AllTriggers)</f>
        <v>0.99856423845433817</v>
      </c>
      <c r="Y18" s="32">
        <f t="shared" si="0"/>
        <v>4.512446606725954E-3</v>
      </c>
      <c r="Z18" s="451">
        <f t="shared" si="1"/>
        <v>3.3389134986228243E-4</v>
      </c>
      <c r="AE18" s="33"/>
      <c r="AF18" s="33"/>
    </row>
    <row r="19" spans="6:32" ht="11.25" customHeight="1" x14ac:dyDescent="0.2">
      <c r="F19" s="155"/>
      <c r="G19" s="155"/>
      <c r="H19" s="33"/>
      <c r="L19" s="33"/>
      <c r="M19" s="33"/>
      <c r="S19" s="422">
        <f>_xll.qlCalendarAdvance(Calendar,S18,"1D","f")</f>
        <v>42150</v>
      </c>
      <c r="T19" s="221">
        <f>_xll.qlCalendarAdvance(Calendar,S19,$G$1,"mf",,Trigger)</f>
        <v>42242</v>
      </c>
      <c r="U19" s="342">
        <f>_xll.qlDayCounterYearFraction(DayCounter,S19,T19,,,Trigger)</f>
        <v>0.25205479452054796</v>
      </c>
      <c r="V19" s="32">
        <f>_xll.qlInterpolationInterpolate(B3Minterpolation,S19,TRUE)</f>
        <v>1.3217179770367762E-3</v>
      </c>
      <c r="W19" s="345">
        <f>_xll.qlYieldTSDiscount(Discounting,S19,,AllTriggers)</f>
        <v>0.99967490382240831</v>
      </c>
      <c r="X19" s="345">
        <f>_xll.qlYieldTSDiscount(Discounting,T19,,AllTriggers)</f>
        <v>0.99853940192642454</v>
      </c>
      <c r="Y19" s="32">
        <f t="shared" si="0"/>
        <v>4.5115699385573039E-3</v>
      </c>
      <c r="Z19" s="451">
        <f t="shared" si="1"/>
        <v>3.3271158827692497E-4</v>
      </c>
      <c r="AE19" s="33"/>
      <c r="AF19" s="33"/>
    </row>
    <row r="20" spans="6:32" ht="11.25" customHeight="1" x14ac:dyDescent="0.2">
      <c r="F20" s="155"/>
      <c r="G20" s="155"/>
      <c r="H20" s="33"/>
      <c r="L20" s="33"/>
      <c r="M20" s="33"/>
      <c r="S20" s="422">
        <f>_xll.qlCalendarAdvance(Calendar,S19,"1D","f")</f>
        <v>42151</v>
      </c>
      <c r="T20" s="221">
        <f>_xll.qlCalendarAdvance(Calendar,S20,$G$1,"mf",,Trigger)</f>
        <v>42243</v>
      </c>
      <c r="U20" s="342">
        <f>_xll.qlDayCounterYearFraction(DayCounter,S20,T20,,,Trigger)</f>
        <v>0.25205479452054796</v>
      </c>
      <c r="V20" s="32">
        <f>_xll.qlInterpolationInterpolate(B3Minterpolation,S20,TRUE)</f>
        <v>1.3274175316033284E-3</v>
      </c>
      <c r="W20" s="345">
        <f>_xll.qlYieldTSDiscount(Discounting,S20,,AllTriggers)</f>
        <v>0.99966247436627964</v>
      </c>
      <c r="X20" s="345">
        <f>_xll.qlYieldTSDiscount(Discounting,T20,,AllTriggers)</f>
        <v>0.99852697372635424</v>
      </c>
      <c r="Y20" s="32">
        <f t="shared" si="0"/>
        <v>4.5116211013406862E-3</v>
      </c>
      <c r="Z20" s="451">
        <f t="shared" si="1"/>
        <v>3.3414607385598514E-4</v>
      </c>
      <c r="AE20" s="33"/>
      <c r="AF20" s="33"/>
    </row>
    <row r="21" spans="6:32" ht="11.25" customHeight="1" x14ac:dyDescent="0.2">
      <c r="F21" s="155"/>
      <c r="G21" s="155"/>
      <c r="H21" s="33"/>
      <c r="L21" s="33"/>
      <c r="M21" s="33"/>
      <c r="S21" s="422">
        <f>_xll.qlCalendarAdvance(Calendar,S20,"1D","f")</f>
        <v>42152</v>
      </c>
      <c r="T21" s="221">
        <f>_xll.qlCalendarAdvance(Calendar,S21,$G$1,"mf",,Trigger)</f>
        <v>42244</v>
      </c>
      <c r="U21" s="342">
        <f>_xll.qlDayCounterYearFraction(DayCounter,S21,T21,,,Trigger)</f>
        <v>0.25205479452054796</v>
      </c>
      <c r="V21" s="32">
        <f>_xll.qlInterpolationInterpolate(B3Minterpolation,S21,TRUE)</f>
        <v>1.333041122762092E-3</v>
      </c>
      <c r="W21" s="345">
        <f>_xll.qlYieldTSDiscount(Discounting,S21,,AllTriggers)</f>
        <v>0.99965005028049581</v>
      </c>
      <c r="X21" s="345">
        <f>_xll.qlYieldTSDiscount(Discounting,T21,,AllTriggers)</f>
        <v>0.99851453864524942</v>
      </c>
      <c r="Y21" s="32">
        <f t="shared" si="0"/>
        <v>4.5117209748134629E-3</v>
      </c>
      <c r="Z21" s="451">
        <f t="shared" si="1"/>
        <v>3.3556143445047891E-4</v>
      </c>
      <c r="AE21" s="33"/>
      <c r="AF21" s="33"/>
    </row>
    <row r="22" spans="6:32" ht="11.25" customHeight="1" x14ac:dyDescent="0.2">
      <c r="F22" s="155"/>
      <c r="G22" s="155"/>
      <c r="H22" s="33"/>
      <c r="L22" s="33"/>
      <c r="M22" s="33"/>
      <c r="S22" s="422">
        <f>_xll.qlCalendarAdvance(Calendar,S21,"1D","f")</f>
        <v>42153</v>
      </c>
      <c r="T22" s="221">
        <f>_xll.qlCalendarAdvance(Calendar,S22,$G$1,"mf",,Trigger)</f>
        <v>42244</v>
      </c>
      <c r="U22" s="342">
        <f>_xll.qlDayCounterYearFraction(DayCounter,S22,T22,,,Trigger)</f>
        <v>0.24931506849315069</v>
      </c>
      <c r="V22" s="32">
        <f>_xll.qlInterpolationInterpolate(B3Minterpolation,S22,TRUE)</f>
        <v>1.3385859370535196E-3</v>
      </c>
      <c r="W22" s="345">
        <f>_xll.qlYieldTSDiscount(Discounting,S22,,AllTriggers)</f>
        <v>0.99963763135863237</v>
      </c>
      <c r="X22" s="345">
        <f>_xll.qlYieldTSDiscount(Discounting,T22,,AllTriggers)</f>
        <v>0.99851453864524942</v>
      </c>
      <c r="Y22" s="32">
        <f t="shared" si="0"/>
        <v>4.5114140629464797E-3</v>
      </c>
      <c r="Z22" s="451">
        <f t="shared" si="1"/>
        <v>3.332991490471737E-4</v>
      </c>
      <c r="AE22" s="33"/>
      <c r="AF22" s="33"/>
    </row>
    <row r="23" spans="6:32" ht="11.25" customHeight="1" x14ac:dyDescent="0.2">
      <c r="F23" s="155"/>
      <c r="G23" s="155"/>
      <c r="H23" s="33"/>
      <c r="L23" s="33"/>
      <c r="M23" s="33"/>
      <c r="S23" s="422">
        <f>_xll.qlCalendarAdvance(Calendar,S22,"1D","f")</f>
        <v>42156</v>
      </c>
      <c r="T23" s="221">
        <f>_xll.qlCalendarAdvance(Calendar,S23,$G$1,"mf",,Trigger)</f>
        <v>42248</v>
      </c>
      <c r="U23" s="342">
        <f>_xll.qlDayCounterYearFraction(DayCounter,S23,T23,,,Trigger)</f>
        <v>0.25205479452054796</v>
      </c>
      <c r="V23" s="32">
        <f>_xll.qlInterpolationInterpolate(B3Minterpolation,S23,TRUE)</f>
        <v>1.3547302148467272E-3</v>
      </c>
      <c r="W23" s="345">
        <f>_xll.qlYieldTSDiscount(Discounting,S23,,AllTriggers)</f>
        <v>0.99960040395345373</v>
      </c>
      <c r="X23" s="345">
        <f>_xll.qlYieldTSDiscount(Discounting,T23,,AllTriggers)</f>
        <v>0.99846473016435033</v>
      </c>
      <c r="Y23" s="32">
        <f t="shared" si="0"/>
        <v>4.5125903593238237E-3</v>
      </c>
      <c r="Z23" s="451">
        <f t="shared" si="1"/>
        <v>3.410201426663125E-4</v>
      </c>
      <c r="AE23" s="33"/>
      <c r="AF23" s="33"/>
    </row>
    <row r="24" spans="6:32" ht="11.25" customHeight="1" x14ac:dyDescent="0.2">
      <c r="F24" s="155"/>
      <c r="G24" s="155"/>
      <c r="H24" s="33"/>
      <c r="L24" s="33"/>
      <c r="M24" s="33"/>
      <c r="S24" s="422">
        <f>_xll.qlCalendarAdvance(Calendar,S23,"1D","f")</f>
        <v>42157</v>
      </c>
      <c r="T24" s="221">
        <f>_xll.qlCalendarAdvance(Calendar,S24,$G$1,"mf",,Trigger)</f>
        <v>42249</v>
      </c>
      <c r="U24" s="342">
        <f>_xll.qlDayCounterYearFraction(DayCounter,S24,T24,,,Trigger)</f>
        <v>0.25205479452054796</v>
      </c>
      <c r="V24" s="32">
        <f>_xll.qlInterpolationInterpolate(B3Minterpolation,S24,TRUE)</f>
        <v>1.3599463550948703E-3</v>
      </c>
      <c r="W24" s="345">
        <f>_xll.qlYieldTSDiscount(Discounting,S24,,AllTriggers)</f>
        <v>0.99958800422752669</v>
      </c>
      <c r="X24" s="345">
        <f>_xll.qlYieldTSDiscount(Discounting,T24,,AllTriggers)</f>
        <v>0.99845226208410598</v>
      </c>
      <c r="Y24" s="32">
        <f t="shared" si="0"/>
        <v>4.5129183185820283E-3</v>
      </c>
      <c r="Z24" s="451">
        <f t="shared" si="1"/>
        <v>3.4233292520228223E-4</v>
      </c>
      <c r="AE24" s="33"/>
      <c r="AF24" s="33"/>
    </row>
    <row r="25" spans="6:32" ht="11.25" customHeight="1" x14ac:dyDescent="0.2">
      <c r="F25" s="155"/>
      <c r="G25" s="155"/>
      <c r="H25" s="33"/>
      <c r="L25" s="33"/>
      <c r="M25" s="33"/>
      <c r="S25" s="422">
        <f>_xll.qlCalendarAdvance(Calendar,S24,"1D","f")</f>
        <v>42158</v>
      </c>
      <c r="T25" s="221">
        <f>_xll.qlCalendarAdvance(Calendar,S25,$G$1,"mf",,Trigger)</f>
        <v>42250</v>
      </c>
      <c r="U25" s="342">
        <f>_xll.qlDayCounterYearFraction(DayCounter,S25,T25,,,Trigger)</f>
        <v>0.25205479452054796</v>
      </c>
      <c r="V25" s="32">
        <f>_xll.qlInterpolationInterpolate(B3Minterpolation,S25,TRUE)</f>
        <v>1.3650791007054225E-3</v>
      </c>
      <c r="W25" s="345">
        <f>_xll.qlYieldTSDiscount(Discounting,S25,,AllTriggers)</f>
        <v>0.99957560902551046</v>
      </c>
      <c r="X25" s="345">
        <f>_xll.qlYieldTSDiscount(Discounting,T25,,AllTriggers)</f>
        <v>0.99843978807963008</v>
      </c>
      <c r="Y25" s="32">
        <f t="shared" si="0"/>
        <v>4.5132878294535305E-3</v>
      </c>
      <c r="Z25" s="451">
        <f t="shared" si="1"/>
        <v>3.4362471328437693E-4</v>
      </c>
      <c r="AE25" s="33"/>
      <c r="AF25" s="33"/>
    </row>
    <row r="26" spans="6:32" ht="11.25" customHeight="1" x14ac:dyDescent="0.2">
      <c r="F26" s="155"/>
      <c r="G26" s="155"/>
      <c r="H26" s="33"/>
      <c r="L26" s="33"/>
      <c r="M26" s="33"/>
      <c r="S26" s="422">
        <f>_xll.qlCalendarAdvance(Calendar,S25,"1D","f")</f>
        <v>42159</v>
      </c>
      <c r="T26" s="221">
        <f>_xll.qlCalendarAdvance(Calendar,S26,$G$1,"mf",,Trigger)</f>
        <v>42251</v>
      </c>
      <c r="U26" s="342">
        <f>_xll.qlDayCounterYearFraction(DayCounter,S26,T26,,,Trigger)</f>
        <v>0.25205479452054796</v>
      </c>
      <c r="V26" s="32">
        <f>_xll.qlInterpolationInterpolate(B3Minterpolation,S26,TRUE)</f>
        <v>1.370128000600707E-3</v>
      </c>
      <c r="W26" s="345">
        <f>_xll.qlYieldTSDiscount(Discounting,S26,,AllTriggers)</f>
        <v>0.99956321823901995</v>
      </c>
      <c r="X26" s="345">
        <f>_xll.qlYieldTSDiscount(Discounting,T26,,AllTriggers)</f>
        <v>0.99842730838079097</v>
      </c>
      <c r="Y26" s="32">
        <f t="shared" si="0"/>
        <v>4.5136975483663017E-3</v>
      </c>
      <c r="Z26" s="451">
        <f t="shared" si="1"/>
        <v>3.4489539354808996E-4</v>
      </c>
      <c r="AB26" s="473"/>
      <c r="AC26" s="473"/>
      <c r="AE26" s="33"/>
      <c r="AF26" s="33"/>
    </row>
    <row r="27" spans="6:32" ht="11.25" customHeight="1" x14ac:dyDescent="0.2">
      <c r="F27" s="155"/>
      <c r="G27" s="155"/>
      <c r="H27" s="33"/>
      <c r="L27" s="33"/>
      <c r="M27" s="33"/>
      <c r="S27" s="422">
        <f>_xll.qlCalendarAdvance(Calendar,S26,"1D","f")</f>
        <v>42160</v>
      </c>
      <c r="T27" s="221">
        <f>_xll.qlCalendarAdvance(Calendar,S27,$G$1,"mf",,Trigger)</f>
        <v>42254</v>
      </c>
      <c r="U27" s="342">
        <f>_xll.qlDayCounterYearFraction(DayCounter,S27,T27,,,Trigger)</f>
        <v>0.25753424657534246</v>
      </c>
      <c r="V27" s="32">
        <f>_xll.qlInterpolationInterpolate(B3Minterpolation,S27,TRUE)</f>
        <v>1.3750926037030468E-3</v>
      </c>
      <c r="W27" s="345">
        <f>_xll.qlYieldTSDiscount(Discounting,S27,,AllTriggers)</f>
        <v>0.99955083175967552</v>
      </c>
      <c r="X27" s="345">
        <f>_xll.qlYieldTSDiscount(Discounting,T27,,AllTriggers)</f>
        <v>0.99838983741660614</v>
      </c>
      <c r="Y27" s="32">
        <f t="shared" si="0"/>
        <v>4.5153868390688107E-3</v>
      </c>
      <c r="Z27" s="451">
        <f t="shared" si="1"/>
        <v>3.536595610754948E-4</v>
      </c>
      <c r="AE27" s="33"/>
      <c r="AF27" s="33"/>
    </row>
    <row r="28" spans="6:32" ht="11.25" customHeight="1" x14ac:dyDescent="0.2">
      <c r="F28" s="155"/>
      <c r="G28" s="155"/>
      <c r="H28" s="33"/>
      <c r="L28" s="33"/>
      <c r="M28" s="33"/>
      <c r="S28" s="422">
        <f>_xll.qlCalendarAdvance(Calendar,S27,"1D","f")</f>
        <v>42163</v>
      </c>
      <c r="T28" s="221">
        <f>_xll.qlCalendarAdvance(Calendar,S28,$G$1,"mf",,Trigger)</f>
        <v>42255</v>
      </c>
      <c r="U28" s="342">
        <f>_xll.qlDayCounterYearFraction(DayCounter,S28,T28,,,Trigger)</f>
        <v>0.25205479452054796</v>
      </c>
      <c r="V28" s="32">
        <f>_xll.qlInterpolationInterpolate(B3Minterpolation,S28,TRUE)</f>
        <v>1.3894761214756314E-3</v>
      </c>
      <c r="W28" s="345">
        <f>_xll.qlYieldTSDiscount(Discounting,S28,,AllTriggers)</f>
        <v>0.99951369708080307</v>
      </c>
      <c r="X28" s="345">
        <f>_xll.qlYieldTSDiscount(Discounting,T28,,AllTriggers)</f>
        <v>0.99837733723876909</v>
      </c>
      <c r="Y28" s="32">
        <f t="shared" si="0"/>
        <v>4.5157116330027027E-3</v>
      </c>
      <c r="Z28" s="454">
        <f t="shared" si="1"/>
        <v>3.4976476920370883E-4</v>
      </c>
      <c r="AE28" s="33"/>
      <c r="AF28" s="33"/>
    </row>
    <row r="29" spans="6:32" ht="11.25" customHeight="1" x14ac:dyDescent="0.2">
      <c r="F29" s="155"/>
      <c r="G29" s="155"/>
      <c r="H29" s="33"/>
      <c r="L29" s="33"/>
      <c r="M29" s="33"/>
      <c r="S29" s="422">
        <f>_xll.qlCalendarAdvance(Calendar,S28,"1D","f")</f>
        <v>42164</v>
      </c>
      <c r="T29" s="221">
        <f>_xll.qlCalendarAdvance(Calendar,S29,$G$1,"mf",,Trigger)</f>
        <v>42256</v>
      </c>
      <c r="U29" s="342">
        <f>_xll.qlDayCounterYearFraction(DayCounter,S29,T29,,,Trigger)</f>
        <v>0.25205479452054796</v>
      </c>
      <c r="V29" s="32">
        <f>_xll.qlInterpolationInterpolate(B3Minterpolation,S29,TRUE)</f>
        <v>1.3940990266294254E-3</v>
      </c>
      <c r="W29" s="345">
        <f>_xll.qlYieldTSDiscount(Discounting,S29,,AllTriggers)</f>
        <v>0.9995013267463545</v>
      </c>
      <c r="X29" s="345">
        <f>_xll.qlYieldTSDiscount(Discounting,T29,,AllTriggers)</f>
        <v>0.99836483251573926</v>
      </c>
      <c r="Y29" s="32">
        <f t="shared" si="0"/>
        <v>4.5163022385537139E-3</v>
      </c>
      <c r="Z29" s="454">
        <f t="shared" si="1"/>
        <v>3.5092820998340189E-4</v>
      </c>
      <c r="AE29" s="33"/>
      <c r="AF29" s="33"/>
    </row>
    <row r="30" spans="6:32" ht="11.25" customHeight="1" x14ac:dyDescent="0.2">
      <c r="F30" s="155"/>
      <c r="G30" s="155"/>
      <c r="H30" s="33"/>
      <c r="L30" s="33"/>
      <c r="M30" s="33"/>
      <c r="S30" s="422">
        <f>_xll.qlCalendarAdvance(Calendar,S29,"1D","f")</f>
        <v>42165</v>
      </c>
      <c r="T30" s="221">
        <f>_xll.qlCalendarAdvance(Calendar,S30,$G$1,"mf",,Trigger)</f>
        <v>42257</v>
      </c>
      <c r="U30" s="342">
        <f>_xll.qlDayCounterYearFraction(DayCounter,S30,T30,,,Trigger)</f>
        <v>0.25205479452054796</v>
      </c>
      <c r="V30" s="32">
        <f>_xll.qlInterpolationInterpolate(B3Minterpolation,S30,TRUE)</f>
        <v>1.398635379601891E-3</v>
      </c>
      <c r="W30" s="345">
        <f>_xll.qlYieldTSDiscount(Discounting,S30,,AllTriggers)</f>
        <v>0.99948896017723488</v>
      </c>
      <c r="X30" s="345">
        <f>_xll.qlYieldTSDiscount(Discounting,T30,,AllTriggers)</f>
        <v>0.99835232347731639</v>
      </c>
      <c r="Y30" s="32">
        <f t="shared" si="0"/>
        <v>4.5169249907208667E-3</v>
      </c>
      <c r="Z30" s="454">
        <f t="shared" si="1"/>
        <v>3.5206986280222755E-4</v>
      </c>
      <c r="AE30" s="33"/>
      <c r="AF30" s="33"/>
    </row>
    <row r="31" spans="6:32" ht="11.25" customHeight="1" x14ac:dyDescent="0.2">
      <c r="F31" s="155"/>
      <c r="G31" s="155"/>
      <c r="H31" s="33"/>
      <c r="L31" s="33"/>
      <c r="M31" s="33"/>
      <c r="S31" s="422">
        <f>_xll.qlCalendarAdvance(Calendar,S30,"1D","f")</f>
        <v>42166</v>
      </c>
      <c r="T31" s="221">
        <f>_xll.qlCalendarAdvance(Calendar,S31,$G$1,"mf",,Trigger)</f>
        <v>42258</v>
      </c>
      <c r="U31" s="342">
        <f>_xll.qlDayCounterYearFraction(DayCounter,S31,T31,,,Trigger)</f>
        <v>0.25205479452054796</v>
      </c>
      <c r="V31" s="32">
        <f>_xll.qlInterpolationInterpolate(B3Minterpolation,S31,TRUE)</f>
        <v>1.4030847293153516E-3</v>
      </c>
      <c r="W31" s="345">
        <f>_xll.qlYieldTSDiscount(Discounting,S31,,AllTriggers)</f>
        <v>0.99947659726509697</v>
      </c>
      <c r="X31" s="345">
        <f>_xll.qlYieldTSDiscount(Discounting,T31,,AllTriggers)</f>
        <v>0.998339810353289</v>
      </c>
      <c r="Y31" s="32">
        <f t="shared" si="0"/>
        <v>4.5175785459338948E-3</v>
      </c>
      <c r="Z31" s="454">
        <f t="shared" si="1"/>
        <v>3.5318961431008144E-4</v>
      </c>
      <c r="AE31" s="33"/>
      <c r="AF31" s="33"/>
    </row>
    <row r="32" spans="6:32" ht="11.25" customHeight="1" x14ac:dyDescent="0.2">
      <c r="F32" s="155"/>
      <c r="G32" s="155"/>
      <c r="H32" s="33"/>
      <c r="L32" s="33"/>
      <c r="M32" s="33"/>
      <c r="S32" s="422">
        <f>_xll.qlCalendarAdvance(Calendar,S31,"1D","f")</f>
        <v>42167</v>
      </c>
      <c r="T32" s="221">
        <f>_xll.qlCalendarAdvance(Calendar,S32,$G$1,"mf",,Trigger)</f>
        <v>42261</v>
      </c>
      <c r="U32" s="342">
        <f>_xll.qlDayCounterYearFraction(DayCounter,S32,T32,,,Trigger)</f>
        <v>0.25753424657534246</v>
      </c>
      <c r="V32" s="32">
        <f>_xll.qlInterpolationInterpolate(B3Minterpolation,S32,TRUE)</f>
        <v>1.40744662469213E-3</v>
      </c>
      <c r="W32" s="345">
        <f>_xll.qlYieldTSDiscount(Discounting,S32,,AllTriggers)</f>
        <v>0.99946423790159888</v>
      </c>
      <c r="X32" s="345">
        <f>_xll.qlYieldTSDiscount(Discounting,T32,,AllTriggers)</f>
        <v>0.99830224876529061</v>
      </c>
      <c r="Y32" s="32">
        <f t="shared" si="0"/>
        <v>4.5196523384501879E-3</v>
      </c>
      <c r="Z32" s="454">
        <f t="shared" si="1"/>
        <v>3.6197877687526268E-4</v>
      </c>
      <c r="AE32" s="33"/>
      <c r="AF32" s="33"/>
    </row>
    <row r="33" spans="6:32" ht="11.25" customHeight="1" x14ac:dyDescent="0.2">
      <c r="F33" s="155"/>
      <c r="G33" s="155"/>
      <c r="H33" s="33"/>
      <c r="L33" s="33"/>
      <c r="M33" s="33"/>
      <c r="S33" s="422">
        <f>_xll.qlCalendarAdvance(Calendar,S32,"1D","f")</f>
        <v>42170</v>
      </c>
      <c r="T33" s="221">
        <f>_xll.qlCalendarAdvance(Calendar,S33,$G$1,"mf",,Trigger)</f>
        <v>42262</v>
      </c>
      <c r="U33" s="342">
        <f>_xll.qlDayCounterYearFraction(DayCounter,S33,T33,,,Trigger)</f>
        <v>0.25205479452054796</v>
      </c>
      <c r="V33" s="32">
        <f>_xll.qlInterpolationInterpolate(B3Minterpolation,S33,TRUE)</f>
        <v>1.4200030740256059E-3</v>
      </c>
      <c r="W33" s="345">
        <f>_xll.qlYieldTSDiscount(Discounting,S33,,AllTriggers)</f>
        <v>0.99942718001960684</v>
      </c>
      <c r="X33" s="345">
        <f>_xll.qlYieldTSDiscount(Discounting,T33,,AllTriggers)</f>
        <v>0.99828972159649898</v>
      </c>
      <c r="Y33" s="32">
        <f t="shared" si="0"/>
        <v>4.5204739258244368E-3</v>
      </c>
      <c r="Z33" s="451">
        <f t="shared" si="1"/>
        <v>3.5744734028331893E-4</v>
      </c>
      <c r="AE33" s="33"/>
      <c r="AF33" s="33"/>
    </row>
    <row r="34" spans="6:32" ht="11.25" customHeight="1" x14ac:dyDescent="0.2">
      <c r="F34" s="155"/>
      <c r="G34" s="155"/>
      <c r="H34" s="33"/>
      <c r="L34" s="33"/>
      <c r="M34" s="33"/>
      <c r="S34" s="422">
        <f>_xll.qlCalendarAdvance(Calendar,S33,"1D","f")</f>
        <v>42171</v>
      </c>
      <c r="T34" s="221">
        <f>_xll.qlCalendarAdvance(Calendar,S34,$G$1,"mf",,Trigger)</f>
        <v>42263</v>
      </c>
      <c r="U34" s="342">
        <f>_xll.qlDayCounterYearFraction(DayCounter,S34,T34,,,Trigger)</f>
        <v>0.25205479452054796</v>
      </c>
      <c r="V34" s="32">
        <f>_xll.qlInterpolationInterpolate(B3Minterpolation,S34,TRUE)</f>
        <v>1.424010641278889E-3</v>
      </c>
      <c r="W34" s="345">
        <f>_xll.qlYieldTSDiscount(Discounting,S34,,AllTriggers)</f>
        <v>0.99941483376735796</v>
      </c>
      <c r="X34" s="345">
        <f>_xll.qlYieldTSDiscount(Discounting,T34,,AllTriggers)</f>
        <v>0.99827719149087257</v>
      </c>
      <c r="Y34" s="32">
        <f t="shared" si="0"/>
        <v>4.5212613426996182E-3</v>
      </c>
      <c r="Z34" s="451">
        <f t="shared" si="1"/>
        <v>3.5845588503824672E-4</v>
      </c>
      <c r="AE34" s="33"/>
      <c r="AF34" s="33"/>
    </row>
    <row r="35" spans="6:32" ht="11.25" customHeight="1" x14ac:dyDescent="0.2">
      <c r="F35" s="155"/>
      <c r="G35" s="155"/>
      <c r="H35" s="33"/>
      <c r="L35" s="33"/>
      <c r="M35" s="33"/>
      <c r="S35" s="422">
        <f>_xll.qlCalendarAdvance(Calendar,S34,"1D","f")</f>
        <v>42172</v>
      </c>
      <c r="T35" s="221">
        <f>_xll.qlCalendarAdvance(Calendar,S35,$G$1,"mf",,Trigger)</f>
        <v>42264</v>
      </c>
      <c r="U35" s="342">
        <f>_xll.qlDayCounterYearFraction(DayCounter,S35,T35,,,Trigger)</f>
        <v>0.25205479452054796</v>
      </c>
      <c r="V35" s="32">
        <f>_xll.qlInterpolationInterpolate(B3Minterpolation,S35,TRUE)</f>
        <v>1.427928498807106E-3</v>
      </c>
      <c r="W35" s="345">
        <f>_xll.qlYieldTSDiscount(Discounting,S35,,AllTriggers)</f>
        <v>0.99940249052212071</v>
      </c>
      <c r="X35" s="345">
        <f>_xll.qlYieldTSDiscount(Discounting,T35,,AllTriggers)</f>
        <v>0.99826465867813063</v>
      </c>
      <c r="Y35" s="32">
        <f t="shared" si="0"/>
        <v>4.5220715011929048E-3</v>
      </c>
      <c r="Z35" s="451">
        <f t="shared" si="1"/>
        <v>3.5944184841296868E-4</v>
      </c>
      <c r="AE35" s="33"/>
      <c r="AF35" s="33"/>
    </row>
    <row r="36" spans="6:32" ht="11.25" customHeight="1" x14ac:dyDescent="0.2">
      <c r="F36" s="155"/>
      <c r="G36" s="155"/>
      <c r="H36" s="33"/>
      <c r="L36" s="33"/>
      <c r="M36" s="33"/>
      <c r="S36" s="422">
        <f>_xll.qlCalendarAdvance(Calendar,S35,"1D","f")</f>
        <v>42173</v>
      </c>
      <c r="T36" s="221">
        <f>_xll.qlCalendarAdvance(Calendar,S36,$G$1,"mf",,Trigger)</f>
        <v>42265</v>
      </c>
      <c r="U36" s="342">
        <f>_xll.qlDayCounterYearFraction(DayCounter,S36,T36,,,Trigger)</f>
        <v>0.25205479452054796</v>
      </c>
      <c r="V36" s="32">
        <f>_xll.qlInterpolationInterpolate(B3Minterpolation,S36,TRUE)</f>
        <v>1.4317564713981175E-3</v>
      </c>
      <c r="W36" s="345">
        <f>_xll.qlYieldTSDiscount(Discounting,S36,,AllTriggers)</f>
        <v>0.99939015017558552</v>
      </c>
      <c r="X36" s="345">
        <f>_xll.qlYieldTSDiscount(Discounting,T36,,AllTriggers)</f>
        <v>0.9982521233879813</v>
      </c>
      <c r="Y36" s="32">
        <f t="shared" si="0"/>
        <v>4.5229030577287454E-3</v>
      </c>
      <c r="Z36" s="451">
        <f t="shared" si="1"/>
        <v>3.6040518649621024E-4</v>
      </c>
      <c r="AE36" s="33"/>
      <c r="AF36" s="33"/>
    </row>
    <row r="37" spans="6:32" ht="11.25" customHeight="1" x14ac:dyDescent="0.2">
      <c r="F37" s="155"/>
      <c r="G37" s="155"/>
      <c r="H37" s="33"/>
      <c r="L37" s="33"/>
      <c r="M37" s="33"/>
      <c r="S37" s="422">
        <f>_xll.qlCalendarAdvance(Calendar,S36,"1D","f")</f>
        <v>42174</v>
      </c>
      <c r="T37" s="221">
        <f>_xll.qlCalendarAdvance(Calendar,S37,$G$1,"mf",,Trigger)</f>
        <v>42268</v>
      </c>
      <c r="U37" s="342">
        <f>_xll.qlDayCounterYearFraction(DayCounter,S37,T37,,,Trigger)</f>
        <v>0.25753424657534246</v>
      </c>
      <c r="V37" s="32">
        <f>_xll.qlInterpolationInterpolate(B3Minterpolation,S37,TRUE)</f>
        <v>1.4354954873019323E-3</v>
      </c>
      <c r="W37" s="345">
        <f>_xll.qlYieldTSDiscount(Discounting,S37,,AllTriggers)</f>
        <v>0.99937781261944825</v>
      </c>
      <c r="X37" s="345">
        <f>_xll.qlYieldTSDiscount(Discounting,T37,,AllTriggers)</f>
        <v>0.99821450494999564</v>
      </c>
      <c r="Y37" s="32">
        <f t="shared" si="0"/>
        <v>4.5251786132715953E-3</v>
      </c>
      <c r="Z37" s="451">
        <f t="shared" si="1"/>
        <v>3.691907594040154E-4</v>
      </c>
      <c r="AE37" s="33"/>
      <c r="AF37" s="33"/>
    </row>
    <row r="38" spans="6:32" ht="11.25" customHeight="1" x14ac:dyDescent="0.2">
      <c r="F38" s="155"/>
      <c r="G38" s="155"/>
      <c r="H38" s="33"/>
      <c r="L38" s="33"/>
      <c r="M38" s="33"/>
      <c r="S38" s="422">
        <f>_xll.qlCalendarAdvance(Calendar,S37,"1D","f")</f>
        <v>42177</v>
      </c>
      <c r="T38" s="221">
        <f>_xll.qlCalendarAdvance(Calendar,S38,$G$1,"mf",,Trigger)</f>
        <v>42269</v>
      </c>
      <c r="U38" s="342">
        <f>_xll.qlDayCounterYearFraction(DayCounter,S38,T38,,,Trigger)</f>
        <v>0.25205479452054796</v>
      </c>
      <c r="V38" s="32">
        <f>_xll.qlInterpolationInterpolate(B3Minterpolation,S38,TRUE)</f>
        <v>1.4461908360456494E-3</v>
      </c>
      <c r="W38" s="345">
        <f>_xll.qlYieldTSDiscount(Discounting,S38,,AllTriggers)</f>
        <v>0.99934081561046284</v>
      </c>
      <c r="X38" s="345">
        <f>_xll.qlYieldTSDiscount(Discounting,T38,,AllTriggers)</f>
        <v>0.99820196204706579</v>
      </c>
      <c r="Y38" s="32">
        <f t="shared" si="0"/>
        <v>4.526416392812125E-3</v>
      </c>
      <c r="Z38" s="451">
        <f t="shared" si="1"/>
        <v>3.6403765629510593E-4</v>
      </c>
      <c r="AE38" s="33"/>
      <c r="AF38" s="33"/>
    </row>
    <row r="39" spans="6:32" ht="11.25" customHeight="1" x14ac:dyDescent="0.2">
      <c r="F39" s="155"/>
      <c r="G39" s="155"/>
      <c r="H39" s="33"/>
      <c r="L39" s="33"/>
      <c r="M39" s="33"/>
      <c r="S39" s="422">
        <f>_xll.qlCalendarAdvance(Calendar,S38,"1D","f")</f>
        <v>42178</v>
      </c>
      <c r="T39" s="221">
        <f>_xll.qlCalendarAdvance(Calendar,S39,$G$1,"mf",,Trigger)</f>
        <v>42270</v>
      </c>
      <c r="U39" s="342">
        <f>_xll.qlDayCounterYearFraction(DayCounter,S39,T39,,,Trigger)</f>
        <v>0.25205479452054796</v>
      </c>
      <c r="V39" s="32">
        <f>_xll.qlInterpolationInterpolate(B3Minterpolation,S39,TRUE)</f>
        <v>1.4495860663561316E-3</v>
      </c>
      <c r="W39" s="345">
        <f>_xll.qlYieldTSDiscount(Discounting,S39,,AllTriggers)</f>
        <v>0.99932848813298292</v>
      </c>
      <c r="X39" s="345">
        <f>_xll.qlYieldTSDiscount(Discounting,T39,,AllTriggers)</f>
        <v>0.99818941781509563</v>
      </c>
      <c r="Y39" s="32">
        <f t="shared" si="0"/>
        <v>4.5273347859353663E-3</v>
      </c>
      <c r="Z39" s="451">
        <f t="shared" si="1"/>
        <v>3.6489206927118196E-4</v>
      </c>
      <c r="AE39" s="33"/>
      <c r="AF39" s="33"/>
    </row>
    <row r="40" spans="6:32" ht="11.25" customHeight="1" x14ac:dyDescent="0.2">
      <c r="F40" s="155"/>
      <c r="G40" s="155"/>
      <c r="H40" s="33"/>
      <c r="L40" s="33"/>
      <c r="M40" s="33"/>
      <c r="S40" s="422">
        <f>_xll.qlCalendarAdvance(Calendar,S39,"1D","f")</f>
        <v>42179</v>
      </c>
      <c r="T40" s="221">
        <f>_xll.qlCalendarAdvance(Calendar,S40,$G$1,"mf",,Trigger)</f>
        <v>42271</v>
      </c>
      <c r="U40" s="342">
        <f>_xll.qlDayCounterYearFraction(DayCounter,S40,T40,,,Trigger)</f>
        <v>0.25205479452054796</v>
      </c>
      <c r="V40" s="32">
        <f>_xll.qlInterpolationInterpolate(B3Minterpolation,S40,TRUE)</f>
        <v>1.4528983605571445E-3</v>
      </c>
      <c r="W40" s="345">
        <f>_xll.qlYieldTSDiscount(Discounting,S40,,AllTriggers)</f>
        <v>0.99931616290446068</v>
      </c>
      <c r="X40" s="345">
        <f>_xll.qlYieldTSDiscount(Discounting,T40,,AllTriggers)</f>
        <v>0.99817687248372389</v>
      </c>
      <c r="Y40" s="32">
        <f t="shared" si="0"/>
        <v>4.5282665156434389E-3</v>
      </c>
      <c r="Z40" s="451">
        <f t="shared" si="1"/>
        <v>3.6572560691817437E-4</v>
      </c>
      <c r="AE40" s="33"/>
      <c r="AF40" s="33"/>
    </row>
    <row r="41" spans="6:32" ht="11.25" customHeight="1" x14ac:dyDescent="0.2">
      <c r="F41" s="155"/>
      <c r="G41" s="155"/>
      <c r="H41" s="33"/>
      <c r="L41" s="33"/>
      <c r="M41" s="33"/>
      <c r="S41" s="422">
        <f>_xll.qlCalendarAdvance(Calendar,S40,"1D","f")</f>
        <v>42180</v>
      </c>
      <c r="T41" s="221">
        <f>_xll.qlCalendarAdvance(Calendar,S41,$G$1,"mf",,Trigger)</f>
        <v>42272</v>
      </c>
      <c r="U41" s="342">
        <f>_xll.qlDayCounterYearFraction(DayCounter,S41,T41,,,Trigger)</f>
        <v>0.25205479452054796</v>
      </c>
      <c r="V41" s="32">
        <f>_xll.qlInterpolationInterpolate(B3Minterpolation,S41,TRUE)</f>
        <v>1.4561289227642338E-3</v>
      </c>
      <c r="W41" s="345">
        <f>_xll.qlYieldTSDiscount(Discounting,S41,,AllTriggers)</f>
        <v>0.99930383981662396</v>
      </c>
      <c r="X41" s="345">
        <f>_xll.qlYieldTSDiscount(Discounting,T41,,AllTriggers)</f>
        <v>0.9981643262825779</v>
      </c>
      <c r="Y41" s="32">
        <f t="shared" si="0"/>
        <v>4.5292102383563855E-3</v>
      </c>
      <c r="Z41" s="451">
        <f t="shared" si="1"/>
        <v>3.6653857246431078E-4</v>
      </c>
      <c r="AE41" s="33"/>
      <c r="AF41" s="33"/>
    </row>
    <row r="42" spans="6:32" ht="11.25" customHeight="1" x14ac:dyDescent="0.2">
      <c r="F42" s="155"/>
      <c r="G42" s="155"/>
      <c r="H42" s="33"/>
      <c r="L42" s="33"/>
      <c r="M42" s="33"/>
      <c r="S42" s="422">
        <f>_xll.qlCalendarAdvance(Calendar,S41,"1D","f")</f>
        <v>42181</v>
      </c>
      <c r="T42" s="221">
        <f>_xll.qlCalendarAdvance(Calendar,S42,$G$1,"mf",,Trigger)</f>
        <v>42275</v>
      </c>
      <c r="U42" s="342">
        <f>_xll.qlDayCounterYearFraction(DayCounter,S42,T42,,,Trigger)</f>
        <v>0.25753424657534246</v>
      </c>
      <c r="V42" s="32">
        <f>_xll.qlInterpolationInterpolate(B3Minterpolation,S42,TRUE)</f>
        <v>1.4592789570929453E-3</v>
      </c>
      <c r="W42" s="345">
        <f>_xll.qlYieldTSDiscount(Discounting,S42,,AllTriggers)</f>
        <v>0.99929151876120614</v>
      </c>
      <c r="X42" s="345">
        <f>_xll.qlYieldTSDiscount(Discounting,T42,,AllTriggers)</f>
        <v>0.99812668475659361</v>
      </c>
      <c r="Y42" s="32">
        <f t="shared" si="0"/>
        <v>4.5315146116062894E-3</v>
      </c>
      <c r="Z42" s="451">
        <f t="shared" si="1"/>
        <v>3.7530579907604132E-4</v>
      </c>
      <c r="AE42" s="33"/>
      <c r="AF42" s="33"/>
    </row>
    <row r="43" spans="6:32" ht="11.25" customHeight="1" x14ac:dyDescent="0.2">
      <c r="F43" s="155"/>
      <c r="G43" s="155"/>
      <c r="H43" s="33"/>
      <c r="L43" s="33"/>
      <c r="M43" s="33"/>
      <c r="S43" s="422">
        <f>_xll.qlCalendarAdvance(Calendar,S42,"1D","f")</f>
        <v>42184</v>
      </c>
      <c r="T43" s="221">
        <f>_xll.qlCalendarAdvance(Calendar,S43,$G$1,"mf",,Trigger)</f>
        <v>42276</v>
      </c>
      <c r="U43" s="342">
        <f>_xll.qlDayCounterYearFraction(DayCounter,S43,T43,,,Trigger)</f>
        <v>0.25205479452054796</v>
      </c>
      <c r="V43" s="32">
        <f>_xll.qlInterpolationInterpolate(B3Minterpolation,S43,TRUE)</f>
        <v>1.4682579339642668E-3</v>
      </c>
      <c r="W43" s="345">
        <f>_xll.qlYieldTSDiscount(Discounting,S43,,AllTriggers)</f>
        <v>0.99925456670688029</v>
      </c>
      <c r="X43" s="345">
        <f>_xll.qlYieldTSDiscount(Discounting,T43,,AllTriggers)</f>
        <v>0.9981141373723923</v>
      </c>
      <c r="Y43" s="32">
        <f t="shared" si="0"/>
        <v>4.5330781876128396E-3</v>
      </c>
      <c r="Z43" s="451">
        <f t="shared" si="1"/>
        <v>3.6959077817203684E-4</v>
      </c>
      <c r="AE43" s="33"/>
      <c r="AF43" s="33"/>
    </row>
    <row r="44" spans="6:32" ht="11.25" customHeight="1" x14ac:dyDescent="0.2">
      <c r="F44" s="155"/>
      <c r="G44" s="155"/>
      <c r="H44" s="33"/>
      <c r="L44" s="33"/>
      <c r="M44" s="33"/>
      <c r="S44" s="422">
        <f>_xll.qlCalendarAdvance(Calendar,S43,"1D","f")</f>
        <v>42185</v>
      </c>
      <c r="T44" s="221">
        <f>_xll.qlCalendarAdvance(Calendar,S44,$G$1,"mf",,Trigger)</f>
        <v>42277</v>
      </c>
      <c r="U44" s="342">
        <f>_xll.qlDayCounterYearFraction(DayCounter,S44,T44,,,Trigger)</f>
        <v>0.25205479452054796</v>
      </c>
      <c r="V44" s="32">
        <f>_xll.qlInterpolationInterpolate(B3Minterpolation,S44,TRUE)</f>
        <v>1.4710978979349215E-3</v>
      </c>
      <c r="W44" s="345">
        <f>_xll.qlYieldTSDiscount(Discounting,S44,,AllTriggers)</f>
        <v>0.9992422526985788</v>
      </c>
      <c r="X44" s="345">
        <f>_xll.qlYieldTSDiscount(Discounting,T44,,AllTriggers)</f>
        <v>0.99810159026638001</v>
      </c>
      <c r="Y44" s="32">
        <f t="shared" si="0"/>
        <v>4.5340617216067499E-3</v>
      </c>
      <c r="Z44" s="451">
        <f t="shared" si="1"/>
        <v>3.7030543160224204E-4</v>
      </c>
      <c r="AE44" s="33"/>
      <c r="AF44" s="33"/>
    </row>
    <row r="45" spans="6:32" ht="11.25" customHeight="1" x14ac:dyDescent="0.2">
      <c r="F45" s="155"/>
      <c r="G45" s="155"/>
      <c r="H45" s="33"/>
      <c r="L45" s="33"/>
      <c r="M45" s="33"/>
      <c r="S45" s="422">
        <f>_xll.qlCalendarAdvance(Calendar,S44,"1D","f")</f>
        <v>42186</v>
      </c>
      <c r="T45" s="221">
        <f>_xll.qlCalendarAdvance(Calendar,S45,$G$1,"mf",,Trigger)</f>
        <v>42278</v>
      </c>
      <c r="U45" s="342">
        <f>_xll.qlDayCounterYearFraction(DayCounter,S45,T45,,,Trigger)</f>
        <v>0.25205479452054796</v>
      </c>
      <c r="V45" s="32">
        <f>_xll.qlInterpolationInterpolate(B3Minterpolation,S45,TRUE)</f>
        <v>1.4738633546049263E-3</v>
      </c>
      <c r="W45" s="345">
        <f>_xll.qlYieldTSDiscount(Discounting,S45,,AllTriggers)</f>
        <v>0.99922994018245115</v>
      </c>
      <c r="X45" s="345">
        <f>_xll.qlYieldTSDiscount(Discounting,T45,,AllTriggers)</f>
        <v>0.99808904334488757</v>
      </c>
      <c r="Y45" s="32">
        <f t="shared" si="0"/>
        <v>4.5350504773984364E-3</v>
      </c>
      <c r="Z45" s="451">
        <f t="shared" si="1"/>
        <v>3.7100133215868476E-4</v>
      </c>
      <c r="AE45" s="33"/>
      <c r="AF45" s="33"/>
    </row>
    <row r="46" spans="6:32" ht="11.25" customHeight="1" x14ac:dyDescent="0.2">
      <c r="F46" s="155"/>
      <c r="G46" s="155"/>
      <c r="H46" s="33"/>
      <c r="L46" s="33"/>
      <c r="M46" s="33"/>
      <c r="S46" s="422">
        <f>_xll.qlCalendarAdvance(Calendar,S45,"1D","f")</f>
        <v>42187</v>
      </c>
      <c r="T46" s="221">
        <f>_xll.qlCalendarAdvance(Calendar,S46,$G$1,"mf",,Trigger)</f>
        <v>42279</v>
      </c>
      <c r="U46" s="342">
        <f>_xll.qlDayCounterYearFraction(DayCounter,S46,T46,,,Trigger)</f>
        <v>0.25205479452054796</v>
      </c>
      <c r="V46" s="32">
        <f>_xll.qlInterpolationInterpolate(B3Minterpolation,S46,TRUE)</f>
        <v>1.4765555080898263E-3</v>
      </c>
      <c r="W46" s="345">
        <f>_xll.qlYieldTSDiscount(Discounting,S46,,AllTriggers)</f>
        <v>0.99921762905530209</v>
      </c>
      <c r="X46" s="345">
        <f>_xll.qlYieldTSDiscount(Discounting,T46,,AllTriggers)</f>
        <v>0.99807649522135844</v>
      </c>
      <c r="Y46" s="32">
        <f t="shared" si="0"/>
        <v>4.5360495628953904E-3</v>
      </c>
      <c r="Z46" s="451">
        <f t="shared" si="1"/>
        <v>3.7167878245746179E-4</v>
      </c>
      <c r="AE46" s="33"/>
      <c r="AF46" s="33"/>
    </row>
    <row r="47" spans="6:32" ht="11.25" customHeight="1" x14ac:dyDescent="0.2">
      <c r="F47" s="155"/>
      <c r="G47" s="155"/>
      <c r="H47" s="33"/>
      <c r="L47" s="33"/>
      <c r="M47" s="33"/>
      <c r="S47" s="422">
        <f>_xll.qlCalendarAdvance(Calendar,S46,"1D","f")</f>
        <v>42188</v>
      </c>
      <c r="T47" s="221">
        <f>_xll.qlCalendarAdvance(Calendar,S47,$G$1,"mf",,Trigger)</f>
        <v>42282</v>
      </c>
      <c r="U47" s="342">
        <f>_xll.qlDayCounterYearFraction(DayCounter,S47,T47,,,Trigger)</f>
        <v>0.25753424657534246</v>
      </c>
      <c r="V47" s="32">
        <f>_xll.qlInterpolationInterpolate(B3Minterpolation,S47,TRUE)</f>
        <v>1.4791755625051673E-3</v>
      </c>
      <c r="W47" s="345">
        <f>_xll.qlYieldTSDiscount(Discounting,S47,,AllTriggers)</f>
        <v>0.99920531921494959</v>
      </c>
      <c r="X47" s="345">
        <f>_xll.qlYieldTSDiscount(Discounting,T47,,AllTriggers)</f>
        <v>0.99803882654192233</v>
      </c>
      <c r="Y47" s="32">
        <f t="shared" si="0"/>
        <v>4.5383667547942716E-3</v>
      </c>
      <c r="Z47" s="451">
        <f t="shared" si="1"/>
        <v>3.8042127947382514E-4</v>
      </c>
      <c r="AE47" s="33"/>
      <c r="AF47" s="33"/>
    </row>
    <row r="48" spans="6:32" ht="11.25" customHeight="1" x14ac:dyDescent="0.2">
      <c r="F48" s="155"/>
      <c r="G48" s="155"/>
      <c r="H48" s="33"/>
      <c r="L48" s="33"/>
      <c r="M48" s="33"/>
      <c r="S48" s="422">
        <f>_xll.qlCalendarAdvance(Calendar,S47,"1D","f")</f>
        <v>42191</v>
      </c>
      <c r="T48" s="221">
        <f>_xll.qlCalendarAdvance(Calendar,S48,$G$1,"mf",,Trigger)</f>
        <v>42283</v>
      </c>
      <c r="U48" s="342">
        <f>_xll.qlDayCounterYearFraction(DayCounter,S48,T48,,,Trigger)</f>
        <v>0.25205479452054796</v>
      </c>
      <c r="V48" s="32">
        <f>_xll.qlInterpolationInterpolate(B3Minterpolation,S48,TRUE)</f>
        <v>1.4866151724892917E-3</v>
      </c>
      <c r="W48" s="345">
        <f>_xll.qlYieldTSDiscount(Discounting,S48,,AllTriggers)</f>
        <v>0.99916839639292532</v>
      </c>
      <c r="X48" s="345">
        <f>_xll.qlYieldTSDiscount(Discounting,T48,,AllTriggers)</f>
        <v>0.9980262565140483</v>
      </c>
      <c r="Y48" s="32">
        <f t="shared" si="0"/>
        <v>4.5402771662865554E-3</v>
      </c>
      <c r="Z48" s="451">
        <f t="shared" si="1"/>
        <v>3.7421013079004626E-4</v>
      </c>
      <c r="AE48" s="33"/>
      <c r="AF48" s="33"/>
    </row>
    <row r="49" spans="6:32" ht="11.25" customHeight="1" x14ac:dyDescent="0.2">
      <c r="F49" s="155"/>
      <c r="G49" s="155"/>
      <c r="H49" s="33"/>
      <c r="L49" s="33"/>
      <c r="M49" s="33"/>
      <c r="S49" s="422">
        <f>_xll.qlCalendarAdvance(Calendar,S48,"1D","f")</f>
        <v>42192</v>
      </c>
      <c r="T49" s="221">
        <f>_xll.qlCalendarAdvance(Calendar,S49,$G$1,"mf",,Trigger)</f>
        <v>42284</v>
      </c>
      <c r="U49" s="342">
        <f>_xll.qlDayCounterYearFraction(DayCounter,S49,T49,,,Trigger)</f>
        <v>0.25205479452054796</v>
      </c>
      <c r="V49" s="32">
        <f>_xll.qlInterpolationInterpolate(B3Minterpolation,S49,TRUE)</f>
        <v>1.4889588717818523E-3</v>
      </c>
      <c r="W49" s="345">
        <f>_xll.qlYieldTSDiscount(Discounting,S49,,AllTriggers)</f>
        <v>0.99915609067803812</v>
      </c>
      <c r="X49" s="345">
        <f>_xll.qlYieldTSDiscount(Discounting,T49,,AllTriggers)</f>
        <v>0.99801367673646935</v>
      </c>
      <c r="Y49" s="32">
        <f t="shared" si="0"/>
        <v>4.5414238736356189E-3</v>
      </c>
      <c r="Z49" s="451">
        <f t="shared" si="1"/>
        <v>3.7479986703731276E-4</v>
      </c>
      <c r="AE49" s="33"/>
      <c r="AF49" s="33"/>
    </row>
    <row r="50" spans="6:32" ht="11.25" customHeight="1" x14ac:dyDescent="0.2">
      <c r="F50" s="155"/>
      <c r="G50" s="155"/>
      <c r="H50" s="33"/>
      <c r="L50" s="33"/>
      <c r="M50" s="33"/>
      <c r="S50" s="422">
        <f>_xll.qlCalendarAdvance(Calendar,S49,"1D","f")</f>
        <v>42193</v>
      </c>
      <c r="T50" s="221">
        <f>_xll.qlCalendarAdvance(Calendar,S50,$G$1,"mf",,Trigger)</f>
        <v>42285</v>
      </c>
      <c r="U50" s="342">
        <f>_xll.qlDayCounterYearFraction(DayCounter,S50,T50,,,Trigger)</f>
        <v>0.25205479452054796</v>
      </c>
      <c r="V50" s="32">
        <f>_xll.qlInterpolationInterpolate(B3Minterpolation,S50,TRUE)</f>
        <v>1.4912364925825814E-3</v>
      </c>
      <c r="W50" s="345">
        <f>_xll.qlYieldTSDiscount(Discounting,S50,,AllTriggers)</f>
        <v>0.99914378573911222</v>
      </c>
      <c r="X50" s="345">
        <f>_xll.qlYieldTSDiscount(Discounting,T50,,AllTriggers)</f>
        <v>0.99800108549991062</v>
      </c>
      <c r="Y50" s="32">
        <f t="shared" si="0"/>
        <v>4.5426193000720578E-3</v>
      </c>
      <c r="Z50" s="451">
        <f t="shared" si="1"/>
        <v>3.7537296788411092E-4</v>
      </c>
      <c r="AE50" s="33"/>
      <c r="AF50" s="33"/>
    </row>
    <row r="51" spans="6:32" ht="11.25" customHeight="1" x14ac:dyDescent="0.2">
      <c r="F51" s="155"/>
      <c r="G51" s="155"/>
      <c r="H51" s="33"/>
      <c r="L51" s="33"/>
      <c r="M51" s="33"/>
      <c r="S51" s="422">
        <f>_xll.qlCalendarAdvance(Calendar,S50,"1D","f")</f>
        <v>42194</v>
      </c>
      <c r="T51" s="221">
        <f>_xll.qlCalendarAdvance(Calendar,S51,$G$1,"mf",,Trigger)</f>
        <v>42286</v>
      </c>
      <c r="U51" s="342">
        <f>_xll.qlDayCounterYearFraction(DayCounter,S51,T51,,,Trigger)</f>
        <v>0.25205479452054796</v>
      </c>
      <c r="V51" s="32">
        <f>_xll.qlInterpolationInterpolate(B3Minterpolation,S51,TRUE)</f>
        <v>1.4934492390070251E-3</v>
      </c>
      <c r="W51" s="345">
        <f>_xll.qlYieldTSDiscount(Discounting,S51,,AllTriggers)</f>
        <v>0.99913148147399555</v>
      </c>
      <c r="X51" s="345">
        <f>_xll.qlYieldTSDiscount(Discounting,T51,,AllTriggers)</f>
        <v>0.9979884810951839</v>
      </c>
      <c r="Y51" s="32">
        <f t="shared" si="0"/>
        <v>4.5438698438552945E-3</v>
      </c>
      <c r="Z51" s="451">
        <f t="shared" si="1"/>
        <v>3.7592973578931782E-4</v>
      </c>
      <c r="AE51" s="33"/>
      <c r="AF51" s="33"/>
    </row>
    <row r="52" spans="6:32" ht="11.25" customHeight="1" x14ac:dyDescent="0.2">
      <c r="F52" s="155"/>
      <c r="G52" s="155"/>
      <c r="H52" s="33"/>
      <c r="L52" s="33"/>
      <c r="M52" s="33"/>
      <c r="S52" s="422">
        <f>_xll.qlCalendarAdvance(Calendar,S51,"1D","f")</f>
        <v>42195</v>
      </c>
      <c r="T52" s="221">
        <f>_xll.qlCalendarAdvance(Calendar,S52,$G$1,"mf",,Trigger)</f>
        <v>42289</v>
      </c>
      <c r="U52" s="342">
        <f>_xll.qlDayCounterYearFraction(DayCounter,S52,T52,,,Trigger)</f>
        <v>0.25753424657534246</v>
      </c>
      <c r="V52" s="32">
        <f>_xll.qlInterpolationInterpolate(B3Minterpolation,S52,TRUE)</f>
        <v>1.4955983151707288E-3</v>
      </c>
      <c r="W52" s="345">
        <f>_xll.qlYieldTSDiscount(Discounting,S52,,AllTriggers)</f>
        <v>0.99911917778054149</v>
      </c>
      <c r="X52" s="345">
        <f>_xll.qlYieldTSDiscount(Discounting,T52,,AllTriggers)</f>
        <v>0.99795057178141866</v>
      </c>
      <c r="Y52" s="32">
        <f t="shared" si="0"/>
        <v>4.5469909622238396E-3</v>
      </c>
      <c r="Z52" s="451">
        <f t="shared" si="1"/>
        <v>3.8464329435896645E-4</v>
      </c>
      <c r="AE52" s="33"/>
      <c r="AF52" s="33"/>
    </row>
    <row r="53" spans="6:32" ht="11.25" customHeight="1" x14ac:dyDescent="0.2">
      <c r="F53" s="155"/>
      <c r="G53" s="155"/>
      <c r="H53" s="33"/>
      <c r="L53" s="33"/>
      <c r="M53" s="33"/>
      <c r="S53" s="422">
        <f>_xll.qlCalendarAdvance(Calendar,S52,"1D","f")</f>
        <v>42198</v>
      </c>
      <c r="T53" s="221">
        <f>_xll.qlCalendarAdvance(Calendar,S53,$G$1,"mf",,Trigger)</f>
        <v>42290</v>
      </c>
      <c r="U53" s="342">
        <f>_xll.qlDayCounterYearFraction(DayCounter,S53,T53,,,Trigger)</f>
        <v>0.25205479452054796</v>
      </c>
      <c r="V53" s="32">
        <f>_xll.qlInterpolationInterpolate(B3Minterpolation,S53,TRUE)</f>
        <v>1.5016755632528548E-3</v>
      </c>
      <c r="W53" s="345">
        <f>_xll.qlYieldTSDiscount(Discounting,S53,,AllTriggers)</f>
        <v>0.99908226910875986</v>
      </c>
      <c r="X53" s="345">
        <f>_xll.qlYieldTSDiscount(Discounting,T53,,AllTriggers)</f>
        <v>0.99793789761387919</v>
      </c>
      <c r="Y53" s="32">
        <f t="shared" si="0"/>
        <v>4.5495511580322771E-3</v>
      </c>
      <c r="Z53" s="451">
        <f t="shared" si="1"/>
        <v>3.7799952703873612E-4</v>
      </c>
      <c r="AE53" s="33"/>
      <c r="AF53" s="33"/>
    </row>
    <row r="54" spans="6:32" ht="11.25" customHeight="1" x14ac:dyDescent="0.2">
      <c r="F54" s="155"/>
      <c r="G54" s="155"/>
      <c r="H54" s="33"/>
      <c r="L54" s="33"/>
      <c r="M54" s="33"/>
      <c r="S54" s="422">
        <f>_xll.qlCalendarAdvance(Calendar,S53,"1D","f")</f>
        <v>42199</v>
      </c>
      <c r="T54" s="221">
        <f>_xll.qlCalendarAdvance(Calendar,S54,$G$1,"mf",,Trigger)</f>
        <v>42291</v>
      </c>
      <c r="U54" s="342">
        <f>_xll.qlDayCounterYearFraction(DayCounter,S54,T54,,,Trigger)</f>
        <v>0.25205479452054796</v>
      </c>
      <c r="V54" s="32">
        <f>_xll.qlInterpolationInterpolate(B3Minterpolation,S54,TRUE)</f>
        <v>1.5035819995290536E-3</v>
      </c>
      <c r="W54" s="345">
        <f>_xll.qlYieldTSDiscount(Discounting,S54,,AllTriggers)</f>
        <v>0.9990699666805869</v>
      </c>
      <c r="X54" s="345">
        <f>_xll.qlYieldTSDiscount(Discounting,T54,,AllTriggers)</f>
        <v>0.99792520173353894</v>
      </c>
      <c r="Y54" s="32">
        <f t="shared" si="0"/>
        <v>4.551173262836378E-3</v>
      </c>
      <c r="Z54" s="451">
        <f t="shared" si="1"/>
        <v>3.7847916698699913E-4</v>
      </c>
      <c r="AE54" s="33"/>
      <c r="AF54" s="33"/>
    </row>
    <row r="55" spans="6:32" ht="11.25" customHeight="1" x14ac:dyDescent="0.2">
      <c r="F55" s="155"/>
      <c r="G55" s="155"/>
      <c r="H55" s="33"/>
      <c r="L55" s="33"/>
      <c r="M55" s="33"/>
      <c r="S55" s="422">
        <f>_xll.qlCalendarAdvance(Calendar,S54,"1D","f")</f>
        <v>42200</v>
      </c>
      <c r="T55" s="221">
        <f>_xll.qlCalendarAdvance(Calendar,S55,$G$1,"mf",,Trigger)</f>
        <v>42292</v>
      </c>
      <c r="U55" s="342">
        <f>_xll.qlDayCounterYearFraction(DayCounter,S55,T55,,,Trigger)</f>
        <v>0.25205479452054796</v>
      </c>
      <c r="V55" s="32">
        <f>_xll.qlInterpolationInterpolate(B3Minterpolation,S55,TRUE)</f>
        <v>1.5054307861222405E-3</v>
      </c>
      <c r="W55" s="345">
        <f>_xll.qlYieldTSDiscount(Discounting,S55,,AllTriggers)</f>
        <v>0.99905766431341736</v>
      </c>
      <c r="X55" s="345">
        <f>_xll.qlYieldTSDiscount(Discounting,T55,,AllTriggers)</f>
        <v>0.99791248243173492</v>
      </c>
      <c r="Y55" s="32">
        <f t="shared" si="0"/>
        <v>4.5528888747957581E-3</v>
      </c>
      <c r="Z55" s="451">
        <f t="shared" si="1"/>
        <v>3.7894428866995435E-4</v>
      </c>
      <c r="AE55" s="33"/>
      <c r="AF55" s="33"/>
    </row>
    <row r="56" spans="6:32" ht="11.25" customHeight="1" x14ac:dyDescent="0.2">
      <c r="F56" s="155"/>
      <c r="G56" s="155"/>
      <c r="H56" s="33"/>
      <c r="L56" s="33"/>
      <c r="M56" s="33"/>
      <c r="S56" s="422">
        <f>_xll.qlCalendarAdvance(Calendar,S55,"1D","f")</f>
        <v>42201</v>
      </c>
      <c r="T56" s="221">
        <f>_xll.qlCalendarAdvance(Calendar,S56,$G$1,"mf",,Trigger)</f>
        <v>42293</v>
      </c>
      <c r="U56" s="342">
        <f>_xll.qlDayCounterYearFraction(DayCounter,S56,T56,,,Trigger)</f>
        <v>0.25205479452054796</v>
      </c>
      <c r="V56" s="32">
        <f>_xll.qlInterpolationInterpolate(B3Minterpolation,S56,TRUE)</f>
        <v>1.5072231271479606E-3</v>
      </c>
      <c r="W56" s="345">
        <f>_xll.qlYieldTSDiscount(Discounting,S56,,AllTriggers)</f>
        <v>0.99904536190513438</v>
      </c>
      <c r="X56" s="345">
        <f>_xll.qlYieldTSDiscount(Discounting,T56,,AllTriggers)</f>
        <v>0.99789973799989296</v>
      </c>
      <c r="Y56" s="32">
        <f t="shared" si="0"/>
        <v>4.5547043922649823E-3</v>
      </c>
      <c r="Z56" s="451">
        <f t="shared" si="1"/>
        <v>3.7939519452332641E-4</v>
      </c>
      <c r="AE56" s="33"/>
      <c r="AF56" s="33"/>
    </row>
    <row r="57" spans="6:32" ht="11.25" customHeight="1" x14ac:dyDescent="0.2">
      <c r="F57" s="155"/>
      <c r="G57" s="155"/>
      <c r="H57" s="33"/>
      <c r="L57" s="33"/>
      <c r="M57" s="33"/>
      <c r="S57" s="422">
        <f>_xll.qlCalendarAdvance(Calendar,S56,"1D","f")</f>
        <v>42202</v>
      </c>
      <c r="T57" s="221">
        <f>_xll.qlCalendarAdvance(Calendar,S57,$G$1,"mf",,Trigger)</f>
        <v>42296</v>
      </c>
      <c r="U57" s="342">
        <f>_xll.qlDayCounterYearFraction(DayCounter,S57,T57,,,Trigger)</f>
        <v>0.25753424657534246</v>
      </c>
      <c r="V57" s="32">
        <f>_xll.qlInterpolationInterpolate(B3Minterpolation,S57,TRUE)</f>
        <v>1.5089602267217598E-3</v>
      </c>
      <c r="W57" s="345">
        <f>_xll.qlYieldTSDiscount(Discounting,S57,,AllTriggers)</f>
        <v>0.99903305935362618</v>
      </c>
      <c r="X57" s="345">
        <f>_xll.qlYieldTSDiscount(Discounting,T57,,AllTriggers)</f>
        <v>0.9978613368397381</v>
      </c>
      <c r="Y57" s="32">
        <f t="shared" si="0"/>
        <v>4.5595248790478932E-3</v>
      </c>
      <c r="Z57" s="451">
        <f t="shared" si="1"/>
        <v>3.8807784060064309E-4</v>
      </c>
      <c r="AE57" s="33"/>
      <c r="AF57" s="33"/>
    </row>
    <row r="58" spans="6:32" ht="11.25" customHeight="1" x14ac:dyDescent="0.2">
      <c r="F58" s="155"/>
      <c r="G58" s="155"/>
      <c r="H58" s="33"/>
      <c r="L58" s="33"/>
      <c r="M58" s="33"/>
      <c r="S58" s="422">
        <f>_xll.qlCalendarAdvance(Calendar,S57,"1D","f")</f>
        <v>42205</v>
      </c>
      <c r="T58" s="221">
        <f>_xll.qlCalendarAdvance(Calendar,S58,$G$1,"mf",,Trigger)</f>
        <v>42297</v>
      </c>
      <c r="U58" s="342">
        <f>_xll.qlDayCounterYearFraction(DayCounter,S58,T58,,,Trigger)</f>
        <v>0.25205479452054796</v>
      </c>
      <c r="V58" s="32">
        <f>_xll.qlInterpolationInterpolate(B3Minterpolation,S58,TRUE)</f>
        <v>1.5138521178870862E-3</v>
      </c>
      <c r="W58" s="345">
        <f>_xll.qlYieldTSDiscount(Discounting,S58,,AllTriggers)</f>
        <v>0.99899614981870977</v>
      </c>
      <c r="X58" s="345">
        <f>_xll.qlYieldTSDiscount(Discounting,T58,,AllTriggers)</f>
        <v>0.99784847480379268</v>
      </c>
      <c r="Y58" s="32">
        <f t="shared" si="0"/>
        <v>4.563093485004617E-3</v>
      </c>
      <c r="Z58" s="451">
        <f t="shared" si="1"/>
        <v>3.8106270825714894E-4</v>
      </c>
      <c r="AE58" s="33"/>
      <c r="AF58" s="33"/>
    </row>
    <row r="59" spans="6:32" ht="11.25" customHeight="1" x14ac:dyDescent="0.2">
      <c r="F59" s="155"/>
      <c r="G59" s="155"/>
      <c r="H59" s="33"/>
      <c r="L59" s="33"/>
      <c r="M59" s="33"/>
      <c r="S59" s="422">
        <f>_xll.qlCalendarAdvance(Calendar,S58,"1D","f")</f>
        <v>42206</v>
      </c>
      <c r="T59" s="221">
        <f>_xll.qlCalendarAdvance(Calendar,S59,$G$1,"mf",,Trigger)</f>
        <v>42298</v>
      </c>
      <c r="U59" s="342">
        <f>_xll.qlDayCounterYearFraction(DayCounter,S59,T59,,,Trigger)</f>
        <v>0.25205479452054796</v>
      </c>
      <c r="V59" s="32">
        <f>_xll.qlInterpolationInterpolate(B3Minterpolation,S59,TRUE)</f>
        <v>1.5153802928086564E-3</v>
      </c>
      <c r="W59" s="345">
        <f>_xll.qlYieldTSDiscount(Discounting,S59,,AllTriggers)</f>
        <v>0.99898384567328491</v>
      </c>
      <c r="X59" s="345">
        <f>_xll.qlYieldTSDiscount(Discounting,T59,,AllTriggers)</f>
        <v>0.99783557909628506</v>
      </c>
      <c r="Y59" s="32">
        <f t="shared" si="0"/>
        <v>4.5655045060515459E-3</v>
      </c>
      <c r="Z59" s="451">
        <f t="shared" si="1"/>
        <v>3.8144707140783378E-4</v>
      </c>
      <c r="AE59" s="33"/>
      <c r="AF59" s="33"/>
    </row>
    <row r="60" spans="6:32" ht="11.25" customHeight="1" x14ac:dyDescent="0.2">
      <c r="F60" s="155"/>
      <c r="G60" s="155"/>
      <c r="H60" s="33"/>
      <c r="L60" s="33"/>
      <c r="M60" s="33"/>
      <c r="S60" s="422">
        <f>_xll.qlCalendarAdvance(Calendar,S59,"1D","f")</f>
        <v>42207</v>
      </c>
      <c r="T60" s="221">
        <f>_xll.qlCalendarAdvance(Calendar,S60,$G$1,"mf",,Trigger)</f>
        <v>42299</v>
      </c>
      <c r="U60" s="342">
        <f>_xll.qlDayCounterYearFraction(DayCounter,S60,T60,,,Trigger)</f>
        <v>0.25205479452054796</v>
      </c>
      <c r="V60" s="32">
        <f>_xll.qlInterpolationInterpolate(B3Minterpolation,S60,TRUE)</f>
        <v>1.5168592468560336E-3</v>
      </c>
      <c r="W60" s="345">
        <f>_xll.qlYieldTSDiscount(Discounting,S60,,AllTriggers)</f>
        <v>0.99897154087415185</v>
      </c>
      <c r="X60" s="345">
        <f>_xll.qlYieldTSDiscount(Discounting,T60,,AllTriggers)</f>
        <v>0.99782264800918319</v>
      </c>
      <c r="Y60" s="32">
        <f t="shared" si="0"/>
        <v>4.5680538231902641E-3</v>
      </c>
      <c r="Z60" s="451">
        <f t="shared" si="1"/>
        <v>3.8181903329373559E-4</v>
      </c>
      <c r="AE60" s="33"/>
      <c r="AF60" s="33"/>
    </row>
    <row r="61" spans="6:32" ht="11.25" customHeight="1" x14ac:dyDescent="0.2">
      <c r="F61" s="155"/>
      <c r="G61" s="155"/>
      <c r="H61" s="33"/>
      <c r="L61" s="33"/>
      <c r="M61" s="33"/>
      <c r="S61" s="422">
        <f>_xll.qlCalendarAdvance(Calendar,S60,"1D","f")</f>
        <v>42208</v>
      </c>
      <c r="T61" s="221">
        <f>_xll.qlCalendarAdvance(Calendar,S61,$G$1,"mf",,Trigger)</f>
        <v>42300</v>
      </c>
      <c r="U61" s="342">
        <f>_xll.qlDayCounterYearFraction(DayCounter,S61,T61,,,Trigger)</f>
        <v>0.25205479452054796</v>
      </c>
      <c r="V61" s="32">
        <f>_xll.qlInterpolationInterpolate(B3Minterpolation,S61,TRUE)</f>
        <v>1.5182901841447633E-3</v>
      </c>
      <c r="W61" s="345">
        <f>_xll.qlYieldTSDiscount(Discounting,S61,,AllTriggers)</f>
        <v>0.99895923531922914</v>
      </c>
      <c r="X61" s="345">
        <f>_xll.qlYieldTSDiscount(Discounting,T61,,AllTriggers)</f>
        <v>0.99780967983454727</v>
      </c>
      <c r="Y61" s="32">
        <f t="shared" si="0"/>
        <v>4.5707478349462354E-3</v>
      </c>
      <c r="Z61" s="451">
        <f t="shared" si="1"/>
        <v>3.8217889633599262E-4</v>
      </c>
      <c r="AE61" s="33"/>
      <c r="AF61" s="33"/>
    </row>
    <row r="62" spans="6:32" ht="11.25" customHeight="1" x14ac:dyDescent="0.2">
      <c r="F62" s="155"/>
      <c r="G62" s="155"/>
      <c r="H62" s="33"/>
      <c r="L62" s="33"/>
      <c r="M62" s="33"/>
      <c r="S62" s="422">
        <f>_xll.qlCalendarAdvance(Calendar,S61,"1D","f")</f>
        <v>42209</v>
      </c>
      <c r="T62" s="221">
        <f>_xll.qlCalendarAdvance(Calendar,S62,$G$1,"mf",,Trigger)</f>
        <v>42303</v>
      </c>
      <c r="U62" s="342">
        <f>_xll.qlDayCounterYearFraction(DayCounter,S62,T62,,,Trigger)</f>
        <v>0.25753424657534246</v>
      </c>
      <c r="V62" s="32">
        <f>_xll.qlInterpolationInterpolate(B3Minterpolation,S62,TRUE)</f>
        <v>1.5196743087903905E-3</v>
      </c>
      <c r="W62" s="345">
        <f>_xll.qlYieldTSDiscount(Discounting,S62,,AllTriggers)</f>
        <v>0.99894692890644032</v>
      </c>
      <c r="X62" s="345">
        <f>_xll.qlYieldTSDiscount(Discounting,T62,,AllTriggers)</f>
        <v>0.99777053570743424</v>
      </c>
      <c r="Y62" s="32">
        <f t="shared" si="0"/>
        <v>4.5781165093833343E-3</v>
      </c>
      <c r="Z62" s="451">
        <f t="shared" si="1"/>
        <v>3.9083090559388444E-4</v>
      </c>
      <c r="AE62" s="33"/>
      <c r="AF62" s="33"/>
    </row>
    <row r="63" spans="6:32" ht="11.25" customHeight="1" x14ac:dyDescent="0.2">
      <c r="F63" s="155"/>
      <c r="G63" s="155"/>
      <c r="H63" s="33"/>
      <c r="L63" s="33"/>
      <c r="M63" s="33"/>
      <c r="S63" s="422">
        <f>_xll.qlCalendarAdvance(Calendar,S62,"1D","f")</f>
        <v>42212</v>
      </c>
      <c r="T63" s="221">
        <f>_xll.qlCalendarAdvance(Calendar,S63,$G$1,"mf",,Trigger)</f>
        <v>42304</v>
      </c>
      <c r="U63" s="342">
        <f>_xll.qlDayCounterYearFraction(DayCounter,S63,T63,,,Trigger)</f>
        <v>0.25205479452054796</v>
      </c>
      <c r="V63" s="32">
        <f>_xll.qlInterpolationInterpolate(B3Minterpolation,S63,TRUE)</f>
        <v>1.523557848024116E-3</v>
      </c>
      <c r="W63" s="345">
        <f>_xll.qlYieldTSDiscount(Discounting,S63,,AllTriggers)</f>
        <v>0.99891000350018777</v>
      </c>
      <c r="X63" s="345">
        <f>_xll.qlYieldTSDiscount(Discounting,T63,,AllTriggers)</f>
        <v>0.99775740210513164</v>
      </c>
      <c r="Y63" s="32">
        <f t="shared" si="0"/>
        <v>4.5830987998456436E-3</v>
      </c>
      <c r="Z63" s="451">
        <f t="shared" si="1"/>
        <v>3.8350340844990469E-4</v>
      </c>
      <c r="AE63" s="33"/>
      <c r="AF63" s="33"/>
    </row>
    <row r="64" spans="6:32" ht="11.25" customHeight="1" x14ac:dyDescent="0.2">
      <c r="F64" s="155"/>
      <c r="G64" s="155"/>
      <c r="H64" s="33"/>
      <c r="L64" s="33"/>
      <c r="M64" s="33"/>
      <c r="S64" s="422">
        <f>_xll.qlCalendarAdvance(Calendar,S63,"1D","f")</f>
        <v>42213</v>
      </c>
      <c r="T64" s="221">
        <f>_xll.qlCalendarAdvance(Calendar,S64,$G$1,"mf",,Trigger)</f>
        <v>42305</v>
      </c>
      <c r="U64" s="342">
        <f>_xll.qlDayCounterYearFraction(DayCounter,S64,T64,,,Trigger)</f>
        <v>0.25205479452054796</v>
      </c>
      <c r="V64" s="32">
        <f>_xll.qlInterpolationInterpolate(B3Minterpolation,S64,TRUE)</f>
        <v>1.5247667632527907E-3</v>
      </c>
      <c r="W64" s="345">
        <f>_xll.qlYieldTSDiscount(Discounting,S64,,AllTriggers)</f>
        <v>0.99889769263527028</v>
      </c>
      <c r="X64" s="345">
        <f>_xll.qlYieldTSDiscount(Discounting,T64,,AllTriggers)</f>
        <v>0.99774422287700237</v>
      </c>
      <c r="Y64" s="32">
        <f t="shared" si="0"/>
        <v>4.5866122637970149E-3</v>
      </c>
      <c r="Z64" s="451">
        <f t="shared" si="1"/>
        <v>3.8380731354940563E-4</v>
      </c>
      <c r="AE64" s="33"/>
      <c r="AF64" s="33"/>
    </row>
    <row r="65" spans="6:32" ht="11.25" customHeight="1" x14ac:dyDescent="0.2">
      <c r="F65" s="155"/>
      <c r="G65" s="155"/>
      <c r="H65" s="33"/>
      <c r="L65" s="33"/>
      <c r="M65" s="33"/>
      <c r="S65" s="422">
        <f>_xll.qlCalendarAdvance(Calendar,S64,"1D","f")</f>
        <v>42214</v>
      </c>
      <c r="T65" s="221">
        <f>_xll.qlCalendarAdvance(Calendar,S65,$G$1,"mf",,Trigger)</f>
        <v>42306</v>
      </c>
      <c r="U65" s="342">
        <f>_xll.qlDayCounterYearFraction(DayCounter,S65,T65,,,Trigger)</f>
        <v>0.25205479452054796</v>
      </c>
      <c r="V65" s="32">
        <f>_xll.qlInterpolationInterpolate(B3Minterpolation,S65,TRUE)</f>
        <v>1.5259348864160912E-3</v>
      </c>
      <c r="W65" s="345">
        <f>_xll.qlYieldTSDiscount(Discounting,S65,,AllTriggers)</f>
        <v>0.99888538040217978</v>
      </c>
      <c r="X65" s="345">
        <f>_xll.qlYieldTSDiscount(Discounting,T65,,AllTriggers)</f>
        <v>0.99773099631567452</v>
      </c>
      <c r="Y65" s="32">
        <f t="shared" si="0"/>
        <v>4.5903088142901349E-3</v>
      </c>
      <c r="Z65" s="451">
        <f t="shared" si="1"/>
        <v>3.8410093430770186E-4</v>
      </c>
      <c r="AE65" s="33"/>
      <c r="AF65" s="33"/>
    </row>
    <row r="66" spans="6:32" ht="11.25" customHeight="1" x14ac:dyDescent="0.2">
      <c r="F66" s="155"/>
      <c r="G66" s="155"/>
      <c r="H66" s="33"/>
      <c r="L66" s="33"/>
      <c r="M66" s="33"/>
      <c r="S66" s="422">
        <f>_xll.qlCalendarAdvance(Calendar,S65,"1D","f")</f>
        <v>42215</v>
      </c>
      <c r="T66" s="221">
        <f>_xll.qlCalendarAdvance(Calendar,S66,$G$1,"mf",,Trigger)</f>
        <v>42307</v>
      </c>
      <c r="U66" s="342">
        <f>_xll.qlDayCounterYearFraction(DayCounter,S66,T66,,,Trigger)</f>
        <v>0.25205479452054796</v>
      </c>
      <c r="V66" s="32">
        <f>_xll.qlInterpolationInterpolate(B3Minterpolation,S66,TRUE)</f>
        <v>1.527063421629563E-3</v>
      </c>
      <c r="W66" s="345">
        <f>_xll.qlYieldTSDiscount(Discounting,S66,,AllTriggers)</f>
        <v>0.99887306669886999</v>
      </c>
      <c r="X66" s="345">
        <f>_xll.qlYieldTSDiscount(Discounting,T66,,AllTriggers)</f>
        <v>0.99771772071387299</v>
      </c>
      <c r="Y66" s="32">
        <f t="shared" si="0"/>
        <v>4.5941948501332496E-3</v>
      </c>
      <c r="Z66" s="451">
        <f t="shared" si="1"/>
        <v>3.8438457313848772E-4</v>
      </c>
      <c r="AE66" s="33"/>
      <c r="AF66" s="33"/>
    </row>
    <row r="67" spans="6:32" ht="11.25" customHeight="1" x14ac:dyDescent="0.2">
      <c r="F67" s="155"/>
      <c r="G67" s="155"/>
      <c r="H67" s="33"/>
      <c r="L67" s="33"/>
      <c r="M67" s="33"/>
      <c r="S67" s="422">
        <f>_xll.qlCalendarAdvance(Calendar,S66,"1D","f")</f>
        <v>42216</v>
      </c>
      <c r="T67" s="221">
        <f>_xll.qlCalendarAdvance(Calendar,S67,$G$1,"mf",,Trigger)</f>
        <v>42307</v>
      </c>
      <c r="U67" s="342">
        <f>_xll.qlDayCounterYearFraction(DayCounter,S67,T67,,,Trigger)</f>
        <v>0.24931506849315069</v>
      </c>
      <c r="V67" s="32">
        <f>_xll.qlInterpolationInterpolate(B3Minterpolation,S67,TRUE)</f>
        <v>1.5281535730087518E-3</v>
      </c>
      <c r="W67" s="345">
        <f>_xll.qlYieldTSDiscount(Discounting,S67,,AllTriggers)</f>
        <v>0.99886075142329978</v>
      </c>
      <c r="X67" s="345">
        <f>_xll.qlYieldTSDiscount(Discounting,T67,,AllTriggers)</f>
        <v>0.99771772071387299</v>
      </c>
      <c r="Y67" s="32">
        <f t="shared" si="0"/>
        <v>4.5951710785022901E-3</v>
      </c>
      <c r="Z67" s="451">
        <f t="shared" si="1"/>
        <v>3.8048333783686659E-4</v>
      </c>
      <c r="AE67" s="33"/>
      <c r="AF67" s="33"/>
    </row>
    <row r="68" spans="6:32" ht="11.25" customHeight="1" x14ac:dyDescent="0.2">
      <c r="F68" s="155"/>
      <c r="G68" s="155"/>
      <c r="H68" s="33"/>
      <c r="L68" s="33"/>
      <c r="M68" s="33"/>
      <c r="S68" s="422">
        <f>_xll.qlCalendarAdvance(Calendar,S67,"1D","f")</f>
        <v>42219</v>
      </c>
      <c r="T68" s="221">
        <f>_xll.qlCalendarAdvance(Calendar,S68,$G$1,"mf",,Trigger)</f>
        <v>42311</v>
      </c>
      <c r="U68" s="342">
        <f>_xll.qlDayCounterYearFraction(DayCounter,S68,T68,,,Trigger)</f>
        <v>0.25205479452054796</v>
      </c>
      <c r="V68" s="32">
        <f>_xll.qlInterpolationInterpolate(B3Minterpolation,S68,TRUE)</f>
        <v>1.5312057652960749E-3</v>
      </c>
      <c r="W68" s="345">
        <f>_xll.qlYieldTSDiscount(Discounting,S68,,AllTriggers)</f>
        <v>0.99882379473348426</v>
      </c>
      <c r="X68" s="345">
        <f>_xll.qlYieldTSDiscount(Discounting,T68,,AllTriggers)</f>
        <v>0.99766412783910852</v>
      </c>
      <c r="Y68" s="32">
        <f t="shared" ref="Y68:Y131" si="9">(W68/X68-1)/U68</f>
        <v>4.6116245180140587E-3</v>
      </c>
      <c r="Z68" s="451">
        <f t="shared" ref="Z68:Z131" si="10">LN((1+(V68+Y68)*U68)/(1+Y68*U68))</f>
        <v>3.8542537074967418E-4</v>
      </c>
      <c r="AE68" s="33"/>
      <c r="AF68" s="33"/>
    </row>
    <row r="69" spans="6:32" ht="11.25" customHeight="1" x14ac:dyDescent="0.2">
      <c r="F69" s="155"/>
      <c r="G69" s="155"/>
      <c r="H69" s="33"/>
      <c r="L69" s="33"/>
      <c r="M69" s="33"/>
      <c r="S69" s="422">
        <f>_xll.qlCalendarAdvance(Calendar,S68,"1D","f")</f>
        <v>42220</v>
      </c>
      <c r="T69" s="221">
        <f>_xll.qlCalendarAdvance(Calendar,S69,$G$1,"mf",,Trigger)</f>
        <v>42312</v>
      </c>
      <c r="U69" s="342">
        <f>_xll.qlDayCounterYearFraction(DayCounter,S69,T69,,,Trigger)</f>
        <v>0.25205479452054796</v>
      </c>
      <c r="V69" s="32">
        <f>_xll.qlInterpolationInterpolate(B3Minterpolation,S69,TRUE)</f>
        <v>1.532154422493587E-3</v>
      </c>
      <c r="W69" s="345">
        <f>_xll.qlYieldTSDiscount(Discounting,S69,,AllTriggers)</f>
        <v>0.99881147158781003</v>
      </c>
      <c r="X69" s="345">
        <f>_xll.qlYieldTSDiscount(Discounting,T69,,AllTriggers)</f>
        <v>0.9976506139101381</v>
      </c>
      <c r="Y69" s="32">
        <f t="shared" si="9"/>
        <v>4.6164224145867549E-3</v>
      </c>
      <c r="Z69" s="451">
        <f t="shared" si="10"/>
        <v>3.8566364889728818E-4</v>
      </c>
      <c r="AE69" s="33"/>
      <c r="AF69" s="33"/>
    </row>
    <row r="70" spans="6:32" ht="11.25" customHeight="1" x14ac:dyDescent="0.2">
      <c r="F70" s="155"/>
      <c r="G70" s="155"/>
      <c r="H70" s="33"/>
      <c r="L70" s="33"/>
      <c r="M70" s="33"/>
      <c r="S70" s="422">
        <f>_xll.qlCalendarAdvance(Calendar,S69,"1D","f")</f>
        <v>42221</v>
      </c>
      <c r="T70" s="221">
        <f>_xll.qlCalendarAdvance(Calendar,S70,$G$1,"mf",,Trigger)</f>
        <v>42313</v>
      </c>
      <c r="U70" s="342">
        <f>_xll.qlDayCounterYearFraction(DayCounter,S70,T70,,,Trigger)</f>
        <v>0.25205479452054796</v>
      </c>
      <c r="V70" s="32">
        <f>_xll.qlInterpolationInterpolate(B3Minterpolation,S70,TRUE)</f>
        <v>1.5330707164345435E-3</v>
      </c>
      <c r="W70" s="345">
        <f>_xll.qlYieldTSDiscount(Discounting,S70,,AllTriggers)</f>
        <v>0.99879914599602981</v>
      </c>
      <c r="X70" s="345">
        <f>_xll.qlYieldTSDiscount(Discounting,T70,,AllTriggers)</f>
        <v>0.99763705667245239</v>
      </c>
      <c r="Y70" s="32">
        <f t="shared" si="9"/>
        <v>4.6213831437000186E-3</v>
      </c>
      <c r="Z70" s="451">
        <f t="shared" si="10"/>
        <v>3.8589376591633047E-4</v>
      </c>
      <c r="AE70" s="33"/>
      <c r="AF70" s="33"/>
    </row>
    <row r="71" spans="6:32" ht="11.25" customHeight="1" x14ac:dyDescent="0.2">
      <c r="F71" s="155"/>
      <c r="G71" s="155"/>
      <c r="H71" s="33"/>
      <c r="L71" s="33"/>
      <c r="M71" s="33"/>
      <c r="S71" s="422">
        <f>_xll.qlCalendarAdvance(Calendar,S70,"1D","f")</f>
        <v>42222</v>
      </c>
      <c r="T71" s="221">
        <f>_xll.qlCalendarAdvance(Calendar,S71,$G$1,"mf",,Trigger)</f>
        <v>42314</v>
      </c>
      <c r="U71" s="342">
        <f>_xll.qlDayCounterYearFraction(DayCounter,S71,T71,,,Trigger)</f>
        <v>0.25205479452054796</v>
      </c>
      <c r="V71" s="32">
        <f>_xll.qlInterpolationInterpolate(B3Minterpolation,S71,TRUE)</f>
        <v>1.5339558512344905E-3</v>
      </c>
      <c r="W71" s="345">
        <f>_xll.qlYieldTSDiscount(Discounting,S71,,AllTriggers)</f>
        <v>0.99878681776521494</v>
      </c>
      <c r="X71" s="345">
        <f>_xll.qlYieldTSDiscount(Discounting,T71,,AllTriggers)</f>
        <v>0.99762345761361881</v>
      </c>
      <c r="Y71" s="32">
        <f t="shared" si="9"/>
        <v>4.6265000226713131E-3</v>
      </c>
      <c r="Z71" s="451">
        <f t="shared" si="10"/>
        <v>3.8611602549613958E-4</v>
      </c>
      <c r="AE71" s="33"/>
      <c r="AF71" s="33"/>
    </row>
    <row r="72" spans="6:32" ht="11.25" customHeight="1" x14ac:dyDescent="0.2">
      <c r="F72" s="155"/>
      <c r="G72" s="155"/>
      <c r="H72" s="33"/>
      <c r="L72" s="33"/>
      <c r="M72" s="33"/>
      <c r="S72" s="422">
        <f>_xll.qlCalendarAdvance(Calendar,S71,"1D","f")</f>
        <v>42223</v>
      </c>
      <c r="T72" s="221">
        <f>_xll.qlCalendarAdvance(Calendar,S72,$G$1,"mf",,Trigger)</f>
        <v>42317</v>
      </c>
      <c r="U72" s="342">
        <f>_xll.qlDayCounterYearFraction(DayCounter,S72,T72,,,Trigger)</f>
        <v>0.25753424657534246</v>
      </c>
      <c r="V72" s="32">
        <f>_xll.qlInterpolationInterpolate(B3Minterpolation,S72,TRUE)</f>
        <v>1.5348110310089735E-3</v>
      </c>
      <c r="W72" s="345">
        <f>_xll.qlYieldTSDiscount(Discounting,S72,,AllTriggers)</f>
        <v>0.99877448670244651</v>
      </c>
      <c r="X72" s="345">
        <f>_xll.qlYieldTSDiscount(Discounting,T72,,AllTriggers)</f>
        <v>0.99758242438476974</v>
      </c>
      <c r="Y72" s="32">
        <f t="shared" si="9"/>
        <v>4.6399700950682408E-3</v>
      </c>
      <c r="Z72" s="451">
        <f t="shared" si="10"/>
        <v>3.9471673127451911E-4</v>
      </c>
      <c r="AE72" s="33"/>
      <c r="AF72" s="33"/>
    </row>
    <row r="73" spans="6:32" ht="11.25" customHeight="1" x14ac:dyDescent="0.2">
      <c r="F73" s="155"/>
      <c r="G73" s="155"/>
      <c r="H73" s="33"/>
      <c r="L73" s="33"/>
      <c r="M73" s="33"/>
      <c r="S73" s="422">
        <f>_xll.qlCalendarAdvance(Calendar,S72,"1D","f")</f>
        <v>42226</v>
      </c>
      <c r="T73" s="221">
        <f>_xll.qlCalendarAdvance(Calendar,S73,$G$1,"mf",,Trigger)</f>
        <v>42318</v>
      </c>
      <c r="U73" s="342">
        <f>_xll.qlDayCounterYearFraction(DayCounter,S73,T73,,,Trigger)</f>
        <v>0.25205479452054796</v>
      </c>
      <c r="V73" s="32">
        <f>_xll.qlInterpolationInterpolate(B3Minterpolation,S73,TRUE)</f>
        <v>1.537208881335093E-3</v>
      </c>
      <c r="W73" s="345">
        <f>_xll.qlYieldTSDiscount(Discounting,S73,,AllTriggers)</f>
        <v>0.99873747459337237</v>
      </c>
      <c r="X73" s="345">
        <f>_xll.qlYieldTSDiscount(Discounting,T73,,AllTriggers)</f>
        <v>0.99756867291549955</v>
      </c>
      <c r="Y73" s="32">
        <f t="shared" si="9"/>
        <v>4.6483953828932324E-3</v>
      </c>
      <c r="Z73" s="451">
        <f t="shared" si="10"/>
        <v>3.8693256327011023E-4</v>
      </c>
      <c r="AE73" s="33"/>
      <c r="AF73" s="33"/>
    </row>
    <row r="74" spans="6:32" ht="11.25" customHeight="1" x14ac:dyDescent="0.2">
      <c r="F74" s="155"/>
      <c r="G74" s="155"/>
      <c r="H74" s="33"/>
      <c r="L74" s="33"/>
      <c r="M74" s="33"/>
      <c r="S74" s="422">
        <f>_xll.qlCalendarAdvance(Calendar,S73,"1D","f")</f>
        <v>42227</v>
      </c>
      <c r="T74" s="221">
        <f>_xll.qlCalendarAdvance(Calendar,S74,$G$1,"mf",,Trigger)</f>
        <v>42319</v>
      </c>
      <c r="U74" s="342">
        <f>_xll.qlDayCounterYearFraction(DayCounter,S74,T74,,,Trigger)</f>
        <v>0.25205479452054796</v>
      </c>
      <c r="V74" s="32">
        <f>_xll.qlInterpolationInterpolate(B3Minterpolation,S74,TRUE)</f>
        <v>1.537956282163175E-3</v>
      </c>
      <c r="W74" s="345">
        <f>_xll.qlYieldTSDiscount(Discounting,S74,,AllTriggers)</f>
        <v>0.99872513027379028</v>
      </c>
      <c r="X74" s="345">
        <f>_xll.qlYieldTSDiscount(Discounting,T74,,AllTriggers)</f>
        <v>0.99755488706177353</v>
      </c>
      <c r="Y74" s="32">
        <f t="shared" si="9"/>
        <v>4.6541927702867846E-3</v>
      </c>
      <c r="Z74" s="451">
        <f t="shared" si="10"/>
        <v>3.8712009104556228E-4</v>
      </c>
      <c r="AE74" s="33"/>
      <c r="AF74" s="33"/>
    </row>
    <row r="75" spans="6:32" ht="11.25" customHeight="1" x14ac:dyDescent="0.2">
      <c r="F75" s="155"/>
      <c r="G75" s="155"/>
      <c r="H75" s="33"/>
      <c r="L75" s="33"/>
      <c r="M75" s="33"/>
      <c r="S75" s="422">
        <f>_xll.qlCalendarAdvance(Calendar,S74,"1D","f")</f>
        <v>42228</v>
      </c>
      <c r="T75" s="221">
        <f>_xll.qlCalendarAdvance(Calendar,S75,$G$1,"mf",,Trigger)</f>
        <v>42320</v>
      </c>
      <c r="U75" s="342">
        <f>_xll.qlDayCounterYearFraction(DayCounter,S75,T75,,,Trigger)</f>
        <v>0.25205479452054796</v>
      </c>
      <c r="V75" s="32">
        <f>_xll.qlInterpolationInterpolate(B3Minterpolation,S75,TRUE)</f>
        <v>1.5386797485435208E-3</v>
      </c>
      <c r="W75" s="345">
        <f>_xll.qlYieldTSDiscount(Discounting,S75,,AllTriggers)</f>
        <v>0.99871278215780301</v>
      </c>
      <c r="X75" s="345">
        <f>_xll.qlYieldTSDiscount(Discounting,T75,,AllTriggers)</f>
        <v>0.99754106831069644</v>
      </c>
      <c r="Y75" s="32">
        <f t="shared" si="9"/>
        <v>4.6601062110326399E-3</v>
      </c>
      <c r="Z75" s="451">
        <f t="shared" si="10"/>
        <v>3.8730158354356389E-4</v>
      </c>
      <c r="AE75" s="33"/>
      <c r="AF75" s="33"/>
    </row>
    <row r="76" spans="6:32" ht="11.25" customHeight="1" x14ac:dyDescent="0.2">
      <c r="F76" s="155"/>
      <c r="G76" s="155"/>
      <c r="H76" s="33"/>
      <c r="L76" s="33"/>
      <c r="M76" s="33"/>
      <c r="S76" s="422">
        <f>_xll.qlCalendarAdvance(Calendar,S75,"1D","f")</f>
        <v>42229</v>
      </c>
      <c r="T76" s="221">
        <f>_xll.qlCalendarAdvance(Calendar,S76,$G$1,"mf",,Trigger)</f>
        <v>42321</v>
      </c>
      <c r="U76" s="342">
        <f>_xll.qlDayCounterYearFraction(DayCounter,S76,T76,,,Trigger)</f>
        <v>0.25205479452054796</v>
      </c>
      <c r="V76" s="32">
        <f>_xll.qlInterpolationInterpolate(B3Minterpolation,S76,TRUE)</f>
        <v>1.5393804845916759E-3</v>
      </c>
      <c r="W76" s="345">
        <f>_xll.qlYieldTSDiscount(Discounting,S76,,AllTriggers)</f>
        <v>0.99870043005254872</v>
      </c>
      <c r="X76" s="345">
        <f>_xll.qlYieldTSDiscount(Discounting,T76,,AllTriggers)</f>
        <v>0.99752721814929457</v>
      </c>
      <c r="Y76" s="32">
        <f t="shared" si="9"/>
        <v>4.6661290222870504E-3</v>
      </c>
      <c r="Z76" s="451">
        <f t="shared" si="10"/>
        <v>3.8747734445890487E-4</v>
      </c>
      <c r="AE76" s="33"/>
      <c r="AF76" s="33"/>
    </row>
    <row r="77" spans="6:32" ht="11.25" customHeight="1" x14ac:dyDescent="0.2">
      <c r="F77" s="155"/>
      <c r="G77" s="155"/>
      <c r="H77" s="33"/>
      <c r="L77" s="33"/>
      <c r="M77" s="33"/>
      <c r="S77" s="422">
        <f>_xll.qlCalendarAdvance(Calendar,S76,"1D","f")</f>
        <v>42230</v>
      </c>
      <c r="T77" s="221">
        <f>_xll.qlCalendarAdvance(Calendar,S77,$G$1,"mf",,Trigger)</f>
        <v>42324</v>
      </c>
      <c r="U77" s="342">
        <f>_xll.qlDayCounterYearFraction(DayCounter,S77,T77,,,Trigger)</f>
        <v>0.25753424657534246</v>
      </c>
      <c r="V77" s="32">
        <f>_xll.qlInterpolationInterpolate(B3Minterpolation,S77,TRUE)</f>
        <v>1.5400596944231859E-3</v>
      </c>
      <c r="W77" s="345">
        <f>_xll.qlYieldTSDiscount(Discounting,S77,,AllTriggers)</f>
        <v>0.99868807376517554</v>
      </c>
      <c r="X77" s="345">
        <f>_xll.qlYieldTSDiscount(Discounting,T77,,AllTriggers)</f>
        <v>0.9974854940722071</v>
      </c>
      <c r="Y77" s="32">
        <f t="shared" si="9"/>
        <v>4.6813626751914354E-3</v>
      </c>
      <c r="Z77" s="451">
        <f t="shared" si="10"/>
        <v>3.9606207869000121E-4</v>
      </c>
      <c r="AE77" s="33"/>
      <c r="AF77" s="33"/>
    </row>
    <row r="78" spans="6:32" ht="11.25" customHeight="1" x14ac:dyDescent="0.2">
      <c r="F78" s="155"/>
      <c r="G78" s="155"/>
      <c r="H78" s="33"/>
      <c r="L78" s="33"/>
      <c r="M78" s="33"/>
      <c r="S78" s="422">
        <f>_xll.qlCalendarAdvance(Calendar,S77,"1D","f")</f>
        <v>42233</v>
      </c>
      <c r="T78" s="221">
        <f>_xll.qlCalendarAdvance(Calendar,S78,$G$1,"mf",,Trigger)</f>
        <v>42325</v>
      </c>
      <c r="U78" s="342">
        <f>_xll.qlDayCounterYearFraction(DayCounter,S78,T78,,,Trigger)</f>
        <v>0.25205479452054796</v>
      </c>
      <c r="V78" s="32">
        <f>_xll.qlInterpolationInterpolate(B3Minterpolation,S78,TRUE)</f>
        <v>1.5419802077733006E-3</v>
      </c>
      <c r="W78" s="345">
        <f>_xll.qlYieldTSDiscount(Discounting,S78,,AllTriggers)</f>
        <v>0.99865097788196633</v>
      </c>
      <c r="X78" s="345">
        <f>_xll.qlYieldTSDiscount(Discounting,T78,,AllTriggers)</f>
        <v>0.99747153313817183</v>
      </c>
      <c r="Y78" s="32">
        <f t="shared" si="9"/>
        <v>4.6911803144573027E-3</v>
      </c>
      <c r="Z78" s="451">
        <f t="shared" si="10"/>
        <v>3.8812914619806995E-4</v>
      </c>
      <c r="AE78" s="33"/>
      <c r="AF78" s="33"/>
    </row>
    <row r="79" spans="6:32" ht="11.25" customHeight="1" x14ac:dyDescent="0.2">
      <c r="F79" s="155"/>
      <c r="G79" s="155"/>
      <c r="H79" s="33"/>
      <c r="L79" s="33"/>
      <c r="M79" s="33"/>
      <c r="S79" s="422">
        <f>_xll.qlCalendarAdvance(Calendar,S78,"1D","f")</f>
        <v>42234</v>
      </c>
      <c r="T79" s="221">
        <f>_xll.qlCalendarAdvance(Calendar,S79,$G$1,"mf",,Trigger)</f>
        <v>42326</v>
      </c>
      <c r="U79" s="342">
        <f>_xll.qlDayCounterYearFraction(DayCounter,S79,T79,,,Trigger)</f>
        <v>0.25205479452054796</v>
      </c>
      <c r="V79" s="32">
        <f>_xll.qlInterpolationInterpolate(B3Minterpolation,S79,TRUE)</f>
        <v>1.5425853538936858E-3</v>
      </c>
      <c r="W79" s="345">
        <f>_xll.qlYieldTSDiscount(Discounting,S79,,AllTriggers)</f>
        <v>0.99863860293778961</v>
      </c>
      <c r="X79" s="345">
        <f>_xll.qlYieldTSDiscount(Discounting,T79,,AllTriggers)</f>
        <v>0.9974575482277418</v>
      </c>
      <c r="Y79" s="32">
        <f t="shared" si="9"/>
        <v>4.6976497344953525E-3</v>
      </c>
      <c r="Z79" s="451">
        <f t="shared" si="10"/>
        <v>3.8828080462501989E-4</v>
      </c>
      <c r="AE79" s="33"/>
      <c r="AF79" s="33"/>
    </row>
    <row r="80" spans="6:32" ht="11.25" customHeight="1" x14ac:dyDescent="0.2">
      <c r="F80" s="155"/>
      <c r="G80" s="155"/>
      <c r="H80" s="33"/>
      <c r="L80" s="33"/>
      <c r="M80" s="33"/>
      <c r="S80" s="422">
        <f>_xll.qlCalendarAdvance(Calendar,S79,"1D","f")</f>
        <v>42235</v>
      </c>
      <c r="T80" s="221">
        <f>_xll.qlCalendarAdvance(Calendar,S80,$G$1,"mf",,Trigger)</f>
        <v>42327</v>
      </c>
      <c r="U80" s="342">
        <f>_xll.qlDayCounterYearFraction(DayCounter,S80,T80,,,Trigger)</f>
        <v>0.25205479452054796</v>
      </c>
      <c r="V80" s="32">
        <f>_xll.qlInterpolationInterpolate(B3Minterpolation,S80,TRUE)</f>
        <v>1.5431749943751536E-3</v>
      </c>
      <c r="W80" s="345">
        <f>_xll.qlYieldTSDiscount(Discounting,S80,,AllTriggers)</f>
        <v>0.99862622284737801</v>
      </c>
      <c r="X80" s="345">
        <f>_xll.qlYieldTSDiscount(Discounting,T80,,AllTriggers)</f>
        <v>0.99744354082746023</v>
      </c>
      <c r="Y80" s="32">
        <f t="shared" si="9"/>
        <v>4.704188427284416E-3</v>
      </c>
      <c r="Z80" s="451">
        <f t="shared" si="10"/>
        <v>3.8842855363575352E-4</v>
      </c>
      <c r="AE80" s="33"/>
      <c r="AF80" s="33"/>
    </row>
    <row r="81" spans="6:32" ht="11.25" customHeight="1" x14ac:dyDescent="0.2">
      <c r="F81" s="155"/>
      <c r="G81" s="155"/>
      <c r="H81" s="33"/>
      <c r="L81" s="33"/>
      <c r="M81" s="33"/>
      <c r="S81" s="422">
        <f>_xll.qlCalendarAdvance(Calendar,S80,"1D","f")</f>
        <v>42236</v>
      </c>
      <c r="T81" s="221">
        <f>_xll.qlCalendarAdvance(Calendar,S81,$G$1,"mf",,Trigger)</f>
        <v>42328</v>
      </c>
      <c r="U81" s="342">
        <f>_xll.qlDayCounterYearFraction(DayCounter,S81,T81,,,Trigger)</f>
        <v>0.25205479452054796</v>
      </c>
      <c r="V81" s="32">
        <f>_xll.qlInterpolationInterpolate(B3Minterpolation,S81,TRUE)</f>
        <v>1.5437503333332497E-3</v>
      </c>
      <c r="W81" s="345">
        <f>_xll.qlYieldTSDiscount(Discounting,S81,,AllTriggers)</f>
        <v>0.99861383741793752</v>
      </c>
      <c r="X81" s="345">
        <f>_xll.qlYieldTSDiscount(Discounting,T81,,AllTriggers)</f>
        <v>0.9974295124237883</v>
      </c>
      <c r="Y81" s="32">
        <f t="shared" si="9"/>
        <v>4.7107897097323215E-3</v>
      </c>
      <c r="Z81" s="451">
        <f t="shared" si="10"/>
        <v>3.8857269692317461E-4</v>
      </c>
      <c r="AE81" s="33"/>
      <c r="AF81" s="33"/>
    </row>
    <row r="82" spans="6:32" ht="11.25" customHeight="1" x14ac:dyDescent="0.2">
      <c r="F82" s="155"/>
      <c r="G82" s="155"/>
      <c r="H82" s="33"/>
      <c r="L82" s="33"/>
      <c r="M82" s="33"/>
      <c r="S82" s="422">
        <f>_xll.qlCalendarAdvance(Calendar,S81,"1D","f")</f>
        <v>42237</v>
      </c>
      <c r="T82" s="221">
        <f>_xll.qlCalendarAdvance(Calendar,S82,$G$1,"mf",,Trigger)</f>
        <v>42331</v>
      </c>
      <c r="U82" s="342">
        <f>_xll.qlDayCounterYearFraction(DayCounter,S82,T82,,,Trigger)</f>
        <v>0.25753424657534246</v>
      </c>
      <c r="V82" s="32">
        <f>_xll.qlInterpolationInterpolate(B3Minterpolation,S82,TRUE)</f>
        <v>1.5443125748835196E-3</v>
      </c>
      <c r="W82" s="345">
        <f>_xll.qlYieldTSDiscount(Discounting,S82,,AllTriggers)</f>
        <v>0.99860144645668336</v>
      </c>
      <c r="X82" s="345">
        <f>_xll.qlYieldTSDiscount(Discounting,T82,,AllTriggers)</f>
        <v>0.99738731605580733</v>
      </c>
      <c r="Y82" s="32">
        <f t="shared" si="9"/>
        <v>4.7267921279403012E-3</v>
      </c>
      <c r="Z82" s="451">
        <f t="shared" si="10"/>
        <v>3.9715094839641943E-4</v>
      </c>
      <c r="AE82" s="33"/>
      <c r="AF82" s="33"/>
    </row>
    <row r="83" spans="6:32" ht="11.25" customHeight="1" x14ac:dyDescent="0.2">
      <c r="F83" s="155"/>
      <c r="G83" s="155"/>
      <c r="H83" s="33"/>
      <c r="L83" s="33"/>
      <c r="M83" s="33"/>
      <c r="S83" s="422">
        <f>_xll.qlCalendarAdvance(Calendar,S82,"1D","f")</f>
        <v>42240</v>
      </c>
      <c r="T83" s="221">
        <f>_xll.qlCalendarAdvance(Calendar,S83,$G$1,"mf",,Trigger)</f>
        <v>42332</v>
      </c>
      <c r="U83" s="342">
        <f>_xll.qlDayCounterYearFraction(DayCounter,S83,T83,,,Trigger)</f>
        <v>0.25205479452054796</v>
      </c>
      <c r="V83" s="32">
        <f>_xll.qlInterpolationInterpolate(B3Minterpolation,S83,TRUE)</f>
        <v>1.5459327562428282E-3</v>
      </c>
      <c r="W83" s="345">
        <f>_xll.qlYieldTSDiscount(Discounting,S83,,AllTriggers)</f>
        <v>0.99856423845433817</v>
      </c>
      <c r="X83" s="345">
        <f>_xll.qlYieldTSDiscount(Discounting,T83,,AllTriggers)</f>
        <v>0.99737321850153771</v>
      </c>
      <c r="Y83" s="32">
        <f t="shared" si="9"/>
        <v>4.7376870727933651E-3</v>
      </c>
      <c r="Z83" s="451">
        <f t="shared" si="10"/>
        <v>3.8911928665005515E-4</v>
      </c>
      <c r="AE83" s="33"/>
      <c r="AF83" s="33"/>
    </row>
    <row r="84" spans="6:32" ht="11.25" customHeight="1" x14ac:dyDescent="0.2">
      <c r="F84" s="155"/>
      <c r="G84" s="155"/>
      <c r="H84" s="33"/>
      <c r="L84" s="33"/>
      <c r="M84" s="33"/>
      <c r="S84" s="422">
        <f>_xll.qlCalendarAdvance(Calendar,S83,"1D","f")</f>
        <v>42241</v>
      </c>
      <c r="T84" s="221">
        <f>_xll.qlCalendarAdvance(Calendar,S84,$G$1,"mf",,Trigger)</f>
        <v>42333</v>
      </c>
      <c r="U84" s="342">
        <f>_xll.qlDayCounterYearFraction(DayCounter,S84,T84,,,Trigger)</f>
        <v>0.25205479452054796</v>
      </c>
      <c r="V84" s="32">
        <f>_xll.qlInterpolationInterpolate(B3Minterpolation,S84,TRUE)</f>
        <v>1.5464546493172491E-3</v>
      </c>
      <c r="W84" s="345">
        <f>_xll.qlYieldTSDiscount(Discounting,S84,,AllTriggers)</f>
        <v>0.99855182343817706</v>
      </c>
      <c r="X84" s="345">
        <f>_xll.qlYieldTSDiscount(Discounting,T84,,AllTriggers)</f>
        <v>0.99735910737494504</v>
      </c>
      <c r="Y84" s="32">
        <f t="shared" si="9"/>
        <v>4.7445010556702921E-3</v>
      </c>
      <c r="Z84" s="451">
        <f t="shared" si="10"/>
        <v>3.89249956669957E-4</v>
      </c>
      <c r="AE84" s="33"/>
      <c r="AF84" s="33"/>
    </row>
    <row r="85" spans="6:32" ht="11.25" customHeight="1" x14ac:dyDescent="0.2">
      <c r="F85" s="155"/>
      <c r="G85" s="155"/>
      <c r="H85" s="33"/>
      <c r="L85" s="33"/>
      <c r="M85" s="33"/>
      <c r="S85" s="422">
        <f>_xll.qlCalendarAdvance(Calendar,S84,"1D","f")</f>
        <v>42242</v>
      </c>
      <c r="T85" s="221">
        <f>_xll.qlCalendarAdvance(Calendar,S85,$G$1,"mf",,Trigger)</f>
        <v>42334</v>
      </c>
      <c r="U85" s="342">
        <f>_xll.qlDayCounterYearFraction(DayCounter,S85,T85,,,Trigger)</f>
        <v>0.25205479452054796</v>
      </c>
      <c r="V85" s="32">
        <f>_xll.qlInterpolationInterpolate(B3Minterpolation,S85,TRUE)</f>
        <v>1.5469694655615718E-3</v>
      </c>
      <c r="W85" s="345">
        <f>_xll.qlYieldTSDiscount(Discounting,S85,,AllTriggers)</f>
        <v>0.99853940192642454</v>
      </c>
      <c r="X85" s="345">
        <f>_xll.qlYieldTSDiscount(Discounting,T85,,AllTriggers)</f>
        <v>0.99734498416199369</v>
      </c>
      <c r="Y85" s="32">
        <f t="shared" si="9"/>
        <v>4.7513375287518318E-3</v>
      </c>
      <c r="Z85" s="451">
        <f t="shared" si="10"/>
        <v>3.8937884309845234E-4</v>
      </c>
      <c r="AE85" s="33"/>
      <c r="AF85" s="33"/>
    </row>
    <row r="86" spans="6:32" ht="11.25" customHeight="1" x14ac:dyDescent="0.2">
      <c r="F86" s="155"/>
      <c r="G86" s="155"/>
      <c r="H86" s="33"/>
      <c r="L86" s="33"/>
      <c r="M86" s="33"/>
      <c r="S86" s="422">
        <f>_xll.qlCalendarAdvance(Calendar,S85,"1D","f")</f>
        <v>42243</v>
      </c>
      <c r="T86" s="221">
        <f>_xll.qlCalendarAdvance(Calendar,S86,$G$1,"mf",,Trigger)</f>
        <v>42335</v>
      </c>
      <c r="U86" s="342">
        <f>_xll.qlDayCounterYearFraction(DayCounter,S86,T86,,,Trigger)</f>
        <v>0.25205479452054796</v>
      </c>
      <c r="V86" s="32">
        <f>_xll.qlInterpolationInterpolate(B3Minterpolation,S86,TRUE)</f>
        <v>1.5474784090913417E-3</v>
      </c>
      <c r="W86" s="345">
        <f>_xll.qlYieldTSDiscount(Discounting,S86,,AllTriggers)</f>
        <v>0.99852697372635424</v>
      </c>
      <c r="X86" s="345">
        <f>_xll.qlYieldTSDiscount(Discounting,T86,,AllTriggers)</f>
        <v>0.99733085034856372</v>
      </c>
      <c r="Y86" s="32">
        <f t="shared" si="9"/>
        <v>4.7581898086427729E-3</v>
      </c>
      <c r="Z86" s="451">
        <f t="shared" si="10"/>
        <v>3.8950624962023759E-4</v>
      </c>
      <c r="AE86" s="33"/>
      <c r="AF86" s="33"/>
    </row>
    <row r="87" spans="6:32" ht="11.25" customHeight="1" x14ac:dyDescent="0.2">
      <c r="F87" s="155"/>
      <c r="G87" s="155"/>
      <c r="H87" s="33"/>
      <c r="L87" s="33"/>
      <c r="M87" s="33"/>
      <c r="S87" s="422">
        <f>_xll.qlCalendarAdvance(Calendar,S86,"1D","f")</f>
        <v>42244</v>
      </c>
      <c r="T87" s="221">
        <f>_xll.qlCalendarAdvance(Calendar,S87,$G$1,"mf",,Trigger)</f>
        <v>42338</v>
      </c>
      <c r="U87" s="342">
        <f>_xll.qlDayCounterYearFraction(DayCounter,S87,T87,,,Trigger)</f>
        <v>0.25753424657534246</v>
      </c>
      <c r="V87" s="32">
        <f>_xll.qlInterpolationInterpolate(B3Minterpolation,S87,TRUE)</f>
        <v>1.5479826840221046E-3</v>
      </c>
      <c r="W87" s="345">
        <f>_xll.qlYieldTSDiscount(Discounting,S87,,AllTriggers)</f>
        <v>0.99851453864524942</v>
      </c>
      <c r="X87" s="345">
        <f>_xll.qlYieldTSDiscount(Discounting,T87,,AllTriggers)</f>
        <v>0.99728840016294806</v>
      </c>
      <c r="Y87" s="32">
        <f t="shared" si="9"/>
        <v>4.7740148566306441E-3</v>
      </c>
      <c r="Z87" s="451">
        <f t="shared" si="10"/>
        <v>3.9808976820977278E-4</v>
      </c>
      <c r="AE87" s="33"/>
      <c r="AF87" s="33"/>
    </row>
    <row r="88" spans="6:32" ht="11.25" customHeight="1" x14ac:dyDescent="0.2">
      <c r="F88" s="155"/>
      <c r="G88" s="155"/>
      <c r="H88" s="33"/>
      <c r="L88" s="33"/>
      <c r="M88" s="33"/>
      <c r="S88" s="422">
        <f>_xll.qlCalendarAdvance(Calendar,S87,"1D","f")</f>
        <v>42248</v>
      </c>
      <c r="T88" s="221">
        <f>_xll.qlCalendarAdvance(Calendar,S88,$G$1,"mf",,Trigger)</f>
        <v>42339</v>
      </c>
      <c r="U88" s="342">
        <f>_xll.qlDayCounterYearFraction(DayCounter,S88,T88,,,Trigger)</f>
        <v>0.24931506849315069</v>
      </c>
      <c r="V88" s="32">
        <f>_xll.qlInterpolationInterpolate(B3Minterpolation,S88,TRUE)</f>
        <v>1.5499771800659957E-3</v>
      </c>
      <c r="W88" s="345">
        <f>_xll.qlYieldTSDiscount(Discounting,S88,,AllTriggers)</f>
        <v>0.99846473016435033</v>
      </c>
      <c r="X88" s="345">
        <f>_xll.qlYieldTSDiscount(Discounting,T88,,AllTriggers)</f>
        <v>0.99727423854253228</v>
      </c>
      <c r="Y88" s="32">
        <f t="shared" si="9"/>
        <v>4.7881000313065858E-3</v>
      </c>
      <c r="Z88" s="451">
        <f t="shared" si="10"/>
        <v>3.858974465814513E-4</v>
      </c>
      <c r="AE88" s="33"/>
      <c r="AF88" s="33"/>
    </row>
    <row r="89" spans="6:32" ht="11.25" customHeight="1" x14ac:dyDescent="0.2">
      <c r="F89" s="155"/>
      <c r="G89" s="155"/>
      <c r="H89" s="33"/>
      <c r="L89" s="33"/>
      <c r="M89" s="33"/>
      <c r="S89" s="422">
        <f>_xll.qlCalendarAdvance(Calendar,S88,"1D","f")</f>
        <v>42249</v>
      </c>
      <c r="T89" s="221">
        <f>_xll.qlCalendarAdvance(Calendar,S89,$G$1,"mf",,Trigger)</f>
        <v>42340</v>
      </c>
      <c r="U89" s="342">
        <f>_xll.qlDayCounterYearFraction(DayCounter,S89,T89,,,Trigger)</f>
        <v>0.24931506849315069</v>
      </c>
      <c r="V89" s="32">
        <f>_xll.qlInterpolationInterpolate(B3Minterpolation,S89,TRUE)</f>
        <v>1.5504761737349061E-3</v>
      </c>
      <c r="W89" s="345">
        <f>_xll.qlYieldTSDiscount(Discounting,S89,,AllTriggers)</f>
        <v>0.99845226208410598</v>
      </c>
      <c r="X89" s="345">
        <f>_xll.qlYieldTSDiscount(Discounting,T89,,AllTriggers)</f>
        <v>0.99726007217662882</v>
      </c>
      <c r="Y89" s="32">
        <f t="shared" si="9"/>
        <v>4.7949985678922002E-3</v>
      </c>
      <c r="Z89" s="451">
        <f t="shared" si="10"/>
        <v>3.8602099393864476E-4</v>
      </c>
      <c r="AE89" s="33"/>
      <c r="AF89" s="33"/>
    </row>
    <row r="90" spans="6:32" ht="11.25" customHeight="1" x14ac:dyDescent="0.2">
      <c r="F90" s="155"/>
      <c r="G90" s="155"/>
      <c r="H90" s="33"/>
      <c r="L90" s="33"/>
      <c r="M90" s="33"/>
      <c r="S90" s="422">
        <f>_xll.qlCalendarAdvance(Calendar,S89,"1D","f")</f>
        <v>42250</v>
      </c>
      <c r="T90" s="221">
        <f>_xll.qlCalendarAdvance(Calendar,S90,$G$1,"mf",,Trigger)</f>
        <v>42341</v>
      </c>
      <c r="U90" s="342">
        <f>_xll.qlDayCounterYearFraction(DayCounter,S90,T90,,,Trigger)</f>
        <v>0.24931506849315069</v>
      </c>
      <c r="V90" s="32">
        <f>_xll.qlInterpolationInterpolate(B3Minterpolation,S90,TRUE)</f>
        <v>1.5509777234980829E-3</v>
      </c>
      <c r="W90" s="345">
        <f>_xll.qlYieldTSDiscount(Discounting,S90,,AllTriggers)</f>
        <v>0.99843978807963008</v>
      </c>
      <c r="X90" s="345">
        <f>_xll.qlYieldTSDiscount(Discounting,T90,,AllTriggers)</f>
        <v>0.99724590097754451</v>
      </c>
      <c r="Y90" s="32">
        <f t="shared" si="9"/>
        <v>4.8018929354660357E-3</v>
      </c>
      <c r="Z90" s="451">
        <f t="shared" si="10"/>
        <v>3.8614517752170888E-4</v>
      </c>
      <c r="AE90" s="33"/>
      <c r="AF90" s="33"/>
    </row>
    <row r="91" spans="6:32" ht="11.25" customHeight="1" x14ac:dyDescent="0.2">
      <c r="F91" s="155"/>
      <c r="G91" s="155"/>
      <c r="H91" s="33"/>
      <c r="L91" s="33"/>
      <c r="M91" s="33"/>
      <c r="S91" s="422">
        <f>_xll.qlCalendarAdvance(Calendar,S90,"1D","f")</f>
        <v>42251</v>
      </c>
      <c r="T91" s="221">
        <f>_xll.qlCalendarAdvance(Calendar,S91,$G$1,"mf",,Trigger)</f>
        <v>42342</v>
      </c>
      <c r="U91" s="342">
        <f>_xll.qlDayCounterYearFraction(DayCounter,S91,T91,,,Trigger)</f>
        <v>0.24931506849315069</v>
      </c>
      <c r="V91" s="32">
        <f>_xll.qlInterpolationInterpolate(B3Minterpolation,S91,TRUE)</f>
        <v>1.5514830334710714E-3</v>
      </c>
      <c r="W91" s="345">
        <f>_xll.qlYieldTSDiscount(Discounting,S91,,AllTriggers)</f>
        <v>0.99842730838079097</v>
      </c>
      <c r="X91" s="345">
        <f>_xll.qlYieldTSDiscount(Discounting,T91,,AllTriggers)</f>
        <v>0.99723172485759104</v>
      </c>
      <c r="Y91" s="32">
        <f t="shared" si="9"/>
        <v>4.8087844116265236E-3</v>
      </c>
      <c r="Z91" s="451">
        <f t="shared" si="10"/>
        <v>3.8627029693401663E-4</v>
      </c>
      <c r="AE91" s="33"/>
      <c r="AF91" s="33"/>
    </row>
    <row r="92" spans="6:32" ht="11.25" customHeight="1" x14ac:dyDescent="0.2">
      <c r="F92" s="155"/>
      <c r="G92" s="155"/>
      <c r="H92" s="33"/>
      <c r="L92" s="33"/>
      <c r="M92" s="33"/>
      <c r="S92" s="422">
        <f>_xll.qlCalendarAdvance(Calendar,S91,"1D","f")</f>
        <v>42254</v>
      </c>
      <c r="T92" s="221">
        <f>_xll.qlCalendarAdvance(Calendar,S92,$G$1,"mf",,Trigger)</f>
        <v>42345</v>
      </c>
      <c r="U92" s="342">
        <f>_xll.qlDayCounterYearFraction(DayCounter,S92,T92,,,Trigger)</f>
        <v>0.24931506849315069</v>
      </c>
      <c r="V92" s="32">
        <f>_xll.qlInterpolationInterpolate(B3Minterpolation,S92,TRUE)</f>
        <v>1.5530335658043638E-3</v>
      </c>
      <c r="W92" s="345">
        <f>_xll.qlYieldTSDiscount(Discounting,S92,,AllTriggers)</f>
        <v>0.99838983741660614</v>
      </c>
      <c r="X92" s="345">
        <f>_xll.qlYieldTSDiscount(Discounting,T92,,AllTriggers)</f>
        <v>0.99718916609571007</v>
      </c>
      <c r="Y92" s="32">
        <f t="shared" si="9"/>
        <v>4.8294542677190739E-3</v>
      </c>
      <c r="Z92" s="451">
        <f t="shared" si="10"/>
        <v>3.8665426613765711E-4</v>
      </c>
      <c r="AE92" s="33"/>
      <c r="AF92" s="33"/>
    </row>
    <row r="93" spans="6:32" ht="11.25" customHeight="1" x14ac:dyDescent="0.2">
      <c r="F93" s="155"/>
      <c r="G93" s="155"/>
      <c r="H93" s="33"/>
      <c r="L93" s="33"/>
      <c r="M93" s="33"/>
      <c r="S93" s="422">
        <f>_xll.qlCalendarAdvance(Calendar,S92,"1D","f")</f>
        <v>42255</v>
      </c>
      <c r="T93" s="221">
        <f>_xll.qlCalendarAdvance(Calendar,S93,$G$1,"mf",,Trigger)</f>
        <v>42346</v>
      </c>
      <c r="U93" s="342">
        <f>_xll.qlDayCounterYearFraction(DayCounter,S93,T93,,,Trigger)</f>
        <v>0.24931506849315069</v>
      </c>
      <c r="V93" s="32">
        <f>_xll.qlInterpolationInterpolate(B3Minterpolation,S93,TRUE)</f>
        <v>1.5535659577720553E-3</v>
      </c>
      <c r="W93" s="345">
        <f>_xll.qlYieldTSDiscount(Discounting,S93,,AllTriggers)</f>
        <v>0.99837733723876909</v>
      </c>
      <c r="X93" s="345">
        <f>_xll.qlYieldTSDiscount(Discounting,T93,,AllTriggers)</f>
        <v>0.99717496941549955</v>
      </c>
      <c r="Y93" s="32">
        <f t="shared" si="9"/>
        <v>4.8363469543645466E-3</v>
      </c>
      <c r="Z93" s="451">
        <f t="shared" si="10"/>
        <v>3.8678612484719022E-4</v>
      </c>
      <c r="AE93" s="33"/>
      <c r="AF93" s="33"/>
    </row>
    <row r="94" spans="6:32" ht="11.25" customHeight="1" x14ac:dyDescent="0.2">
      <c r="F94" s="155"/>
      <c r="G94" s="155"/>
      <c r="H94" s="33"/>
      <c r="L94" s="33"/>
      <c r="M94" s="33"/>
      <c r="S94" s="422">
        <f>_xll.qlCalendarAdvance(Calendar,S93,"1D","f")</f>
        <v>42256</v>
      </c>
      <c r="T94" s="221">
        <f>_xll.qlCalendarAdvance(Calendar,S94,$G$1,"mf",,Trigger)</f>
        <v>42347</v>
      </c>
      <c r="U94" s="342">
        <f>_xll.qlDayCounterYearFraction(DayCounter,S94,T94,,,Trigger)</f>
        <v>0.24931506849315069</v>
      </c>
      <c r="V94" s="32">
        <f>_xll.qlInterpolationInterpolate(B3Minterpolation,S94,TRUE)</f>
        <v>1.5541081305272865E-3</v>
      </c>
      <c r="W94" s="345">
        <f>_xll.qlYieldTSDiscount(Discounting,S94,,AllTriggers)</f>
        <v>0.99836483251573926</v>
      </c>
      <c r="X94" s="345">
        <f>_xll.qlYieldTSDiscount(Discounting,T94,,AllTriggers)</f>
        <v>0.99716076737605497</v>
      </c>
      <c r="Y94" s="32">
        <f t="shared" si="9"/>
        <v>4.8432431377108355E-3</v>
      </c>
      <c r="Z94" s="451">
        <f t="shared" si="10"/>
        <v>3.8692041736451536E-4</v>
      </c>
      <c r="AE94" s="33"/>
      <c r="AF94" s="33"/>
    </row>
    <row r="95" spans="6:32" ht="11.25" customHeight="1" x14ac:dyDescent="0.2">
      <c r="F95" s="155"/>
      <c r="G95" s="155"/>
      <c r="H95" s="33"/>
      <c r="L95" s="33"/>
      <c r="M95" s="33"/>
      <c r="S95" s="422">
        <f>_xll.qlCalendarAdvance(Calendar,S94,"1D","f")</f>
        <v>42257</v>
      </c>
      <c r="T95" s="221">
        <f>_xll.qlCalendarAdvance(Calendar,S95,$G$1,"mf",,Trigger)</f>
        <v>42348</v>
      </c>
      <c r="U95" s="342">
        <f>_xll.qlDayCounterYearFraction(DayCounter,S95,T95,,,Trigger)</f>
        <v>0.24931506849315069</v>
      </c>
      <c r="V95" s="32">
        <f>_xll.qlInterpolationInterpolate(B3Minterpolation,S95,TRUE)</f>
        <v>1.5546612881856029E-3</v>
      </c>
      <c r="W95" s="345">
        <f>_xll.qlYieldTSDiscount(Discounting,S95,,AllTriggers)</f>
        <v>0.99835232347731639</v>
      </c>
      <c r="X95" s="345">
        <f>_xll.qlYieldTSDiscount(Discounting,T95,,AllTriggers)</f>
        <v>0.99714655988971868</v>
      </c>
      <c r="Y95" s="32">
        <f t="shared" si="9"/>
        <v>4.8501440954080268E-3</v>
      </c>
      <c r="Z95" s="451">
        <f t="shared" si="10"/>
        <v>3.8705744327804291E-4</v>
      </c>
      <c r="AE95" s="33"/>
      <c r="AF95" s="33"/>
    </row>
    <row r="96" spans="6:32" ht="11.25" customHeight="1" x14ac:dyDescent="0.2">
      <c r="F96" s="155"/>
      <c r="G96" s="155"/>
      <c r="H96" s="33"/>
      <c r="L96" s="33"/>
      <c r="M96" s="33"/>
      <c r="S96" s="422">
        <f>_xll.qlCalendarAdvance(Calendar,S95,"1D","f")</f>
        <v>42258</v>
      </c>
      <c r="T96" s="221">
        <f>_xll.qlCalendarAdvance(Calendar,S96,$G$1,"mf",,Trigger)</f>
        <v>42349</v>
      </c>
      <c r="U96" s="342">
        <f>_xll.qlDayCounterYearFraction(DayCounter,S96,T96,,,Trigger)</f>
        <v>0.24931506849315069</v>
      </c>
      <c r="V96" s="32">
        <f>_xll.qlInterpolationInterpolate(B3Minterpolation,S96,TRUE)</f>
        <v>1.5552266348625502E-3</v>
      </c>
      <c r="W96" s="345">
        <f>_xll.qlYieldTSDiscount(Discounting,S96,,AllTriggers)</f>
        <v>0.998339810353289</v>
      </c>
      <c r="X96" s="345">
        <f>_xll.qlYieldTSDiscount(Discounting,T96,,AllTriggers)</f>
        <v>0.99713234686883789</v>
      </c>
      <c r="Y96" s="32">
        <f t="shared" si="9"/>
        <v>4.8570511051133315E-3</v>
      </c>
      <c r="Z96" s="451">
        <f t="shared" si="10"/>
        <v>3.8719750217400056E-4</v>
      </c>
      <c r="AE96" s="33"/>
      <c r="AF96" s="33"/>
    </row>
    <row r="97" spans="6:32" ht="11.25" customHeight="1" x14ac:dyDescent="0.2">
      <c r="F97" s="155"/>
      <c r="G97" s="155"/>
      <c r="H97" s="33"/>
      <c r="L97" s="33"/>
      <c r="M97" s="33"/>
      <c r="S97" s="422">
        <f>_xll.qlCalendarAdvance(Calendar,S96,"1D","f")</f>
        <v>42261</v>
      </c>
      <c r="T97" s="221">
        <f>_xll.qlCalendarAdvance(Calendar,S97,$G$1,"mf",,Trigger)</f>
        <v>42352</v>
      </c>
      <c r="U97" s="342">
        <f>_xll.qlDayCounterYearFraction(DayCounter,S97,T97,,,Trigger)</f>
        <v>0.24931506849315069</v>
      </c>
      <c r="V97" s="32">
        <f>_xll.qlInterpolationInterpolate(B3Minterpolation,S97,TRUE)</f>
        <v>1.5570078501606324E-3</v>
      </c>
      <c r="W97" s="345">
        <f>_xll.qlYieldTSDiscount(Discounting,S97,,AllTriggers)</f>
        <v>0.99830224876529061</v>
      </c>
      <c r="X97" s="345">
        <f>_xll.qlYieldTSDiscount(Discounting,T97,,AllTriggers)</f>
        <v>0.99708967372247947</v>
      </c>
      <c r="Y97" s="32">
        <f t="shared" si="9"/>
        <v>4.8778212229969855E-3</v>
      </c>
      <c r="Z97" s="451">
        <f t="shared" si="10"/>
        <v>3.8763887258092011E-4</v>
      </c>
      <c r="AE97" s="33"/>
      <c r="AF97" s="33"/>
    </row>
    <row r="98" spans="6:32" ht="11.25" customHeight="1" x14ac:dyDescent="0.2">
      <c r="F98" s="155"/>
      <c r="G98" s="155"/>
      <c r="H98" s="33"/>
      <c r="L98" s="33"/>
      <c r="M98" s="33"/>
      <c r="S98" s="422">
        <f>_xll.qlCalendarAdvance(Calendar,S97,"1D","f")</f>
        <v>42262</v>
      </c>
      <c r="T98" s="221">
        <f>_xll.qlCalendarAdvance(Calendar,S98,$G$1,"mf",,Trigger)</f>
        <v>42353</v>
      </c>
      <c r="U98" s="342">
        <f>_xll.qlDayCounterYearFraction(DayCounter,S98,T98,,,Trigger)</f>
        <v>0.24931506849315069</v>
      </c>
      <c r="V98" s="32">
        <f>_xll.qlInterpolationInterpolate(B3Minterpolation,S98,TRUE)</f>
        <v>1.5576339940675586E-3</v>
      </c>
      <c r="W98" s="345">
        <f>_xll.qlYieldTSDiscount(Discounting,S98,,AllTriggers)</f>
        <v>0.99828972159649898</v>
      </c>
      <c r="X98" s="345">
        <f>_xll.qlYieldTSDiscount(Discounting,T98,,AllTriggers)</f>
        <v>0.99707543768699691</v>
      </c>
      <c r="Y98" s="32">
        <f t="shared" si="9"/>
        <v>4.884765217496553E-3</v>
      </c>
      <c r="Z98" s="451">
        <f t="shared" si="10"/>
        <v>3.8779405921824143E-4</v>
      </c>
      <c r="AE98" s="33"/>
      <c r="AF98" s="33"/>
    </row>
    <row r="99" spans="6:32" ht="11.25" customHeight="1" x14ac:dyDescent="0.2">
      <c r="F99" s="155"/>
      <c r="G99" s="155"/>
      <c r="H99" s="33"/>
      <c r="L99" s="33"/>
      <c r="M99" s="33"/>
      <c r="S99" s="422">
        <f>_xll.qlCalendarAdvance(Calendar,S98,"1D","f")</f>
        <v>42263</v>
      </c>
      <c r="T99" s="221">
        <f>_xll.qlCalendarAdvance(Calendar,S99,$G$1,"mf",,Trigger)</f>
        <v>42354</v>
      </c>
      <c r="U99" s="342">
        <f>_xll.qlDayCounterYearFraction(DayCounter,S99,T99,,,Trigger)</f>
        <v>0.24931506849315069</v>
      </c>
      <c r="V99" s="32">
        <f>_xll.qlInterpolationInterpolate(B3Minterpolation,S99,TRUE)</f>
        <v>1.5582783475708434E-3</v>
      </c>
      <c r="W99" s="345">
        <f>_xll.qlYieldTSDiscount(Discounting,S99,,AllTriggers)</f>
        <v>0.99827719149087257</v>
      </c>
      <c r="X99" s="345">
        <f>_xll.qlYieldTSDiscount(Discounting,T99,,AllTriggers)</f>
        <v>0.99706119567878337</v>
      </c>
      <c r="Y99" s="32">
        <f t="shared" si="9"/>
        <v>4.8917216524292234E-3</v>
      </c>
      <c r="Z99" s="451">
        <f t="shared" si="10"/>
        <v>3.8795377673117408E-4</v>
      </c>
      <c r="AE99" s="33"/>
      <c r="AF99" s="33"/>
    </row>
    <row r="100" spans="6:32" ht="11.25" customHeight="1" x14ac:dyDescent="0.2">
      <c r="F100" s="155"/>
      <c r="G100" s="155"/>
      <c r="H100" s="33"/>
      <c r="L100" s="33"/>
      <c r="M100" s="33"/>
      <c r="S100" s="422">
        <f>_xll.qlCalendarAdvance(Calendar,S99,"1D","f")</f>
        <v>42264</v>
      </c>
      <c r="T100" s="221">
        <f>_xll.qlCalendarAdvance(Calendar,S100,$G$1,"mf",,Trigger)</f>
        <v>42355</v>
      </c>
      <c r="U100" s="342">
        <f>_xll.qlDayCounterYearFraction(DayCounter,S100,T100,,,Trigger)</f>
        <v>0.24931506849315069</v>
      </c>
      <c r="V100" s="32">
        <f>_xll.qlInterpolationInterpolate(B3Minterpolation,S100,TRUE)</f>
        <v>1.5589419221778914E-3</v>
      </c>
      <c r="W100" s="345">
        <f>_xll.qlYieldTSDiscount(Discounting,S100,,AllTriggers)</f>
        <v>0.99826465867813063</v>
      </c>
      <c r="X100" s="345">
        <f>_xll.qlYieldTSDiscount(Discounting,T100,,AllTriggers)</f>
        <v>0.99704694761021706</v>
      </c>
      <c r="Y100" s="32">
        <f t="shared" si="9"/>
        <v>4.8986918055038652E-3</v>
      </c>
      <c r="Z100" s="451">
        <f t="shared" si="10"/>
        <v>3.8811827674761572E-4</v>
      </c>
      <c r="AE100" s="33"/>
      <c r="AF100" s="33"/>
    </row>
    <row r="101" spans="6:32" ht="11.25" customHeight="1" x14ac:dyDescent="0.2">
      <c r="F101" s="155"/>
      <c r="G101" s="155"/>
      <c r="H101" s="33"/>
      <c r="L101" s="33"/>
      <c r="M101" s="33"/>
      <c r="S101" s="422">
        <f>_xll.qlCalendarAdvance(Calendar,S100,"1D","f")</f>
        <v>42265</v>
      </c>
      <c r="T101" s="221">
        <f>_xll.qlCalendarAdvance(Calendar,S101,$G$1,"mf",,Trigger)</f>
        <v>42356</v>
      </c>
      <c r="U101" s="342">
        <f>_xll.qlDayCounterYearFraction(DayCounter,S101,T101,,,Trigger)</f>
        <v>0.24931506849315069</v>
      </c>
      <c r="V101" s="32">
        <f>_xll.qlInterpolationInterpolate(B3Minterpolation,S101,TRUE)</f>
        <v>1.5596249589635428E-3</v>
      </c>
      <c r="W101" s="345">
        <f>_xll.qlYieldTSDiscount(Discounting,S101,,AllTriggers)</f>
        <v>0.9982521233879813</v>
      </c>
      <c r="X101" s="345">
        <f>_xll.qlYieldTSDiscount(Discounting,T101,,AllTriggers)</f>
        <v>0.99703269339368106</v>
      </c>
      <c r="Y101" s="32">
        <f t="shared" si="9"/>
        <v>4.9056769544444838E-3</v>
      </c>
      <c r="Z101" s="451">
        <f t="shared" si="10"/>
        <v>3.8828761912228286E-4</v>
      </c>
      <c r="AE101" s="33"/>
      <c r="AF101" s="33"/>
    </row>
    <row r="102" spans="6:32" ht="11.25" customHeight="1" x14ac:dyDescent="0.2">
      <c r="F102" s="155"/>
      <c r="G102" s="155"/>
      <c r="H102" s="33"/>
      <c r="L102" s="33"/>
      <c r="M102" s="33"/>
      <c r="S102" s="422">
        <f>_xll.qlCalendarAdvance(Calendar,S101,"1D","f")</f>
        <v>42268</v>
      </c>
      <c r="T102" s="221">
        <f>_xll.qlCalendarAdvance(Calendar,S102,$G$1,"mf",,Trigger)</f>
        <v>42359</v>
      </c>
      <c r="U102" s="342">
        <f>_xll.qlDayCounterYearFraction(DayCounter,S102,T102,,,Trigger)</f>
        <v>0.24931506849315069</v>
      </c>
      <c r="V102" s="32">
        <f>_xll.qlInterpolationInterpolate(B3Minterpolation,S102,TRUE)</f>
        <v>1.5617913270591088E-3</v>
      </c>
      <c r="W102" s="345">
        <f>_xll.qlYieldTSDiscount(Discounting,S102,,AllTriggers)</f>
        <v>0.99821450494999564</v>
      </c>
      <c r="X102" s="345">
        <f>_xll.qlYieldTSDiscount(Discounting,T102,,AllTriggers)</f>
        <v>0.99698989298016405</v>
      </c>
      <c r="Y102" s="32">
        <f t="shared" si="9"/>
        <v>4.9267351537913397E-3</v>
      </c>
      <c r="Z102" s="451">
        <f t="shared" si="10"/>
        <v>3.888248194996917E-4</v>
      </c>
      <c r="AE102" s="33"/>
      <c r="AF102" s="33"/>
    </row>
    <row r="103" spans="6:32" ht="11.25" customHeight="1" x14ac:dyDescent="0.2">
      <c r="F103" s="155"/>
      <c r="G103" s="155"/>
      <c r="H103" s="33"/>
      <c r="L103" s="33"/>
      <c r="M103" s="33"/>
      <c r="S103" s="422">
        <f>_xll.qlCalendarAdvance(Calendar,S102,"1D","f")</f>
        <v>42269</v>
      </c>
      <c r="T103" s="221">
        <f>_xll.qlCalendarAdvance(Calendar,S103,$G$1,"mf",,Trigger)</f>
        <v>42360</v>
      </c>
      <c r="U103" s="342">
        <f>_xll.qlDayCounterYearFraction(DayCounter,S103,T103,,,Trigger)</f>
        <v>0.24931506849315069</v>
      </c>
      <c r="V103" s="32">
        <f>_xll.qlInterpolationInterpolate(B3Minterpolation,S103,TRUE)</f>
        <v>1.5625526972261657E-3</v>
      </c>
      <c r="W103" s="345">
        <f>_xll.qlYieldTSDiscount(Discounting,S103,,AllTriggers)</f>
        <v>0.99820196204706579</v>
      </c>
      <c r="X103" s="345">
        <f>_xll.qlYieldTSDiscount(Discounting,T103,,AllTriggers)</f>
        <v>0.99697561329568407</v>
      </c>
      <c r="Y103" s="32">
        <f t="shared" si="9"/>
        <v>4.9337930635757676E-3</v>
      </c>
      <c r="Z103" s="451">
        <f t="shared" si="10"/>
        <v>3.8901365040936494E-4</v>
      </c>
      <c r="AE103" s="33"/>
      <c r="AF103" s="33"/>
    </row>
    <row r="104" spans="6:32" ht="11.25" customHeight="1" x14ac:dyDescent="0.2">
      <c r="F104" s="155"/>
      <c r="G104" s="155"/>
      <c r="H104" s="33"/>
      <c r="L104" s="33"/>
      <c r="M104" s="33"/>
      <c r="S104" s="422">
        <f>_xll.qlCalendarAdvance(Calendar,S103,"1D","f")</f>
        <v>42270</v>
      </c>
      <c r="T104" s="221">
        <f>_xll.qlCalendarAdvance(Calendar,S104,$G$1,"mf",,Trigger)</f>
        <v>42361</v>
      </c>
      <c r="U104" s="342">
        <f>_xll.qlDayCounterYearFraction(DayCounter,S104,T104,,,Trigger)</f>
        <v>0.24931506849315069</v>
      </c>
      <c r="V104" s="32">
        <f>_xll.qlInterpolationInterpolate(B3Minterpolation,S104,TRUE)</f>
        <v>1.5633337719053216E-3</v>
      </c>
      <c r="W104" s="345">
        <f>_xll.qlYieldTSDiscount(Discounting,S104,,AllTriggers)</f>
        <v>0.99818941781509563</v>
      </c>
      <c r="X104" s="345">
        <f>_xll.qlYieldTSDiscount(Discounting,T104,,AllTriggers)</f>
        <v>0.99696132702522755</v>
      </c>
      <c r="Y104" s="32">
        <f t="shared" si="9"/>
        <v>4.9408723579637713E-3</v>
      </c>
      <c r="Z104" s="451">
        <f t="shared" si="10"/>
        <v>3.8920738322603047E-4</v>
      </c>
      <c r="AE104" s="33"/>
      <c r="AF104" s="33"/>
    </row>
    <row r="105" spans="6:32" ht="11.25" customHeight="1" x14ac:dyDescent="0.2">
      <c r="F105" s="155"/>
      <c r="G105" s="155"/>
      <c r="H105" s="33"/>
      <c r="L105" s="33"/>
      <c r="M105" s="33"/>
      <c r="S105" s="422">
        <f>_xll.qlCalendarAdvance(Calendar,S104,"1D","f")</f>
        <v>42271</v>
      </c>
      <c r="T105" s="221">
        <f>_xll.qlCalendarAdvance(Calendar,S105,$G$1,"mf",,Trigger)</f>
        <v>42362</v>
      </c>
      <c r="U105" s="342">
        <f>_xll.qlDayCounterYearFraction(DayCounter,S105,T105,,,Trigger)</f>
        <v>0.24931506849315069</v>
      </c>
      <c r="V105" s="32">
        <f>_xll.qlInterpolationInterpolate(B3Minterpolation,S105,TRUE)</f>
        <v>1.564134599563276E-3</v>
      </c>
      <c r="W105" s="345">
        <f>_xll.qlYieldTSDiscount(Discounting,S105,,AllTriggers)</f>
        <v>0.99817687248372389</v>
      </c>
      <c r="X105" s="345">
        <f>_xll.qlYieldTSDiscount(Discounting,T105,,AllTriggers)</f>
        <v>0.99694703408120866</v>
      </c>
      <c r="Y105" s="32">
        <f t="shared" si="9"/>
        <v>4.9479743147310129E-3</v>
      </c>
      <c r="Z105" s="451">
        <f t="shared" si="10"/>
        <v>3.8940602985777979E-4</v>
      </c>
      <c r="AE105" s="33"/>
      <c r="AF105" s="33"/>
    </row>
    <row r="106" spans="6:32" ht="11.25" customHeight="1" x14ac:dyDescent="0.2">
      <c r="F106" s="155"/>
      <c r="G106" s="155"/>
      <c r="H106" s="33"/>
      <c r="L106" s="33"/>
      <c r="M106" s="33"/>
      <c r="S106" s="422">
        <f>_xll.qlCalendarAdvance(Calendar,S105,"1D","f")</f>
        <v>42272</v>
      </c>
      <c r="T106" s="221">
        <f>_xll.qlCalendarAdvance(Calendar,S106,$G$1,"mf",,Trigger)</f>
        <v>42367</v>
      </c>
      <c r="U106" s="342">
        <f>_xll.qlDayCounterYearFraction(DayCounter,S106,T106,,,Trigger)</f>
        <v>0.26027397260273971</v>
      </c>
      <c r="V106" s="32">
        <f>_xll.qlInterpolationInterpolate(B3Minterpolation,S106,TRUE)</f>
        <v>1.5649552286667279E-3</v>
      </c>
      <c r="W106" s="345">
        <f>_xll.qlYieldTSDiscount(Discounting,S106,,AllTriggers)</f>
        <v>0.9981643262825779</v>
      </c>
      <c r="X106" s="345">
        <f>_xll.qlYieldTSDiscount(Discounting,T106,,AllTriggers)</f>
        <v>0.99687546619253375</v>
      </c>
      <c r="Y106" s="32">
        <f t="shared" si="9"/>
        <v>4.9674571231512407E-3</v>
      </c>
      <c r="Z106" s="451">
        <f t="shared" si="10"/>
        <v>4.067084569850173E-4</v>
      </c>
      <c r="AE106" s="33"/>
      <c r="AF106" s="33"/>
    </row>
    <row r="107" spans="6:32" ht="11.25" customHeight="1" x14ac:dyDescent="0.2">
      <c r="F107" s="155"/>
      <c r="G107" s="155"/>
      <c r="H107" s="33"/>
      <c r="L107" s="33"/>
      <c r="M107" s="33"/>
      <c r="S107" s="422">
        <f>_xll.qlCalendarAdvance(Calendar,S106,"1D","f")</f>
        <v>42275</v>
      </c>
      <c r="T107" s="221">
        <f>_xll.qlCalendarAdvance(Calendar,S107,$G$1,"mf",,Trigger)</f>
        <v>42367</v>
      </c>
      <c r="U107" s="342">
        <f>_xll.qlDayCounterYearFraction(DayCounter,S107,T107,,,Trigger)</f>
        <v>0.25205479452054796</v>
      </c>
      <c r="V107" s="32">
        <f>_xll.qlInterpolationInterpolate(B3Minterpolation,S107,TRUE)</f>
        <v>1.5675364093170616E-3</v>
      </c>
      <c r="W107" s="345">
        <f>_xll.qlYieldTSDiscount(Discounting,S107,,AllTriggers)</f>
        <v>0.99812668475659361</v>
      </c>
      <c r="X107" s="345">
        <f>_xll.qlYieldTSDiscount(Discounting,T107,,AllTriggers)</f>
        <v>0.99687546619253375</v>
      </c>
      <c r="Y107" s="32">
        <f t="shared" si="9"/>
        <v>4.9796326815521041E-3</v>
      </c>
      <c r="Z107" s="451">
        <f t="shared" si="10"/>
        <v>3.9453193896156821E-4</v>
      </c>
      <c r="AE107" s="33"/>
      <c r="AF107" s="33"/>
    </row>
    <row r="108" spans="6:32" ht="11.25" customHeight="1" x14ac:dyDescent="0.2">
      <c r="F108" s="155"/>
      <c r="G108" s="155"/>
      <c r="H108" s="33"/>
      <c r="L108" s="33"/>
      <c r="M108" s="33"/>
      <c r="S108" s="422">
        <f>_xll.qlCalendarAdvance(Calendar,S107,"1D","f")</f>
        <v>42276</v>
      </c>
      <c r="T108" s="221">
        <f>_xll.qlCalendarAdvance(Calendar,S108,$G$1,"mf",,Trigger)</f>
        <v>42367</v>
      </c>
      <c r="U108" s="342">
        <f>_xll.qlDayCounterYearFraction(DayCounter,S108,T108,,,Trigger)</f>
        <v>0.24931506849315069</v>
      </c>
      <c r="V108" s="32">
        <f>_xll.qlInterpolationInterpolate(B3Minterpolation,S108,TRUE)</f>
        <v>1.5684367288694957E-3</v>
      </c>
      <c r="W108" s="345">
        <f>_xll.qlYieldTSDiscount(Discounting,S108,,AllTriggers)</f>
        <v>0.9981141373723923</v>
      </c>
      <c r="X108" s="345">
        <f>_xll.qlYieldTSDiscount(Discounting,T108,,AllTriggers)</f>
        <v>0.99687546619253375</v>
      </c>
      <c r="Y108" s="32">
        <f t="shared" si="9"/>
        <v>4.9838687570648377E-3</v>
      </c>
      <c r="Z108" s="451">
        <f t="shared" si="10"/>
        <v>3.9047338698560427E-4</v>
      </c>
      <c r="AE108" s="33"/>
      <c r="AF108" s="33"/>
    </row>
    <row r="109" spans="6:32" ht="11.25" customHeight="1" x14ac:dyDescent="0.2">
      <c r="F109" s="155"/>
      <c r="G109" s="155"/>
      <c r="H109" s="33"/>
      <c r="L109" s="33"/>
      <c r="M109" s="33"/>
      <c r="S109" s="422">
        <f>_xll.qlCalendarAdvance(Calendar,S108,"1D","f")</f>
        <v>42277</v>
      </c>
      <c r="T109" s="221">
        <f>_xll.qlCalendarAdvance(Calendar,S109,$G$1,"mf",,Trigger)</f>
        <v>42368</v>
      </c>
      <c r="U109" s="342">
        <f>_xll.qlDayCounterYearFraction(DayCounter,S109,T109,,,Trigger)</f>
        <v>0.24931506849315069</v>
      </c>
      <c r="V109" s="32">
        <f>_xll.qlInterpolationInterpolate(B3Minterpolation,S109,TRUE)</f>
        <v>1.5693570922009235E-3</v>
      </c>
      <c r="W109" s="345">
        <f>_xll.qlYieldTSDiscount(Discounting,S109,,AllTriggers)</f>
        <v>0.99810159026638001</v>
      </c>
      <c r="X109" s="345">
        <f>_xll.qlYieldTSDiscount(Discounting,T109,,AllTriggers)</f>
        <v>0.99686113136812649</v>
      </c>
      <c r="Y109" s="32">
        <f t="shared" si="9"/>
        <v>4.991133521928131E-3</v>
      </c>
      <c r="Z109" s="451">
        <f t="shared" si="10"/>
        <v>3.9070176654496929E-4</v>
      </c>
      <c r="AE109" s="33"/>
      <c r="AF109" s="33"/>
    </row>
    <row r="110" spans="6:32" ht="11.25" customHeight="1" x14ac:dyDescent="0.2">
      <c r="F110" s="155"/>
      <c r="G110" s="155"/>
      <c r="H110" s="33"/>
      <c r="L110" s="33"/>
      <c r="M110" s="33"/>
      <c r="S110" s="422">
        <f>_xll.qlCalendarAdvance(Calendar,S109,"1D","f")</f>
        <v>42278</v>
      </c>
      <c r="T110" s="221">
        <f>_xll.qlCalendarAdvance(Calendar,S110,$G$1,"mf",,Trigger)</f>
        <v>42373</v>
      </c>
      <c r="U110" s="342">
        <f>_xll.qlDayCounterYearFraction(DayCounter,S110,T110,,,Trigger)</f>
        <v>0.26027397260273971</v>
      </c>
      <c r="V110" s="32">
        <f>_xll.qlInterpolationInterpolate(B3Minterpolation,S110,TRUE)</f>
        <v>1.5702975477780439E-3</v>
      </c>
      <c r="W110" s="345">
        <f>_xll.qlYieldTSDiscount(Discounting,S110,,AllTriggers)</f>
        <v>0.99808904334488757</v>
      </c>
      <c r="X110" s="345">
        <f>_xll.qlYieldTSDiscount(Discounting,T110,,AllTriggers)</f>
        <v>0.99678932430608924</v>
      </c>
      <c r="Y110" s="32">
        <f t="shared" si="9"/>
        <v>5.0097420165186564E-3</v>
      </c>
      <c r="Z110" s="451">
        <f t="shared" si="10"/>
        <v>4.080920779505433E-4</v>
      </c>
      <c r="AE110" s="33"/>
      <c r="AF110" s="33"/>
    </row>
    <row r="111" spans="6:32" ht="11.25" customHeight="1" x14ac:dyDescent="0.2">
      <c r="F111" s="155"/>
      <c r="G111" s="155"/>
      <c r="H111" s="33"/>
      <c r="L111" s="33"/>
      <c r="M111" s="33"/>
      <c r="S111" s="422">
        <f>_xll.qlCalendarAdvance(Calendar,S110,"1D","f")</f>
        <v>42279</v>
      </c>
      <c r="T111" s="221">
        <f>_xll.qlCalendarAdvance(Calendar,S111,$G$1,"mf",,Trigger)</f>
        <v>42373</v>
      </c>
      <c r="U111" s="342">
        <f>_xll.qlDayCounterYearFraction(DayCounter,S111,T111,,,Trigger)</f>
        <v>0.25753424657534246</v>
      </c>
      <c r="V111" s="32">
        <f>_xll.qlInterpolationInterpolate(B3Minterpolation,S111,TRUE)</f>
        <v>1.5712581440675561E-3</v>
      </c>
      <c r="W111" s="345">
        <f>_xll.qlYieldTSDiscount(Discounting,S111,,AllTriggers)</f>
        <v>0.99807649522135844</v>
      </c>
      <c r="X111" s="345">
        <f>_xll.qlYieldTSDiscount(Discounting,T111,,AllTriggers)</f>
        <v>0.99678932430608924</v>
      </c>
      <c r="Y111" s="32">
        <f t="shared" si="9"/>
        <v>5.0141561065117184E-3</v>
      </c>
      <c r="Z111" s="451">
        <f t="shared" si="10"/>
        <v>4.0404928230699822E-4</v>
      </c>
      <c r="AE111" s="33"/>
      <c r="AF111" s="33"/>
    </row>
    <row r="112" spans="6:32" ht="11.25" customHeight="1" x14ac:dyDescent="0.2">
      <c r="F112" s="155"/>
      <c r="G112" s="155"/>
      <c r="H112" s="33"/>
      <c r="L112" s="33"/>
      <c r="M112" s="33"/>
      <c r="S112" s="422">
        <f>_xll.qlCalendarAdvance(Calendar,S111,"1D","f")</f>
        <v>42282</v>
      </c>
      <c r="T112" s="221">
        <f>_xll.qlCalendarAdvance(Calendar,S112,$G$1,"mf",,Trigger)</f>
        <v>42374</v>
      </c>
      <c r="U112" s="342">
        <f>_xll.qlDayCounterYearFraction(DayCounter,S112,T112,,,Trigger)</f>
        <v>0.25205479452054796</v>
      </c>
      <c r="V112" s="32">
        <f>_xll.qlInterpolationInterpolate(B3Minterpolation,S112,TRUE)</f>
        <v>1.5742612618774355E-3</v>
      </c>
      <c r="W112" s="345">
        <f>_xll.qlYieldTSDiscount(Discounting,S112,,AllTriggers)</f>
        <v>0.99803882654192233</v>
      </c>
      <c r="X112" s="345">
        <f>_xll.qlYieldTSDiscount(Discounting,T112,,AllTriggers)</f>
        <v>0.99677492358487307</v>
      </c>
      <c r="Y112" s="32">
        <f t="shared" si="9"/>
        <v>5.0306217408665303E-3</v>
      </c>
      <c r="Z112" s="451">
        <f t="shared" si="10"/>
        <v>3.9621909141939724E-4</v>
      </c>
      <c r="AE112" s="33"/>
      <c r="AF112" s="33"/>
    </row>
    <row r="113" spans="6:32" ht="11.25" customHeight="1" x14ac:dyDescent="0.2">
      <c r="F113" s="155"/>
      <c r="G113" s="155"/>
      <c r="H113" s="33"/>
      <c r="L113" s="33"/>
      <c r="M113" s="33"/>
      <c r="S113" s="422">
        <f>_xll.qlCalendarAdvance(Calendar,S112,"1D","f")</f>
        <v>42283</v>
      </c>
      <c r="T113" s="221">
        <f>_xll.qlCalendarAdvance(Calendar,S113,$G$1,"mf",,Trigger)</f>
        <v>42375</v>
      </c>
      <c r="U113" s="342">
        <f>_xll.qlDayCounterYearFraction(DayCounter,S113,T113,,,Trigger)</f>
        <v>0.25205479452054796</v>
      </c>
      <c r="V113" s="32">
        <f>_xll.qlInterpolationInterpolate(B3Minterpolation,S113,TRUE)</f>
        <v>1.5753029056835069E-3</v>
      </c>
      <c r="W113" s="345">
        <f>_xll.qlYieldTSDiscount(Discounting,S113,,AllTriggers)</f>
        <v>0.9980262565140483</v>
      </c>
      <c r="X113" s="345">
        <f>_xll.qlYieldTSDiscount(Discounting,T113,,AllTriggers)</f>
        <v>0.99676050479124989</v>
      </c>
      <c r="Y113" s="32">
        <f t="shared" si="9"/>
        <v>5.0380531274612818E-3</v>
      </c>
      <c r="Z113" s="451">
        <f t="shared" si="10"/>
        <v>3.9648046476678886E-4</v>
      </c>
      <c r="AE113" s="33"/>
      <c r="AF113" s="33"/>
    </row>
    <row r="114" spans="6:32" ht="11.25" customHeight="1" x14ac:dyDescent="0.2">
      <c r="F114" s="155"/>
      <c r="G114" s="155"/>
      <c r="H114" s="33"/>
      <c r="L114" s="33"/>
      <c r="M114" s="33"/>
      <c r="S114" s="422">
        <f>_xll.qlCalendarAdvance(Calendar,S113,"1D","f")</f>
        <v>42284</v>
      </c>
      <c r="T114" s="221">
        <f>_xll.qlCalendarAdvance(Calendar,S114,$G$1,"mf",,Trigger)</f>
        <v>42376</v>
      </c>
      <c r="U114" s="342">
        <f>_xll.qlDayCounterYearFraction(DayCounter,S114,T114,,,Trigger)</f>
        <v>0.25205479452054796</v>
      </c>
      <c r="V114" s="32">
        <f>_xll.qlInterpolationInterpolate(B3Minterpolation,S114,TRUE)</f>
        <v>1.576364932535466E-3</v>
      </c>
      <c r="W114" s="345">
        <f>_xll.qlYieldTSDiscount(Discounting,S114,,AllTriggers)</f>
        <v>0.99801367673646935</v>
      </c>
      <c r="X114" s="345">
        <f>_xll.qlYieldTSDiscount(Discounting,T114,,AllTriggers)</f>
        <v>0.99674606578592206</v>
      </c>
      <c r="Y114" s="32">
        <f t="shared" si="9"/>
        <v>5.0455264737179735E-3</v>
      </c>
      <c r="Z114" s="451">
        <f t="shared" si="10"/>
        <v>3.9674696196179685E-4</v>
      </c>
      <c r="AE114" s="33"/>
      <c r="AF114" s="33"/>
    </row>
    <row r="115" spans="6:32" ht="11.25" customHeight="1" x14ac:dyDescent="0.2">
      <c r="F115" s="155"/>
      <c r="G115" s="155"/>
      <c r="H115" s="33"/>
      <c r="L115" s="33"/>
      <c r="M115" s="33"/>
      <c r="S115" s="422">
        <f>_xll.qlCalendarAdvance(Calendar,S114,"1D","f")</f>
        <v>42285</v>
      </c>
      <c r="T115" s="221">
        <f>_xll.qlCalendarAdvance(Calendar,S115,$G$1,"mf",,Trigger)</f>
        <v>42377</v>
      </c>
      <c r="U115" s="342">
        <f>_xll.qlDayCounterYearFraction(DayCounter,S115,T115,,,Trigger)</f>
        <v>0.25205479452054796</v>
      </c>
      <c r="V115" s="32">
        <f>_xll.qlInterpolationInterpolate(B3Minterpolation,S115,TRUE)</f>
        <v>1.5774473909000118E-3</v>
      </c>
      <c r="W115" s="345">
        <f>_xll.qlYieldTSDiscount(Discounting,S115,,AllTriggers)</f>
        <v>0.99800108549991062</v>
      </c>
      <c r="X115" s="345">
        <f>_xll.qlYieldTSDiscount(Discounting,T115,,AllTriggers)</f>
        <v>0.99673160442971653</v>
      </c>
      <c r="Y115" s="32">
        <f t="shared" si="9"/>
        <v>5.0530435039270625E-3</v>
      </c>
      <c r="Z115" s="451">
        <f t="shared" si="10"/>
        <v>3.9701859498663978E-4</v>
      </c>
      <c r="AE115" s="33"/>
      <c r="AF115" s="33"/>
    </row>
    <row r="116" spans="6:32" ht="11.25" customHeight="1" x14ac:dyDescent="0.2">
      <c r="F116" s="155"/>
      <c r="G116" s="155"/>
      <c r="H116" s="33"/>
      <c r="L116" s="33"/>
      <c r="M116" s="33"/>
      <c r="S116" s="422">
        <f>_xll.qlCalendarAdvance(Calendar,S115,"1D","f")</f>
        <v>42286</v>
      </c>
      <c r="T116" s="221">
        <f>_xll.qlCalendarAdvance(Calendar,S116,$G$1,"mf",,Trigger)</f>
        <v>42380</v>
      </c>
      <c r="U116" s="342">
        <f>_xll.qlDayCounterYearFraction(DayCounter,S116,T116,,,Trigger)</f>
        <v>0.25753424657534246</v>
      </c>
      <c r="V116" s="32">
        <f>_xll.qlInterpolationInterpolate(B3Minterpolation,S116,TRUE)</f>
        <v>1.578550329243844E-3</v>
      </c>
      <c r="W116" s="345">
        <f>_xll.qlYieldTSDiscount(Discounting,S116,,AllTriggers)</f>
        <v>0.9979884810951839</v>
      </c>
      <c r="X116" s="345">
        <f>_xll.qlYieldTSDiscount(Discounting,T116,,AllTriggers)</f>
        <v>0.99668806486599515</v>
      </c>
      <c r="Y116" s="32">
        <f t="shared" si="9"/>
        <v>5.0662676995018221E-3</v>
      </c>
      <c r="Z116" s="451">
        <f t="shared" si="10"/>
        <v>4.0591864883784539E-4</v>
      </c>
      <c r="AE116" s="33"/>
      <c r="AF116" s="33"/>
    </row>
    <row r="117" spans="6:32" ht="11.25" customHeight="1" x14ac:dyDescent="0.2">
      <c r="F117" s="155"/>
      <c r="G117" s="155"/>
      <c r="H117" s="33"/>
      <c r="L117" s="33"/>
      <c r="M117" s="33"/>
      <c r="S117" s="422">
        <f>_xll.qlCalendarAdvance(Calendar,S116,"1D","f")</f>
        <v>42289</v>
      </c>
      <c r="T117" s="221">
        <f>_xll.qlCalendarAdvance(Calendar,S117,$G$1,"mf",,Trigger)</f>
        <v>42381</v>
      </c>
      <c r="U117" s="342">
        <f>_xll.qlDayCounterYearFraction(DayCounter,S117,T117,,,Trigger)</f>
        <v>0.25205479452054796</v>
      </c>
      <c r="V117" s="32">
        <f>_xll.qlInterpolationInterpolate(B3Minterpolation,S117,TRUE)</f>
        <v>1.581982508818048E-3</v>
      </c>
      <c r="W117" s="345">
        <f>_xll.qlYieldTSDiscount(Discounting,S117,,AllTriggers)</f>
        <v>0.99795057178141866</v>
      </c>
      <c r="X117" s="345">
        <f>_xll.qlYieldTSDiscount(Discounting,T117,,AllTriggers)</f>
        <v>0.99667349271707251</v>
      </c>
      <c r="Y117" s="32">
        <f t="shared" si="9"/>
        <v>5.083582950559903E-3</v>
      </c>
      <c r="Z117" s="451">
        <f t="shared" si="10"/>
        <v>3.9815672498954148E-4</v>
      </c>
      <c r="AE117" s="33"/>
      <c r="AF117" s="33"/>
    </row>
    <row r="118" spans="6:32" ht="11.25" customHeight="1" x14ac:dyDescent="0.2">
      <c r="F118" s="155"/>
      <c r="G118" s="155"/>
      <c r="H118" s="33"/>
      <c r="L118" s="33"/>
      <c r="M118" s="33"/>
      <c r="S118" s="422">
        <f>_xll.qlCalendarAdvance(Calendar,S117,"1D","f")</f>
        <v>42290</v>
      </c>
      <c r="T118" s="221">
        <f>_xll.qlCalendarAdvance(Calendar,S118,$G$1,"mf",,Trigger)</f>
        <v>42382</v>
      </c>
      <c r="U118" s="342">
        <f>_xll.qlDayCounterYearFraction(DayCounter,S118,T118,,,Trigger)</f>
        <v>0.25205479452054796</v>
      </c>
      <c r="V118" s="32">
        <f>_xll.qlInterpolationInterpolate(B3Minterpolation,S118,TRUE)</f>
        <v>1.5831678517460161E-3</v>
      </c>
      <c r="W118" s="345">
        <f>_xll.qlYieldTSDiscount(Discounting,S118,,AllTriggers)</f>
        <v>0.99793789761387919</v>
      </c>
      <c r="X118" s="345">
        <f>_xll.qlYieldTSDiscount(Discounting,T118,,AllTriggers)</f>
        <v>0.99665888752330367</v>
      </c>
      <c r="Y118" s="32">
        <f t="shared" si="9"/>
        <v>5.0913442653705851E-3</v>
      </c>
      <c r="Z118" s="451">
        <f t="shared" si="10"/>
        <v>3.9845421685874799E-4</v>
      </c>
      <c r="AE118" s="33"/>
      <c r="AF118" s="33"/>
    </row>
    <row r="119" spans="6:32" ht="11.25" customHeight="1" x14ac:dyDescent="0.2">
      <c r="F119" s="155"/>
      <c r="G119" s="155"/>
      <c r="H119" s="33"/>
      <c r="L119" s="33"/>
      <c r="M119" s="33"/>
      <c r="S119" s="422">
        <f>_xll.qlCalendarAdvance(Calendar,S118,"1D","f")</f>
        <v>42291</v>
      </c>
      <c r="T119" s="221">
        <f>_xll.qlCalendarAdvance(Calendar,S119,$G$1,"mf",,Trigger)</f>
        <v>42383</v>
      </c>
      <c r="U119" s="342">
        <f>_xll.qlDayCounterYearFraction(DayCounter,S119,T119,,,Trigger)</f>
        <v>0.25205479452054796</v>
      </c>
      <c r="V119" s="32">
        <f>_xll.qlInterpolationInterpolate(B3Minterpolation,S119,TRUE)</f>
        <v>1.5843739169867658E-3</v>
      </c>
      <c r="W119" s="345">
        <f>_xll.qlYieldTSDiscount(Discounting,S119,,AllTriggers)</f>
        <v>0.99792520173353894</v>
      </c>
      <c r="X119" s="345">
        <f>_xll.qlYieldTSDiscount(Discounting,T119,,AllTriggers)</f>
        <v>0.99664424714627797</v>
      </c>
      <c r="Y119" s="32">
        <f t="shared" si="9"/>
        <v>5.0991596101768056E-3</v>
      </c>
      <c r="Z119" s="451">
        <f t="shared" si="10"/>
        <v>3.9875691642894868E-4</v>
      </c>
      <c r="AE119" s="33"/>
      <c r="AF119" s="33"/>
    </row>
    <row r="120" spans="6:32" ht="11.25" customHeight="1" x14ac:dyDescent="0.2">
      <c r="F120" s="155"/>
      <c r="G120" s="155"/>
      <c r="H120" s="33"/>
      <c r="L120" s="33"/>
      <c r="M120" s="33"/>
      <c r="S120" s="422">
        <f>_xll.qlCalendarAdvance(Calendar,S119,"1D","f")</f>
        <v>42292</v>
      </c>
      <c r="T120" s="221">
        <f>_xll.qlCalendarAdvance(Calendar,S120,$G$1,"mf",,Trigger)</f>
        <v>42384</v>
      </c>
      <c r="U120" s="342">
        <f>_xll.qlDayCounterYearFraction(DayCounter,S120,T120,,,Trigger)</f>
        <v>0.25205479452054796</v>
      </c>
      <c r="V120" s="32">
        <f>_xll.qlInterpolationInterpolate(B3Minterpolation,S120,TRUE)</f>
        <v>1.585600753006997E-3</v>
      </c>
      <c r="W120" s="345">
        <f>_xll.qlYieldTSDiscount(Discounting,S120,,AllTriggers)</f>
        <v>0.99791248243173492</v>
      </c>
      <c r="X120" s="345">
        <f>_xll.qlYieldTSDiscount(Discounting,T120,,AllTriggers)</f>
        <v>0.99662956944771419</v>
      </c>
      <c r="Y120" s="32">
        <f t="shared" si="9"/>
        <v>5.1070307093729712E-3</v>
      </c>
      <c r="Z120" s="451">
        <f t="shared" si="10"/>
        <v>3.9906483567460241E-4</v>
      </c>
      <c r="AE120" s="33"/>
      <c r="AF120" s="33"/>
    </row>
    <row r="121" spans="6:32" ht="11.25" customHeight="1" x14ac:dyDescent="0.2">
      <c r="F121" s="155"/>
      <c r="G121" s="155"/>
      <c r="H121" s="33"/>
      <c r="L121" s="33"/>
      <c r="M121" s="33"/>
      <c r="S121" s="422">
        <f>_xll.qlCalendarAdvance(Calendar,S120,"1D","f")</f>
        <v>42293</v>
      </c>
      <c r="T121" s="221">
        <f>_xll.qlCalendarAdvance(Calendar,S121,$G$1,"mf",,Trigger)</f>
        <v>42387</v>
      </c>
      <c r="U121" s="342">
        <f>_xll.qlDayCounterYearFraction(DayCounter,S121,T121,,,Trigger)</f>
        <v>0.25753424657534246</v>
      </c>
      <c r="V121" s="32">
        <f>_xll.qlInterpolationInterpolate(B3Minterpolation,S121,TRUE)</f>
        <v>1.5868484082734082E-3</v>
      </c>
      <c r="W121" s="345">
        <f>_xll.qlYieldTSDiscount(Discounting,S121,,AllTriggers)</f>
        <v>0.99789973799989296</v>
      </c>
      <c r="X121" s="345">
        <f>_xll.qlYieldTSDiscount(Discounting,T121,,AllTriggers)</f>
        <v>0.99658529104193805</v>
      </c>
      <c r="Y121" s="32">
        <f t="shared" si="9"/>
        <v>5.1214578588110772E-3</v>
      </c>
      <c r="Z121" s="451">
        <f t="shared" si="10"/>
        <v>4.0804624432527352E-4</v>
      </c>
      <c r="AE121" s="33"/>
      <c r="AF121" s="33"/>
    </row>
    <row r="122" spans="6:32" ht="11.25" customHeight="1" x14ac:dyDescent="0.2">
      <c r="F122" s="155"/>
      <c r="G122" s="155"/>
      <c r="H122" s="33"/>
      <c r="L122" s="33"/>
      <c r="M122" s="33"/>
      <c r="S122" s="422">
        <f>_xll.qlCalendarAdvance(Calendar,S121,"1D","f")</f>
        <v>42296</v>
      </c>
      <c r="T122" s="221">
        <f>_xll.qlCalendarAdvance(Calendar,S122,$G$1,"mf",,Trigger)</f>
        <v>42388</v>
      </c>
      <c r="U122" s="342">
        <f>_xll.qlDayCounterYearFraction(DayCounter,S122,T122,,,Trigger)</f>
        <v>0.25205479452054796</v>
      </c>
      <c r="V122" s="32">
        <f>_xll.qlInterpolationInterpolate(B3Minterpolation,S122,TRUE)</f>
        <v>1.5907167742167155E-3</v>
      </c>
      <c r="W122" s="345">
        <f>_xll.qlYieldTSDiscount(Discounting,S122,,AllTriggers)</f>
        <v>0.9978613368397381</v>
      </c>
      <c r="X122" s="345">
        <f>_xll.qlYieldTSDiscount(Discounting,T122,,AllTriggers)</f>
        <v>0.99657044267702366</v>
      </c>
      <c r="Y122" s="32">
        <f t="shared" si="9"/>
        <v>5.1391071385072755E-3</v>
      </c>
      <c r="Z122" s="451">
        <f t="shared" si="10"/>
        <v>4.0034894886402237E-4</v>
      </c>
      <c r="AE122" s="33"/>
      <c r="AF122" s="33"/>
    </row>
    <row r="123" spans="6:32" ht="11.25" customHeight="1" x14ac:dyDescent="0.2">
      <c r="F123" s="155"/>
      <c r="G123" s="155"/>
      <c r="H123" s="33"/>
      <c r="L123" s="33"/>
      <c r="M123" s="33"/>
      <c r="S123" s="422">
        <f>_xll.qlCalendarAdvance(Calendar,S122,"1D","f")</f>
        <v>42297</v>
      </c>
      <c r="T123" s="221">
        <f>_xll.qlCalendarAdvance(Calendar,S123,$G$1,"mf",,Trigger)</f>
        <v>42389</v>
      </c>
      <c r="U123" s="342">
        <f>_xll.qlDayCounterYearFraction(DayCounter,S123,T123,,,Trigger)</f>
        <v>0.25205479452054796</v>
      </c>
      <c r="V123" s="32">
        <f>_xll.qlInterpolationInterpolate(B3Minterpolation,S123,TRUE)</f>
        <v>1.5920481911348397E-3</v>
      </c>
      <c r="W123" s="345">
        <f>_xll.qlYieldTSDiscount(Discounting,S123,,AllTriggers)</f>
        <v>0.99784847480379268</v>
      </c>
      <c r="X123" s="345">
        <f>_xll.qlYieldTSDiscount(Discounting,T123,,AllTriggers)</f>
        <v>0.99655554630113341</v>
      </c>
      <c r="Y123" s="32">
        <f t="shared" si="9"/>
        <v>5.1472828761357234E-3</v>
      </c>
      <c r="Z123" s="451">
        <f t="shared" si="10"/>
        <v>4.0068314606558165E-4</v>
      </c>
      <c r="AE123" s="33"/>
      <c r="AF123" s="33"/>
    </row>
    <row r="124" spans="6:32" ht="11.25" customHeight="1" x14ac:dyDescent="0.2">
      <c r="F124" s="155"/>
      <c r="G124" s="155"/>
      <c r="H124" s="33"/>
      <c r="L124" s="33"/>
      <c r="M124" s="33"/>
      <c r="S124" s="422">
        <f>_xll.qlCalendarAdvance(Calendar,S123,"1D","f")</f>
        <v>42298</v>
      </c>
      <c r="T124" s="221">
        <f>_xll.qlCalendarAdvance(Calendar,S124,$G$1,"mf",,Trigger)</f>
        <v>42390</v>
      </c>
      <c r="U124" s="342">
        <f>_xll.qlDayCounterYearFraction(DayCounter,S124,T124,,,Trigger)</f>
        <v>0.25205479452054796</v>
      </c>
      <c r="V124" s="32">
        <f>_xll.qlInterpolationInterpolate(B3Minterpolation,S124,TRUE)</f>
        <v>1.5934006696326402E-3</v>
      </c>
      <c r="W124" s="345">
        <f>_xll.qlYieldTSDiscount(Discounting,S124,,AllTriggers)</f>
        <v>0.99783557909628506</v>
      </c>
      <c r="X124" s="345">
        <f>_xll.qlYieldTSDiscount(Discounting,T124,,AllTriggers)</f>
        <v>0.99654059977677978</v>
      </c>
      <c r="Y124" s="32">
        <f t="shared" si="9"/>
        <v>5.1555247148650082E-3</v>
      </c>
      <c r="Z124" s="451">
        <f t="shared" si="10"/>
        <v>4.0102263476532771E-4</v>
      </c>
      <c r="AE124" s="33"/>
      <c r="AF124" s="33"/>
    </row>
    <row r="125" spans="6:32" ht="11.25" customHeight="1" x14ac:dyDescent="0.2">
      <c r="F125" s="155"/>
      <c r="G125" s="155"/>
      <c r="H125" s="33"/>
      <c r="L125" s="33"/>
      <c r="M125" s="33"/>
      <c r="S125" s="422">
        <f>_xll.qlCalendarAdvance(Calendar,S124,"1D","f")</f>
        <v>42299</v>
      </c>
      <c r="T125" s="221">
        <f>_xll.qlCalendarAdvance(Calendar,S125,$G$1,"mf",,Trigger)</f>
        <v>42391</v>
      </c>
      <c r="U125" s="342">
        <f>_xll.qlDayCounterYearFraction(DayCounter,S125,T125,,,Trigger)</f>
        <v>0.25205479452054796</v>
      </c>
      <c r="V125" s="32">
        <f>_xll.qlInterpolationInterpolate(B3Minterpolation,S125,TRUE)</f>
        <v>1.5947742581768158E-3</v>
      </c>
      <c r="W125" s="345">
        <f>_xll.qlYieldTSDiscount(Discounting,S125,,AllTriggers)</f>
        <v>0.99782264800918319</v>
      </c>
      <c r="X125" s="345">
        <f>_xll.qlYieldTSDiscount(Discounting,T125,,AllTriggers)</f>
        <v>0.99652560096661114</v>
      </c>
      <c r="Y125" s="32">
        <f t="shared" si="9"/>
        <v>5.1638343792058212E-3</v>
      </c>
      <c r="Z125" s="451">
        <f t="shared" si="10"/>
        <v>4.0136742692926318E-4</v>
      </c>
      <c r="AE125" s="33"/>
      <c r="AF125" s="33"/>
    </row>
    <row r="126" spans="6:32" ht="11.25" customHeight="1" x14ac:dyDescent="0.2">
      <c r="F126" s="155"/>
      <c r="G126" s="155"/>
      <c r="H126" s="33"/>
      <c r="L126" s="33"/>
      <c r="M126" s="33"/>
      <c r="S126" s="422">
        <f>_xll.qlCalendarAdvance(Calendar,S125,"1D","f")</f>
        <v>42300</v>
      </c>
      <c r="T126" s="221">
        <f>_xll.qlCalendarAdvance(Calendar,S126,$G$1,"mf",,Trigger)</f>
        <v>42394</v>
      </c>
      <c r="U126" s="342">
        <f>_xll.qlDayCounterYearFraction(DayCounter,S126,T126,,,Trigger)</f>
        <v>0.25753424657534246</v>
      </c>
      <c r="V126" s="32">
        <f>_xll.qlInterpolationInterpolate(B3Minterpolation,S126,TRUE)</f>
        <v>1.5961690052340659E-3</v>
      </c>
      <c r="W126" s="345">
        <f>_xll.qlYieldTSDiscount(Discounting,S126,,AllTriggers)</f>
        <v>0.99780967983454727</v>
      </c>
      <c r="X126" s="345">
        <f>_xll.qlYieldTSDiscount(Discounting,T126,,AllTriggers)</f>
        <v>0.99648026944975676</v>
      </c>
      <c r="Y126" s="32">
        <f t="shared" si="9"/>
        <v>5.1803055184072239E-3</v>
      </c>
      <c r="Z126" s="451">
        <f t="shared" si="10"/>
        <v>4.1043626378167052E-4</v>
      </c>
      <c r="AE126" s="33"/>
      <c r="AF126" s="33"/>
    </row>
    <row r="127" spans="6:32" ht="11.25" customHeight="1" x14ac:dyDescent="0.2">
      <c r="F127" s="155"/>
      <c r="G127" s="155"/>
      <c r="H127" s="33"/>
      <c r="L127" s="33"/>
      <c r="M127" s="33"/>
      <c r="S127" s="422">
        <f>_xll.qlCalendarAdvance(Calendar,S126,"1D","f")</f>
        <v>42303</v>
      </c>
      <c r="T127" s="221">
        <f>_xll.qlCalendarAdvance(Calendar,S127,$G$1,"mf",,Trigger)</f>
        <v>42395</v>
      </c>
      <c r="U127" s="342">
        <f>_xll.qlDayCounterYearFraction(DayCounter,S127,T127,,,Trigger)</f>
        <v>0.25205479452054796</v>
      </c>
      <c r="V127" s="32">
        <f>_xll.qlInterpolationInterpolate(B3Minterpolation,S127,TRUE)</f>
        <v>1.6004806821512552E-3</v>
      </c>
      <c r="W127" s="345">
        <f>_xll.qlYieldTSDiscount(Discounting,S127,,AllTriggers)</f>
        <v>0.99777053570743424</v>
      </c>
      <c r="X127" s="345">
        <f>_xll.qlYieldTSDiscount(Discounting,T127,,AllTriggers)</f>
        <v>0.99646504012556458</v>
      </c>
      <c r="Y127" s="32">
        <f t="shared" si="9"/>
        <v>5.1977857835553585E-3</v>
      </c>
      <c r="Z127" s="451">
        <f t="shared" si="10"/>
        <v>4.0279986950101949E-4</v>
      </c>
      <c r="AE127" s="33"/>
      <c r="AF127" s="33"/>
    </row>
    <row r="128" spans="6:32" ht="11.25" customHeight="1" x14ac:dyDescent="0.2">
      <c r="F128" s="155"/>
      <c r="G128" s="155"/>
      <c r="H128" s="33"/>
      <c r="L128" s="33"/>
      <c r="M128" s="33"/>
      <c r="S128" s="422">
        <f>_xll.qlCalendarAdvance(Calendar,S127,"1D","f")</f>
        <v>42304</v>
      </c>
      <c r="T128" s="221">
        <f>_xll.qlCalendarAdvance(Calendar,S128,$G$1,"mf",,Trigger)</f>
        <v>42396</v>
      </c>
      <c r="U128" s="342">
        <f>_xll.qlDayCounterYearFraction(DayCounter,S128,T128,,,Trigger)</f>
        <v>0.25205479452054796</v>
      </c>
      <c r="V128" s="32">
        <f>_xll.qlInterpolationInterpolate(B3Minterpolation,S128,TRUE)</f>
        <v>1.6019605479277953E-3</v>
      </c>
      <c r="W128" s="345">
        <f>_xll.qlYieldTSDiscount(Discounting,S128,,AllTriggers)</f>
        <v>0.99775740210513164</v>
      </c>
      <c r="X128" s="345">
        <f>_xll.qlYieldTSDiscount(Discounting,T128,,AllTriggers)</f>
        <v>0.9964497478308747</v>
      </c>
      <c r="Y128" s="32">
        <f t="shared" si="9"/>
        <v>5.2064604442660749E-3</v>
      </c>
      <c r="Z128" s="451">
        <f t="shared" si="10"/>
        <v>4.0317135842866822E-4</v>
      </c>
      <c r="AE128" s="33"/>
      <c r="AF128" s="33"/>
    </row>
    <row r="129" spans="6:32" ht="11.25" customHeight="1" x14ac:dyDescent="0.2">
      <c r="F129" s="155"/>
      <c r="G129" s="155"/>
      <c r="H129" s="33"/>
      <c r="L129" s="33"/>
      <c r="M129" s="33"/>
      <c r="S129" s="422">
        <f>_xll.qlCalendarAdvance(Calendar,S128,"1D","f")</f>
        <v>42305</v>
      </c>
      <c r="T129" s="221">
        <f>_xll.qlCalendarAdvance(Calendar,S129,$G$1,"mf",,Trigger)</f>
        <v>42397</v>
      </c>
      <c r="U129" s="342">
        <f>_xll.qlDayCounterYearFraction(DayCounter,S129,T129,,,Trigger)</f>
        <v>0.25205479452054796</v>
      </c>
      <c r="V129" s="32">
        <f>_xll.qlInterpolationInterpolate(B3Minterpolation,S129,TRUE)</f>
        <v>1.6034618145509055E-3</v>
      </c>
      <c r="W129" s="345">
        <f>_xll.qlYieldTSDiscount(Discounting,S129,,AllTriggers)</f>
        <v>0.99774422287700237</v>
      </c>
      <c r="X129" s="345">
        <f>_xll.qlYieldTSDiscount(Discounting,T129,,AllTriggers)</f>
        <v>0.99643439042917437</v>
      </c>
      <c r="Y129" s="32">
        <f t="shared" si="9"/>
        <v>5.2152132780436036E-3</v>
      </c>
      <c r="Z129" s="451">
        <f t="shared" si="10"/>
        <v>4.0354822258774955E-4</v>
      </c>
      <c r="AE129" s="33"/>
      <c r="AF129" s="33"/>
    </row>
    <row r="130" spans="6:32" ht="11.25" customHeight="1" x14ac:dyDescent="0.2">
      <c r="F130" s="155"/>
      <c r="G130" s="155"/>
      <c r="H130" s="33"/>
      <c r="L130" s="33"/>
      <c r="M130" s="33"/>
      <c r="S130" s="422">
        <f>_xll.qlCalendarAdvance(Calendar,S129,"1D","f")</f>
        <v>42306</v>
      </c>
      <c r="T130" s="221">
        <f>_xll.qlCalendarAdvance(Calendar,S130,$G$1,"mf",,Trigger)</f>
        <v>42398</v>
      </c>
      <c r="U130" s="342">
        <f>_xll.qlDayCounterYearFraction(DayCounter,S130,T130,,,Trigger)</f>
        <v>0.25205479452054796</v>
      </c>
      <c r="V130" s="32">
        <f>_xll.qlInterpolationInterpolate(B3Minterpolation,S130,TRUE)</f>
        <v>1.6049845304872854E-3</v>
      </c>
      <c r="W130" s="345">
        <f>_xll.qlYieldTSDiscount(Discounting,S130,,AllTriggers)</f>
        <v>0.99773099631567452</v>
      </c>
      <c r="X130" s="345">
        <f>_xll.qlYieldTSDiscount(Discounting,T130,,AllTriggers)</f>
        <v>0.99641896578409539</v>
      </c>
      <c r="Y130" s="32">
        <f t="shared" si="9"/>
        <v>5.2240460095316571E-3</v>
      </c>
      <c r="Z130" s="451">
        <f t="shared" si="10"/>
        <v>4.039304739344474E-4</v>
      </c>
      <c r="AE130" s="33"/>
      <c r="AF130" s="33"/>
    </row>
    <row r="131" spans="6:32" ht="11.25" customHeight="1" x14ac:dyDescent="0.2">
      <c r="F131" s="155"/>
      <c r="G131" s="155"/>
      <c r="H131" s="33"/>
      <c r="L131" s="33"/>
      <c r="M131" s="33"/>
      <c r="S131" s="422">
        <f>_xll.qlCalendarAdvance(Calendar,S130,"1D","f")</f>
        <v>42307</v>
      </c>
      <c r="T131" s="221">
        <f>_xll.qlCalendarAdvance(Calendar,S131,$G$1,"mf",,Trigger)</f>
        <v>42398</v>
      </c>
      <c r="U131" s="342">
        <f>_xll.qlDayCounterYearFraction(DayCounter,S131,T131,,,Trigger)</f>
        <v>0.24931506849315069</v>
      </c>
      <c r="V131" s="32">
        <f>_xll.qlInterpolationInterpolate(B3Minterpolation,S131,TRUE)</f>
        <v>1.6065287442036341E-3</v>
      </c>
      <c r="W131" s="345">
        <f>_xll.qlYieldTSDiscount(Discounting,S131,,AllTriggers)</f>
        <v>0.99771772071387299</v>
      </c>
      <c r="X131" s="345">
        <f>_xll.qlYieldTSDiscount(Discounting,T131,,AllTriggers)</f>
        <v>0.99641896578409539</v>
      </c>
      <c r="Y131" s="32">
        <f t="shared" si="9"/>
        <v>5.2280134463381115E-3</v>
      </c>
      <c r="Z131" s="451">
        <f t="shared" si="10"/>
        <v>3.9993045842784039E-4</v>
      </c>
      <c r="AE131" s="33"/>
      <c r="AF131" s="33"/>
    </row>
    <row r="132" spans="6:32" ht="11.25" customHeight="1" x14ac:dyDescent="0.2">
      <c r="F132" s="155"/>
      <c r="G132" s="155"/>
      <c r="H132" s="33"/>
      <c r="L132" s="33"/>
      <c r="M132" s="33"/>
      <c r="S132" s="422">
        <f>_xll.qlCalendarAdvance(Calendar,S131,"1D","f")</f>
        <v>42310</v>
      </c>
      <c r="T132" s="221">
        <f>_xll.qlCalendarAdvance(Calendar,S132,$G$1,"mf",,Trigger)</f>
        <v>42402</v>
      </c>
      <c r="U132" s="342">
        <f>_xll.qlDayCounterYearFraction(DayCounter,S132,T132,,,Trigger)</f>
        <v>0.25205479452054796</v>
      </c>
      <c r="V132" s="32">
        <f>_xll.qlInterpolationInterpolate(B3Minterpolation,S132,TRUE)</f>
        <v>1.611290856699484E-3</v>
      </c>
      <c r="W132" s="345">
        <f>_xll.qlYieldTSDiscount(Discounting,S132,,AllTriggers)</f>
        <v>0.99767759697172087</v>
      </c>
      <c r="X132" s="345">
        <f>_xll.qlYieldTSDiscount(Discounting,T132,,AllTriggers)</f>
        <v>0.99635658647019698</v>
      </c>
      <c r="Y132" s="32">
        <f t="shared" ref="Y132:Y195" si="11">(W132/X132-1)/U132</f>
        <v>5.2601304069911821E-3</v>
      </c>
      <c r="Z132" s="451">
        <f t="shared" ref="Z132:Z195" si="12">LN((1+(V132+Y132)*U132)/(1+Y132*U132))</f>
        <v>4.0551359842693857E-4</v>
      </c>
      <c r="AE132" s="33"/>
      <c r="AF132" s="33"/>
    </row>
    <row r="133" spans="6:32" ht="11.25" customHeight="1" x14ac:dyDescent="0.2">
      <c r="F133" s="155"/>
      <c r="G133" s="155"/>
      <c r="H133" s="33"/>
      <c r="L133" s="33"/>
      <c r="M133" s="33"/>
      <c r="S133" s="422">
        <f>_xll.qlCalendarAdvance(Calendar,S132,"1D","f")</f>
        <v>42311</v>
      </c>
      <c r="T133" s="221">
        <f>_xll.qlCalendarAdvance(Calendar,S133,$G$1,"mf",,Trigger)</f>
        <v>42403</v>
      </c>
      <c r="U133" s="342">
        <f>_xll.qlDayCounterYearFraction(DayCounter,S133,T133,,,Trigger)</f>
        <v>0.25205479452054796</v>
      </c>
      <c r="V133" s="32">
        <f>_xll.qlInterpolationInterpolate(B3Minterpolation,S133,TRUE)</f>
        <v>1.6129215462026992E-3</v>
      </c>
      <c r="W133" s="345">
        <f>_xll.qlYieldTSDiscount(Discounting,S133,,AllTriggers)</f>
        <v>0.99766412783910852</v>
      </c>
      <c r="X133" s="345">
        <f>_xll.qlYieldTSDiscount(Discounting,T133,,AllTriggers)</f>
        <v>0.99634082637567534</v>
      </c>
      <c r="Y133" s="32">
        <f t="shared" si="11"/>
        <v>5.2693361348579229E-3</v>
      </c>
      <c r="Z133" s="451">
        <f t="shared" si="12"/>
        <v>4.0592297035503614E-4</v>
      </c>
      <c r="AE133" s="33"/>
      <c r="AF133" s="33"/>
    </row>
    <row r="134" spans="6:32" ht="11.25" customHeight="1" x14ac:dyDescent="0.2">
      <c r="F134" s="155"/>
      <c r="G134" s="155"/>
      <c r="H134" s="33"/>
      <c r="L134" s="33"/>
      <c r="M134" s="33"/>
      <c r="S134" s="422">
        <f>_xll.qlCalendarAdvance(Calendar,S133,"1D","f")</f>
        <v>42312</v>
      </c>
      <c r="T134" s="221">
        <f>_xll.qlCalendarAdvance(Calendar,S134,$G$1,"mf",,Trigger)</f>
        <v>42404</v>
      </c>
      <c r="U134" s="342">
        <f>_xll.qlDayCounterYearFraction(DayCounter,S134,T134,,,Trigger)</f>
        <v>0.25205479452054796</v>
      </c>
      <c r="V134" s="32">
        <f>_xll.qlInterpolationInterpolate(B3Minterpolation,S134,TRUE)</f>
        <v>1.6145739758193791E-3</v>
      </c>
      <c r="W134" s="345">
        <f>_xll.qlYieldTSDiscount(Discounting,S134,,AllTriggers)</f>
        <v>0.9976506139101381</v>
      </c>
      <c r="X134" s="345">
        <f>_xll.qlYieldTSDiscount(Discounting,T134,,AllTriggers)</f>
        <v>0.99632500235663868</v>
      </c>
      <c r="Y134" s="32">
        <f t="shared" si="11"/>
        <v>5.2786186614377168E-3</v>
      </c>
      <c r="Z134" s="451">
        <f t="shared" si="12"/>
        <v>4.0633780256064803E-4</v>
      </c>
      <c r="AE134" s="33"/>
      <c r="AF134" s="33"/>
    </row>
    <row r="135" spans="6:32" ht="11.25" customHeight="1" x14ac:dyDescent="0.2">
      <c r="F135" s="155"/>
      <c r="G135" s="155"/>
      <c r="H135" s="33"/>
      <c r="L135" s="33"/>
      <c r="M135" s="33"/>
      <c r="S135" s="422">
        <f>_xll.qlCalendarAdvance(Calendar,S134,"1D","f")</f>
        <v>42313</v>
      </c>
      <c r="T135" s="221">
        <f>_xll.qlCalendarAdvance(Calendar,S135,$G$1,"mf",,Trigger)</f>
        <v>42405</v>
      </c>
      <c r="U135" s="342">
        <f>_xll.qlDayCounterYearFraction(DayCounter,S135,T135,,,Trigger)</f>
        <v>0.25205479452054796</v>
      </c>
      <c r="V135" s="32">
        <f>_xll.qlInterpolationInterpolate(B3Minterpolation,S135,TRUE)</f>
        <v>1.6162481940162226E-3</v>
      </c>
      <c r="W135" s="345">
        <f>_xll.qlYieldTSDiscount(Discounting,S135,,AllTriggers)</f>
        <v>0.99763705667245239</v>
      </c>
      <c r="X135" s="345">
        <f>_xll.qlYieldTSDiscount(Discounting,T135,,AllTriggers)</f>
        <v>0.99630911550394019</v>
      </c>
      <c r="Y135" s="32">
        <f t="shared" si="11"/>
        <v>5.2879795664379789E-3</v>
      </c>
      <c r="Z135" s="451">
        <f t="shared" si="12"/>
        <v>4.067581070076405E-4</v>
      </c>
      <c r="AE135" s="33"/>
      <c r="AF135" s="33"/>
    </row>
    <row r="136" spans="6:32" ht="11.25" customHeight="1" x14ac:dyDescent="0.2">
      <c r="F136" s="155"/>
      <c r="G136" s="155"/>
      <c r="H136" s="33"/>
      <c r="L136" s="33"/>
      <c r="M136" s="33"/>
      <c r="S136" s="422">
        <f>_xll.qlCalendarAdvance(Calendar,S135,"1D","f")</f>
        <v>42314</v>
      </c>
      <c r="T136" s="221">
        <f>_xll.qlCalendarAdvance(Calendar,S136,$G$1,"mf",,Trigger)</f>
        <v>42408</v>
      </c>
      <c r="U136" s="342">
        <f>_xll.qlDayCounterYearFraction(DayCounter,S136,T136,,,Trigger)</f>
        <v>0.25753424657534246</v>
      </c>
      <c r="V136" s="32">
        <f>_xll.qlInterpolationInterpolate(B3Minterpolation,S136,TRUE)</f>
        <v>1.6179442492599292E-3</v>
      </c>
      <c r="W136" s="345">
        <f>_xll.qlYieldTSDiscount(Discounting,S136,,AllTriggers)</f>
        <v>0.99762345761361881</v>
      </c>
      <c r="X136" s="345">
        <f>_xll.qlYieldTSDiscount(Discounting,T136,,AllTriggers)</f>
        <v>0.99626108885154407</v>
      </c>
      <c r="Y136" s="32">
        <f t="shared" si="11"/>
        <v>5.3099021689836283E-3</v>
      </c>
      <c r="Z136" s="451">
        <f t="shared" si="12"/>
        <v>4.1602048597418013E-4</v>
      </c>
      <c r="AE136" s="33"/>
      <c r="AF136" s="33"/>
    </row>
    <row r="137" spans="6:32" ht="11.25" customHeight="1" x14ac:dyDescent="0.2">
      <c r="F137" s="155"/>
      <c r="G137" s="155"/>
      <c r="H137" s="33"/>
      <c r="L137" s="33"/>
      <c r="M137" s="33"/>
      <c r="S137" s="422">
        <f>_xll.qlCalendarAdvance(Calendar,S136,"1D","f")</f>
        <v>42317</v>
      </c>
      <c r="T137" s="221">
        <f>_xll.qlCalendarAdvance(Calendar,S137,$G$1,"mf",,Trigger)</f>
        <v>42409</v>
      </c>
      <c r="U137" s="342">
        <f>_xll.qlDayCounterYearFraction(DayCounter,S137,T137,,,Trigger)</f>
        <v>0.25205479452054796</v>
      </c>
      <c r="V137" s="32">
        <f>_xll.qlInterpolationInterpolate(B3Minterpolation,S137,TRUE)</f>
        <v>1.6231639219392185E-3</v>
      </c>
      <c r="W137" s="345">
        <f>_xll.qlYieldTSDiscount(Discounting,S137,,AllTriggers)</f>
        <v>0.99758242438476974</v>
      </c>
      <c r="X137" s="345">
        <f>_xll.qlYieldTSDiscount(Discounting,T137,,AllTriggers)</f>
        <v>0.99624496157157549</v>
      </c>
      <c r="Y137" s="32">
        <f t="shared" si="11"/>
        <v>5.3262385654474472E-3</v>
      </c>
      <c r="Z137" s="451">
        <f t="shared" si="12"/>
        <v>4.084942864389345E-4</v>
      </c>
      <c r="AE137" s="33"/>
      <c r="AF137" s="33"/>
    </row>
    <row r="138" spans="6:32" ht="11.25" customHeight="1" x14ac:dyDescent="0.2">
      <c r="F138" s="155"/>
      <c r="G138" s="155"/>
      <c r="H138" s="33"/>
      <c r="L138" s="33"/>
      <c r="M138" s="33"/>
      <c r="S138" s="422">
        <f>_xll.qlCalendarAdvance(Calendar,S137,"1D","f")</f>
        <v>42318</v>
      </c>
      <c r="T138" s="221">
        <f>_xll.qlCalendarAdvance(Calendar,S138,$G$1,"mf",,Trigger)</f>
        <v>42410</v>
      </c>
      <c r="U138" s="342">
        <f>_xll.qlDayCounterYearFraction(DayCounter,S138,T138,,,Trigger)</f>
        <v>0.25205479452054796</v>
      </c>
      <c r="V138" s="32">
        <f>_xll.qlInterpolationInterpolate(B3Minterpolation,S138,TRUE)</f>
        <v>1.6249478100373686E-3</v>
      </c>
      <c r="W138" s="345">
        <f>_xll.qlYieldTSDiscount(Discounting,S138,,AllTriggers)</f>
        <v>0.99756867291549955</v>
      </c>
      <c r="X138" s="345">
        <f>_xll.qlYieldTSDiscount(Discounting,T138,,AllTriggers)</f>
        <v>0.99622877691133849</v>
      </c>
      <c r="Y138" s="32">
        <f t="shared" si="11"/>
        <v>5.3360150588299196E-3</v>
      </c>
      <c r="Z138" s="451">
        <f t="shared" si="12"/>
        <v>4.0894213150145472E-4</v>
      </c>
      <c r="AE138" s="33"/>
      <c r="AF138" s="33"/>
    </row>
    <row r="139" spans="6:32" ht="11.25" customHeight="1" x14ac:dyDescent="0.2">
      <c r="F139" s="155"/>
      <c r="G139" s="155"/>
      <c r="H139" s="33"/>
      <c r="L139" s="33"/>
      <c r="M139" s="33"/>
      <c r="S139" s="422">
        <f>_xll.qlCalendarAdvance(Calendar,S138,"1D","f")</f>
        <v>42319</v>
      </c>
      <c r="T139" s="221">
        <f>_xll.qlCalendarAdvance(Calendar,S139,$G$1,"mf",,Trigger)</f>
        <v>42411</v>
      </c>
      <c r="U139" s="342">
        <f>_xll.qlDayCounterYearFraction(DayCounter,S139,T139,,,Trigger)</f>
        <v>0.25205479452054796</v>
      </c>
      <c r="V139" s="32">
        <f>_xll.qlInterpolationInterpolate(B3Minterpolation,S139,TRUE)</f>
        <v>1.6267537775158775E-3</v>
      </c>
      <c r="W139" s="345">
        <f>_xll.qlYieldTSDiscount(Discounting,S139,,AllTriggers)</f>
        <v>0.99755488706177353</v>
      </c>
      <c r="X139" s="345">
        <f>_xll.qlYieldTSDiscount(Discounting,T139,,AllTriggers)</f>
        <v>0.9962125359613323</v>
      </c>
      <c r="Y139" s="32">
        <f t="shared" si="11"/>
        <v>5.345879409289633E-3</v>
      </c>
      <c r="Z139" s="451">
        <f t="shared" si="12"/>
        <v>4.0939552055736919E-4</v>
      </c>
      <c r="AE139" s="33"/>
      <c r="AF139" s="33"/>
    </row>
    <row r="140" spans="6:32" ht="11.25" customHeight="1" x14ac:dyDescent="0.2">
      <c r="F140" s="155"/>
      <c r="G140" s="155"/>
      <c r="H140" s="33"/>
      <c r="L140" s="33"/>
      <c r="M140" s="33"/>
      <c r="S140" s="422">
        <f>_xll.qlCalendarAdvance(Calendar,S139,"1D","f")</f>
        <v>42320</v>
      </c>
      <c r="T140" s="221">
        <f>_xll.qlCalendarAdvance(Calendar,S140,$G$1,"mf",,Trigger)</f>
        <v>42412</v>
      </c>
      <c r="U140" s="342">
        <f>_xll.qlDayCounterYearFraction(DayCounter,S140,T140,,,Trigger)</f>
        <v>0.25205479452054796</v>
      </c>
      <c r="V140" s="32">
        <f>_xll.qlInterpolationInterpolate(B3Minterpolation,S140,TRUE)</f>
        <v>1.6285818728414443E-3</v>
      </c>
      <c r="W140" s="345">
        <f>_xll.qlYieldTSDiscount(Discounting,S140,,AllTriggers)</f>
        <v>0.99754106831069644</v>
      </c>
      <c r="X140" s="345">
        <f>_xll.qlYieldTSDiscount(Discounting,T140,,AllTriggers)</f>
        <v>0.99619623981199501</v>
      </c>
      <c r="Y140" s="32">
        <f t="shared" si="11"/>
        <v>5.3558331966740737E-3</v>
      </c>
      <c r="Z140" s="451">
        <f t="shared" si="12"/>
        <v>4.0985446555977359E-4</v>
      </c>
      <c r="AE140" s="33"/>
      <c r="AF140" s="33"/>
    </row>
    <row r="141" spans="6:32" ht="11.25" customHeight="1" x14ac:dyDescent="0.2">
      <c r="F141" s="155"/>
      <c r="G141" s="155"/>
      <c r="H141" s="33"/>
      <c r="L141" s="33"/>
      <c r="M141" s="33"/>
      <c r="S141" s="422">
        <f>_xll.qlCalendarAdvance(Calendar,S140,"1D","f")</f>
        <v>42321</v>
      </c>
      <c r="T141" s="221">
        <f>_xll.qlCalendarAdvance(Calendar,S141,$G$1,"mf",,Trigger)</f>
        <v>42415</v>
      </c>
      <c r="U141" s="342">
        <f>_xll.qlDayCounterYearFraction(DayCounter,S141,T141,,,Trigger)</f>
        <v>0.25753424657534246</v>
      </c>
      <c r="V141" s="32">
        <f>_xll.qlInterpolationInterpolate(B3Minterpolation,S141,TRUE)</f>
        <v>1.6304321444807685E-3</v>
      </c>
      <c r="W141" s="345">
        <f>_xll.qlYieldTSDiscount(Discounting,S141,,AllTriggers)</f>
        <v>0.99752721814929457</v>
      </c>
      <c r="X141" s="345">
        <f>_xll.qlYieldTSDiscount(Discounting,T141,,AllTriggers)</f>
        <v>0.99614703107144487</v>
      </c>
      <c r="Y141" s="32">
        <f t="shared" si="11"/>
        <v>5.3799658990533062E-3</v>
      </c>
      <c r="Z141" s="451">
        <f t="shared" si="12"/>
        <v>4.192232612961711E-4</v>
      </c>
      <c r="AE141" s="33"/>
      <c r="AF141" s="33"/>
    </row>
    <row r="142" spans="6:32" ht="11.25" customHeight="1" x14ac:dyDescent="0.2">
      <c r="F142" s="155"/>
      <c r="G142" s="155"/>
      <c r="H142" s="33"/>
      <c r="L142" s="33"/>
      <c r="M142" s="33"/>
      <c r="S142" s="422">
        <f>_xll.qlCalendarAdvance(Calendar,S141,"1D","f")</f>
        <v>42324</v>
      </c>
      <c r="T142" s="221">
        <f>_xll.qlCalendarAdvance(Calendar,S142,$G$1,"mf",,Trigger)</f>
        <v>42416</v>
      </c>
      <c r="U142" s="342">
        <f>_xll.qlDayCounterYearFraction(DayCounter,S142,T142,,,Trigger)</f>
        <v>0.25205479452054796</v>
      </c>
      <c r="V142" s="32">
        <f>_xll.qlInterpolationInterpolate(B3Minterpolation,S142,TRUE)</f>
        <v>1.6361165019482757E-3</v>
      </c>
      <c r="W142" s="345">
        <f>_xll.qlYieldTSDiscount(Discounting,S142,,AllTriggers)</f>
        <v>0.9974854940722071</v>
      </c>
      <c r="X142" s="345">
        <f>_xll.qlYieldTSDiscount(Discounting,T142,,AllTriggers)</f>
        <v>0.99613052502791699</v>
      </c>
      <c r="Y142" s="32">
        <f t="shared" si="11"/>
        <v>5.3965743132174896E-3</v>
      </c>
      <c r="Z142" s="451">
        <f t="shared" si="12"/>
        <v>4.1174604403137067E-4</v>
      </c>
      <c r="AE142" s="33"/>
      <c r="AF142" s="33"/>
    </row>
    <row r="143" spans="6:32" ht="11.25" customHeight="1" x14ac:dyDescent="0.2">
      <c r="F143" s="155"/>
      <c r="G143" s="155"/>
      <c r="H143" s="33"/>
      <c r="L143" s="33"/>
      <c r="M143" s="33"/>
      <c r="S143" s="422">
        <f>_xll.qlCalendarAdvance(Calendar,S142,"1D","f")</f>
        <v>42325</v>
      </c>
      <c r="T143" s="221">
        <f>_xll.qlCalendarAdvance(Calendar,S143,$G$1,"mf",,Trigger)</f>
        <v>42417</v>
      </c>
      <c r="U143" s="342">
        <f>_xll.qlDayCounterYearFraction(DayCounter,S143,T143,,,Trigger)</f>
        <v>0.25205479452054796</v>
      </c>
      <c r="V143" s="32">
        <f>_xll.qlInterpolationInterpolate(B3Minterpolation,S143,TRUE)</f>
        <v>1.6380559635096202E-3</v>
      </c>
      <c r="W143" s="345">
        <f>_xll.qlYieldTSDiscount(Discounting,S143,,AllTriggers)</f>
        <v>0.99747153313817183</v>
      </c>
      <c r="X143" s="345">
        <f>_xll.qlYieldTSDiscount(Discounting,T143,,AllTriggers)</f>
        <v>0.99611396923630824</v>
      </c>
      <c r="Y143" s="32">
        <f t="shared" si="11"/>
        <v>5.4069989837403649E-3</v>
      </c>
      <c r="Z143" s="451">
        <f t="shared" si="12"/>
        <v>4.1223294799870488E-4</v>
      </c>
      <c r="AE143" s="33"/>
      <c r="AF143" s="33"/>
    </row>
    <row r="144" spans="6:32" ht="11.25" customHeight="1" x14ac:dyDescent="0.2">
      <c r="F144" s="155"/>
      <c r="G144" s="155"/>
      <c r="H144" s="33"/>
      <c r="L144" s="33"/>
      <c r="M144" s="33"/>
      <c r="S144" s="422">
        <f>_xll.qlCalendarAdvance(Calendar,S143,"1D","f")</f>
        <v>42326</v>
      </c>
      <c r="T144" s="221">
        <f>_xll.qlCalendarAdvance(Calendar,S144,$G$1,"mf",,Trigger)</f>
        <v>42418</v>
      </c>
      <c r="U144" s="342">
        <f>_xll.qlDayCounterYearFraction(DayCounter,S144,T144,,,Trigger)</f>
        <v>0.25205479452054796</v>
      </c>
      <c r="V144" s="32">
        <f>_xll.qlInterpolationInterpolate(B3Minterpolation,S144,TRUE)</f>
        <v>1.6400178437182178E-3</v>
      </c>
      <c r="W144" s="345">
        <f>_xll.qlYieldTSDiscount(Discounting,S144,,AllTriggers)</f>
        <v>0.9974575482277418</v>
      </c>
      <c r="X144" s="345">
        <f>_xll.qlYieldTSDiscount(Discounting,T144,,AllTriggers)</f>
        <v>0.99609736478667676</v>
      </c>
      <c r="Y144" s="32">
        <f t="shared" si="11"/>
        <v>5.4175225707529858E-3</v>
      </c>
      <c r="Z144" s="451">
        <f t="shared" si="12"/>
        <v>4.127254795936085E-4</v>
      </c>
      <c r="AE144" s="33"/>
      <c r="AF144" s="33"/>
    </row>
    <row r="145" spans="6:32" ht="11.25" customHeight="1" x14ac:dyDescent="0.2">
      <c r="F145" s="155"/>
      <c r="G145" s="155"/>
      <c r="H145" s="33"/>
      <c r="L145" s="33"/>
      <c r="M145" s="33"/>
      <c r="S145" s="422">
        <f>_xll.qlCalendarAdvance(Calendar,S144,"1D","f")</f>
        <v>42327</v>
      </c>
      <c r="T145" s="221">
        <f>_xll.qlCalendarAdvance(Calendar,S145,$G$1,"mf",,Trigger)</f>
        <v>42419</v>
      </c>
      <c r="U145" s="342">
        <f>_xll.qlDayCounterYearFraction(DayCounter,S145,T145,,,Trigger)</f>
        <v>0.25205479452054796</v>
      </c>
      <c r="V145" s="32">
        <f>_xll.qlInterpolationInterpolate(B3Minterpolation,S145,TRUE)</f>
        <v>1.6420021910407675E-3</v>
      </c>
      <c r="W145" s="345">
        <f>_xll.qlYieldTSDiscount(Discounting,S145,,AllTriggers)</f>
        <v>0.99744354082746023</v>
      </c>
      <c r="X145" s="345">
        <f>_xll.qlYieldTSDiscount(Discounting,T145,,AllTriggers)</f>
        <v>0.99608071276901522</v>
      </c>
      <c r="Y145" s="32">
        <f t="shared" si="11"/>
        <v>5.4281466542658108E-3</v>
      </c>
      <c r="Z145" s="451">
        <f t="shared" si="12"/>
        <v>4.132236507554891E-4</v>
      </c>
      <c r="AE145" s="33"/>
      <c r="AF145" s="33"/>
    </row>
    <row r="146" spans="6:32" ht="11.25" customHeight="1" x14ac:dyDescent="0.2">
      <c r="F146" s="155"/>
      <c r="G146" s="155"/>
      <c r="H146" s="33"/>
      <c r="L146" s="33"/>
      <c r="M146" s="33"/>
      <c r="S146" s="422">
        <f>_xll.qlCalendarAdvance(Calendar,S145,"1D","f")</f>
        <v>42328</v>
      </c>
      <c r="T146" s="221">
        <f>_xll.qlCalendarAdvance(Calendar,S146,$G$1,"mf",,Trigger)</f>
        <v>42422</v>
      </c>
      <c r="U146" s="342">
        <f>_xll.qlDayCounterYearFraction(DayCounter,S146,T146,,,Trigger)</f>
        <v>0.25753424657534246</v>
      </c>
      <c r="V146" s="32">
        <f>_xll.qlInterpolationInterpolate(B3Minterpolation,S146,TRUE)</f>
        <v>1.6440090539439687E-3</v>
      </c>
      <c r="W146" s="345">
        <f>_xll.qlYieldTSDiscount(Discounting,S146,,AllTriggers)</f>
        <v>0.9974295124237883</v>
      </c>
      <c r="X146" s="345">
        <f>_xll.qlYieldTSDiscount(Discounting,T146,,AllTriggers)</f>
        <v>0.99603048220678847</v>
      </c>
      <c r="Y146" s="32">
        <f t="shared" si="11"/>
        <v>5.454054532521793E-3</v>
      </c>
      <c r="Z146" s="451">
        <f t="shared" si="12"/>
        <v>4.2270542054373406E-4</v>
      </c>
      <c r="AE146" s="33"/>
      <c r="AF146" s="33"/>
    </row>
    <row r="147" spans="6:32" ht="11.25" customHeight="1" x14ac:dyDescent="0.2">
      <c r="F147" s="155"/>
      <c r="G147" s="155"/>
      <c r="H147" s="33"/>
      <c r="L147" s="33"/>
      <c r="M147" s="33"/>
      <c r="S147" s="422">
        <f>_xll.qlCalendarAdvance(Calendar,S146,"1D","f")</f>
        <v>42331</v>
      </c>
      <c r="T147" s="221">
        <f>_xll.qlCalendarAdvance(Calendar,S147,$G$1,"mf",,Trigger)</f>
        <v>42423</v>
      </c>
      <c r="U147" s="342">
        <f>_xll.qlDayCounterYearFraction(DayCounter,S147,T147,,,Trigger)</f>
        <v>0.25205479452054796</v>
      </c>
      <c r="V147" s="32">
        <f>_xll.qlInterpolationInterpolate(B3Minterpolation,S147,TRUE)</f>
        <v>1.6501652208044725E-3</v>
      </c>
      <c r="W147" s="345">
        <f>_xll.qlYieldTSDiscount(Discounting,S147,,AllTriggers)</f>
        <v>0.99738731605580733</v>
      </c>
      <c r="X147" s="345">
        <f>_xll.qlYieldTSDiscount(Discounting,T147,,AllTriggers)</f>
        <v>0.99601365081561111</v>
      </c>
      <c r="Y147" s="32">
        <f t="shared" si="11"/>
        <v>5.471679554367846E-3</v>
      </c>
      <c r="Z147" s="451">
        <f t="shared" si="12"/>
        <v>4.1527296982012704E-4</v>
      </c>
      <c r="AE147" s="33"/>
      <c r="AF147" s="33"/>
    </row>
    <row r="148" spans="6:32" ht="11.25" customHeight="1" x14ac:dyDescent="0.2">
      <c r="F148" s="155"/>
      <c r="G148" s="155"/>
      <c r="H148" s="33"/>
      <c r="L148" s="33"/>
      <c r="M148" s="33"/>
      <c r="S148" s="422">
        <f>_xll.qlCalendarAdvance(Calendar,S147,"1D","f")</f>
        <v>42332</v>
      </c>
      <c r="T148" s="221">
        <f>_xll.qlCalendarAdvance(Calendar,S148,$G$1,"mf",,Trigger)</f>
        <v>42424</v>
      </c>
      <c r="U148" s="342">
        <f>_xll.qlDayCounterYearFraction(DayCounter,S148,T148,,,Trigger)</f>
        <v>0.25205479452054796</v>
      </c>
      <c r="V148" s="32">
        <f>_xll.qlInterpolationInterpolate(B3Minterpolation,S148,TRUE)</f>
        <v>1.6522626306972709E-3</v>
      </c>
      <c r="W148" s="345">
        <f>_xll.qlYieldTSDiscount(Discounting,S148,,AllTriggers)</f>
        <v>0.99737321850153771</v>
      </c>
      <c r="X148" s="345">
        <f>_xll.qlYieldTSDiscount(Discounting,T148,,AllTriggers)</f>
        <v>0.99599677730537062</v>
      </c>
      <c r="Y148" s="32">
        <f t="shared" si="11"/>
        <v>5.4828298213913107E-3</v>
      </c>
      <c r="Z148" s="451">
        <f t="shared" si="12"/>
        <v>4.1579951785853541E-4</v>
      </c>
      <c r="AE148" s="33"/>
      <c r="AF148" s="33"/>
    </row>
    <row r="149" spans="6:32" ht="11.25" customHeight="1" x14ac:dyDescent="0.2">
      <c r="F149" s="155"/>
      <c r="G149" s="155"/>
      <c r="H149" s="33"/>
      <c r="L149" s="33"/>
      <c r="M149" s="33"/>
      <c r="S149" s="422">
        <f>_xll.qlCalendarAdvance(Calendar,S148,"1D","f")</f>
        <v>42333</v>
      </c>
      <c r="T149" s="221">
        <f>_xll.qlCalendarAdvance(Calendar,S149,$G$1,"mf",,Trigger)</f>
        <v>42425</v>
      </c>
      <c r="U149" s="342">
        <f>_xll.qlDayCounterYearFraction(DayCounter,S149,T149,,,Trigger)</f>
        <v>0.25205479452054796</v>
      </c>
      <c r="V149" s="32">
        <f>_xll.qlInterpolationInterpolate(B3Minterpolation,S149,TRUE)</f>
        <v>1.6543827985042166E-3</v>
      </c>
      <c r="W149" s="345">
        <f>_xll.qlYieldTSDiscount(Discounting,S149,,AllTriggers)</f>
        <v>0.99735910737494504</v>
      </c>
      <c r="X149" s="345">
        <f>_xll.qlYieldTSDiscount(Discounting,T149,,AllTriggers)</f>
        <v>0.99597986276565731</v>
      </c>
      <c r="Y149" s="32">
        <f t="shared" si="11"/>
        <v>5.4940900654974808E-3</v>
      </c>
      <c r="Z149" s="451">
        <f t="shared" si="12"/>
        <v>4.1633177706588043E-4</v>
      </c>
      <c r="AE149" s="33"/>
      <c r="AF149" s="33"/>
    </row>
    <row r="150" spans="6:32" ht="11.25" customHeight="1" x14ac:dyDescent="0.2">
      <c r="F150" s="155"/>
      <c r="G150" s="155"/>
      <c r="H150" s="33"/>
      <c r="L150" s="33"/>
      <c r="M150" s="33"/>
      <c r="S150" s="422">
        <f>_xll.qlCalendarAdvance(Calendar,S149,"1D","f")</f>
        <v>42334</v>
      </c>
      <c r="T150" s="221">
        <f>_xll.qlCalendarAdvance(Calendar,S150,$G$1,"mf",,Trigger)</f>
        <v>42426</v>
      </c>
      <c r="U150" s="342">
        <f>_xll.qlDayCounterYearFraction(DayCounter,S150,T150,,,Trigger)</f>
        <v>0.25205479452054796</v>
      </c>
      <c r="V150" s="32">
        <f>_xll.qlInterpolationInterpolate(B3Minterpolation,S150,TRUE)</f>
        <v>1.6565257726920087E-3</v>
      </c>
      <c r="W150" s="345">
        <f>_xll.qlYieldTSDiscount(Discounting,S150,,AllTriggers)</f>
        <v>0.99734498416199369</v>
      </c>
      <c r="X150" s="345">
        <f>_xll.qlYieldTSDiscount(Discounting,T150,,AllTriggers)</f>
        <v>0.99596290828599299</v>
      </c>
      <c r="Y150" s="32">
        <f t="shared" si="11"/>
        <v>5.5054618668782902E-3</v>
      </c>
      <c r="Z150" s="451">
        <f t="shared" si="12"/>
        <v>4.1686975936940237E-4</v>
      </c>
      <c r="AE150" s="33"/>
      <c r="AF150" s="33"/>
    </row>
    <row r="151" spans="6:32" ht="11.25" customHeight="1" x14ac:dyDescent="0.2">
      <c r="F151" s="155"/>
      <c r="G151" s="155"/>
      <c r="H151" s="33"/>
      <c r="L151" s="33"/>
      <c r="M151" s="33"/>
      <c r="S151" s="422">
        <f>_xll.qlCalendarAdvance(Calendar,S150,"1D","f")</f>
        <v>42335</v>
      </c>
      <c r="T151" s="221">
        <f>_xll.qlCalendarAdvance(Calendar,S151,$G$1,"mf",,Trigger)</f>
        <v>42429</v>
      </c>
      <c r="U151" s="342">
        <f>_xll.qlDayCounterYearFraction(DayCounter,S151,T151,,,Trigger)</f>
        <v>0.25753424657534246</v>
      </c>
      <c r="V151" s="32">
        <f>_xll.qlInterpolationInterpolate(B3Minterpolation,S151,TRUE)</f>
        <v>1.6586916017273467E-3</v>
      </c>
      <c r="W151" s="345">
        <f>_xll.qlYieldTSDiscount(Discounting,S151,,AllTriggers)</f>
        <v>0.99733085034856372</v>
      </c>
      <c r="X151" s="345">
        <f>_xll.qlYieldTSDiscount(Discounting,T151,,AllTriggers)</f>
        <v>0.9959118161014725</v>
      </c>
      <c r="Y151" s="32">
        <f t="shared" si="11"/>
        <v>5.5326984780705076E-3</v>
      </c>
      <c r="Z151" s="451">
        <f t="shared" si="12"/>
        <v>4.2647114921117585E-4</v>
      </c>
      <c r="AE151" s="33"/>
      <c r="AF151" s="33"/>
    </row>
    <row r="152" spans="6:32" ht="11.25" customHeight="1" x14ac:dyDescent="0.2">
      <c r="F152" s="155"/>
      <c r="G152" s="155"/>
      <c r="H152" s="33"/>
      <c r="L152" s="33"/>
      <c r="M152" s="33"/>
      <c r="S152" s="422">
        <f>_xll.qlCalendarAdvance(Calendar,S151,"1D","f")</f>
        <v>42338</v>
      </c>
      <c r="T152" s="221">
        <f>_xll.qlCalendarAdvance(Calendar,S152,$G$1,"mf",,Trigger)</f>
        <v>42429</v>
      </c>
      <c r="U152" s="342">
        <f>_xll.qlDayCounterYearFraction(DayCounter,S152,T152,,,Trigger)</f>
        <v>0.24931506849315069</v>
      </c>
      <c r="V152" s="32">
        <f>_xll.qlInterpolationInterpolate(B3Minterpolation,S152,TRUE)</f>
        <v>1.6653267025856255E-3</v>
      </c>
      <c r="W152" s="345">
        <f>_xll.qlYieldTSDiscount(Discounting,S152,,AllTriggers)</f>
        <v>0.99728840016294806</v>
      </c>
      <c r="X152" s="345">
        <f>_xll.qlYieldTSDiscount(Discounting,T152,,AllTriggers)</f>
        <v>0.9959118161014725</v>
      </c>
      <c r="Y152" s="32">
        <f t="shared" si="11"/>
        <v>5.5441289620348855E-3</v>
      </c>
      <c r="Z152" s="451">
        <f t="shared" si="12"/>
        <v>4.145320112658034E-4</v>
      </c>
      <c r="AE152" s="33"/>
      <c r="AF152" s="33"/>
    </row>
    <row r="153" spans="6:32" ht="11.25" customHeight="1" x14ac:dyDescent="0.2">
      <c r="F153" s="155"/>
      <c r="G153" s="155"/>
      <c r="H153" s="33"/>
      <c r="L153" s="33"/>
      <c r="M153" s="33"/>
      <c r="S153" s="422">
        <f>_xll.qlCalendarAdvance(Calendar,S152,"1D","f")</f>
        <v>42339</v>
      </c>
      <c r="T153" s="221">
        <f>_xll.qlCalendarAdvance(Calendar,S153,$G$1,"mf",,Trigger)</f>
        <v>42430</v>
      </c>
      <c r="U153" s="342">
        <f>_xll.qlDayCounterYearFraction(DayCounter,S153,T153,,,Trigger)</f>
        <v>0.24931506849315069</v>
      </c>
      <c r="V153" s="32">
        <f>_xll.qlInterpolationInterpolate(B3Minterpolation,S153,TRUE)</f>
        <v>1.6675844356781376E-3</v>
      </c>
      <c r="W153" s="345">
        <f>_xll.qlYieldTSDiscount(Discounting,S153,,AllTriggers)</f>
        <v>0.99727423854253228</v>
      </c>
      <c r="X153" s="345">
        <f>_xll.qlYieldTSDiscount(Discounting,T153,,AllTriggers)</f>
        <v>0.99589471283233055</v>
      </c>
      <c r="Y153" s="32">
        <f t="shared" si="11"/>
        <v>5.5560717339879842E-3</v>
      </c>
      <c r="Z153" s="451">
        <f t="shared" si="12"/>
        <v>4.1509265407456446E-4</v>
      </c>
      <c r="AE153" s="33"/>
      <c r="AF153" s="33"/>
    </row>
    <row r="154" spans="6:32" ht="11.25" customHeight="1" x14ac:dyDescent="0.2">
      <c r="F154" s="155"/>
      <c r="G154" s="155"/>
      <c r="H154" s="33"/>
      <c r="L154" s="33"/>
      <c r="M154" s="33"/>
      <c r="S154" s="422">
        <f>_xll.qlCalendarAdvance(Calendar,S153,"1D","f")</f>
        <v>42340</v>
      </c>
      <c r="T154" s="221">
        <f>_xll.qlCalendarAdvance(Calendar,S154,$G$1,"mf",,Trigger)</f>
        <v>42431</v>
      </c>
      <c r="U154" s="342">
        <f>_xll.qlDayCounterYearFraction(DayCounter,S154,T154,,,Trigger)</f>
        <v>0.24931506849315069</v>
      </c>
      <c r="V154" s="32">
        <f>_xll.qlInterpolationInterpolate(B3Minterpolation,S154,TRUE)</f>
        <v>1.6698652659516912E-3</v>
      </c>
      <c r="W154" s="345">
        <f>_xll.qlYieldTSDiscount(Discounting,S154,,AllTriggers)</f>
        <v>0.99726007217662882</v>
      </c>
      <c r="X154" s="345">
        <f>_xll.qlYieldTSDiscount(Discounting,T154,,AllTriggers)</f>
        <v>0.99587757552877687</v>
      </c>
      <c r="Y154" s="32">
        <f t="shared" si="11"/>
        <v>5.568133070290875E-3</v>
      </c>
      <c r="Z154" s="451">
        <f t="shared" si="12"/>
        <v>4.1565902907054976E-4</v>
      </c>
      <c r="AE154" s="33"/>
      <c r="AF154" s="33"/>
    </row>
    <row r="155" spans="6:32" ht="11.25" customHeight="1" x14ac:dyDescent="0.2">
      <c r="F155" s="155"/>
      <c r="G155" s="155"/>
      <c r="H155" s="33"/>
      <c r="L155" s="33"/>
      <c r="M155" s="33"/>
      <c r="S155" s="422">
        <f>_xll.qlCalendarAdvance(Calendar,S154,"1D","f")</f>
        <v>42341</v>
      </c>
      <c r="T155" s="221">
        <f>_xll.qlCalendarAdvance(Calendar,S155,$G$1,"mf",,Trigger)</f>
        <v>42432</v>
      </c>
      <c r="U155" s="342">
        <f>_xll.qlDayCounterYearFraction(DayCounter,S155,T155,,,Trigger)</f>
        <v>0.24931506849315069</v>
      </c>
      <c r="V155" s="32">
        <f>_xll.qlInterpolationInterpolate(B3Minterpolation,S155,TRUE)</f>
        <v>1.6721692418729852E-3</v>
      </c>
      <c r="W155" s="345">
        <f>_xll.qlYieldTSDiscount(Discounting,S155,,AllTriggers)</f>
        <v>0.99724590097754451</v>
      </c>
      <c r="X155" s="345">
        <f>_xll.qlYieldTSDiscount(Discounting,T155,,AllTriggers)</f>
        <v>0.99586040573885903</v>
      </c>
      <c r="Y155" s="32">
        <f t="shared" si="11"/>
        <v>5.5803063814169147E-3</v>
      </c>
      <c r="Z155" s="451">
        <f t="shared" si="12"/>
        <v>4.1623114888663884E-4</v>
      </c>
      <c r="AE155" s="33"/>
      <c r="AF155" s="33"/>
    </row>
    <row r="156" spans="6:32" ht="11.25" customHeight="1" x14ac:dyDescent="0.2">
      <c r="F156" s="155"/>
      <c r="G156" s="155"/>
      <c r="H156" s="33"/>
      <c r="L156" s="33"/>
      <c r="M156" s="33"/>
      <c r="S156" s="422">
        <f>_xll.qlCalendarAdvance(Calendar,S155,"1D","f")</f>
        <v>42342</v>
      </c>
      <c r="T156" s="221">
        <f>_xll.qlCalendarAdvance(Calendar,S156,$G$1,"mf",,Trigger)</f>
        <v>42433</v>
      </c>
      <c r="U156" s="342">
        <f>_xll.qlDayCounterYearFraction(DayCounter,S156,T156,,,Trigger)</f>
        <v>0.24931506849315069</v>
      </c>
      <c r="V156" s="32">
        <f>_xll.qlInterpolationInterpolate(B3Minterpolation,S156,TRUE)</f>
        <v>1.6744964119087193E-3</v>
      </c>
      <c r="W156" s="345">
        <f>_xll.qlYieldTSDiscount(Discounting,S156,,AllTriggers)</f>
        <v>0.99723172485759104</v>
      </c>
      <c r="X156" s="345">
        <f>_xll.qlYieldTSDiscount(Discounting,T156,,AllTriggers)</f>
        <v>0.99584320501052137</v>
      </c>
      <c r="Y156" s="32">
        <f t="shared" si="11"/>
        <v>5.5925850777664328E-3</v>
      </c>
      <c r="Z156" s="451">
        <f t="shared" si="12"/>
        <v>4.1680902615824682E-4</v>
      </c>
      <c r="AE156" s="33"/>
      <c r="AF156" s="33"/>
    </row>
    <row r="157" spans="6:32" ht="11.25" customHeight="1" x14ac:dyDescent="0.2">
      <c r="F157" s="155"/>
      <c r="G157" s="155"/>
      <c r="H157" s="33"/>
      <c r="L157" s="33"/>
      <c r="M157" s="33"/>
      <c r="S157" s="422">
        <f>_xll.qlCalendarAdvance(Calendar,S156,"1D","f")</f>
        <v>42345</v>
      </c>
      <c r="T157" s="221">
        <f>_xll.qlCalendarAdvance(Calendar,S157,$G$1,"mf",,Trigger)</f>
        <v>42436</v>
      </c>
      <c r="U157" s="342">
        <f>_xll.qlDayCounterYearFraction(DayCounter,S157,T157,,,Trigger)</f>
        <v>0.24931506849315069</v>
      </c>
      <c r="V157" s="32">
        <f>_xll.qlInterpolationInterpolate(B3Minterpolation,S157,TRUE)</f>
        <v>1.681617571369552E-3</v>
      </c>
      <c r="W157" s="345">
        <f>_xll.qlYieldTSDiscount(Discounting,S157,,AllTriggers)</f>
        <v>0.99718916609571007</v>
      </c>
      <c r="X157" s="345">
        <f>_xll.qlYieldTSDiscount(Discounting,T157,,AllTriggers)</f>
        <v>0.99579143267287218</v>
      </c>
      <c r="Y157" s="32">
        <f t="shared" si="11"/>
        <v>5.6299875810805998E-3</v>
      </c>
      <c r="Z157" s="451">
        <f t="shared" si="12"/>
        <v>4.1857732909813291E-4</v>
      </c>
      <c r="AE157" s="33"/>
      <c r="AF157" s="33"/>
    </row>
    <row r="158" spans="6:32" ht="11.25" customHeight="1" x14ac:dyDescent="0.2">
      <c r="F158" s="155"/>
      <c r="G158" s="155"/>
      <c r="H158" s="33"/>
      <c r="L158" s="33"/>
      <c r="M158" s="33"/>
      <c r="S158" s="422">
        <f>_xll.qlCalendarAdvance(Calendar,S157,"1D","f")</f>
        <v>42346</v>
      </c>
      <c r="T158" s="221">
        <f>_xll.qlCalendarAdvance(Calendar,S158,$G$1,"mf",,Trigger)</f>
        <v>42437</v>
      </c>
      <c r="U158" s="342">
        <f>_xll.qlDayCounterYearFraction(DayCounter,S158,T158,,,Trigger)</f>
        <v>0.24931506849315069</v>
      </c>
      <c r="V158" s="32">
        <f>_xll.qlInterpolationInterpolate(B3Minterpolation,S158,TRUE)</f>
        <v>1.6840380025300371E-3</v>
      </c>
      <c r="W158" s="345">
        <f>_xll.qlYieldTSDiscount(Discounting,S158,,AllTriggers)</f>
        <v>0.99717496941549955</v>
      </c>
      <c r="X158" s="345">
        <f>_xll.qlYieldTSDiscount(Discounting,T158,,AllTriggers)</f>
        <v>0.99577412366821438</v>
      </c>
      <c r="Y158" s="32">
        <f t="shared" si="11"/>
        <v>5.6426219208764953E-3</v>
      </c>
      <c r="Z158" s="451">
        <f t="shared" si="12"/>
        <v>4.1917836259798688E-4</v>
      </c>
      <c r="AE158" s="33"/>
      <c r="AF158" s="33"/>
    </row>
    <row r="159" spans="6:32" ht="11.25" customHeight="1" x14ac:dyDescent="0.2">
      <c r="F159" s="155"/>
      <c r="G159" s="155"/>
      <c r="H159" s="33"/>
      <c r="L159" s="33"/>
      <c r="M159" s="33"/>
      <c r="S159" s="422">
        <f>_xll.qlCalendarAdvance(Calendar,S158,"1D","f")</f>
        <v>42347</v>
      </c>
      <c r="T159" s="221">
        <f>_xll.qlCalendarAdvance(Calendar,S159,$G$1,"mf",,Trigger)</f>
        <v>42438</v>
      </c>
      <c r="U159" s="342">
        <f>_xll.qlDayCounterYearFraction(DayCounter,S159,T159,,,Trigger)</f>
        <v>0.24931506849315069</v>
      </c>
      <c r="V159" s="32">
        <f>_xll.qlInterpolationInterpolate(B3Minterpolation,S159,TRUE)</f>
        <v>1.6864818701384579E-3</v>
      </c>
      <c r="W159" s="345">
        <f>_xll.qlYieldTSDiscount(Discounting,S159,,AllTriggers)</f>
        <v>0.99716076737605497</v>
      </c>
      <c r="X159" s="345">
        <f>_xll.qlYieldTSDiscount(Discounting,T159,,AllTriggers)</f>
        <v>0.99575679146329155</v>
      </c>
      <c r="Y159" s="32">
        <f t="shared" si="11"/>
        <v>5.6553286967913627E-3</v>
      </c>
      <c r="Z159" s="451">
        <f t="shared" si="12"/>
        <v>4.1978521677066386E-4</v>
      </c>
      <c r="AE159" s="33"/>
      <c r="AF159" s="33"/>
    </row>
    <row r="160" spans="6:32" ht="11.25" customHeight="1" x14ac:dyDescent="0.2">
      <c r="F160" s="155"/>
      <c r="G160" s="155"/>
      <c r="H160" s="33"/>
      <c r="L160" s="33"/>
      <c r="M160" s="33"/>
      <c r="S160" s="422">
        <f>_xll.qlCalendarAdvance(Calendar,S159,"1D","f")</f>
        <v>42348</v>
      </c>
      <c r="T160" s="221">
        <f>_xll.qlCalendarAdvance(Calendar,S160,$G$1,"mf",,Trigger)</f>
        <v>42439</v>
      </c>
      <c r="U160" s="342">
        <f>_xll.qlDayCounterYearFraction(DayCounter,S160,T160,,,Trigger)</f>
        <v>0.24931506849315069</v>
      </c>
      <c r="V160" s="32">
        <f>_xll.qlInterpolationInterpolate(B3Minterpolation,S160,TRUE)</f>
        <v>1.6889492226615137E-3</v>
      </c>
      <c r="W160" s="345">
        <f>_xll.qlYieldTSDiscount(Discounting,S160,,AllTriggers)</f>
        <v>0.99714655988971868</v>
      </c>
      <c r="X160" s="345">
        <f>_xll.qlYieldTSDiscount(Discounting,T160,,AllTriggers)</f>
        <v>0.99573943760541828</v>
      </c>
      <c r="Y160" s="32">
        <f t="shared" si="11"/>
        <v>5.6681013187739847E-3</v>
      </c>
      <c r="Z160" s="451">
        <f t="shared" si="12"/>
        <v>4.2039790426855297E-4</v>
      </c>
      <c r="AE160" s="33"/>
      <c r="AF160" s="33"/>
    </row>
    <row r="161" spans="6:32" ht="11.25" customHeight="1" x14ac:dyDescent="0.2">
      <c r="F161" s="155"/>
      <c r="G161" s="155"/>
      <c r="H161" s="33"/>
      <c r="L161" s="33"/>
      <c r="M161" s="33"/>
      <c r="S161" s="422">
        <f>_xll.qlCalendarAdvance(Calendar,S160,"1D","f")</f>
        <v>42349</v>
      </c>
      <c r="T161" s="221">
        <f>_xll.qlCalendarAdvance(Calendar,S161,$G$1,"mf",,Trigger)</f>
        <v>42440</v>
      </c>
      <c r="U161" s="342">
        <f>_xll.qlDayCounterYearFraction(DayCounter,S161,T161,,,Trigger)</f>
        <v>0.24931506849315069</v>
      </c>
      <c r="V161" s="32">
        <f>_xll.qlInterpolationInterpolate(B3Minterpolation,S161,TRUE)</f>
        <v>1.6914401085659034E-3</v>
      </c>
      <c r="W161" s="345">
        <f>_xll.qlYieldTSDiscount(Discounting,S161,,AllTriggers)</f>
        <v>0.99713234686883789</v>
      </c>
      <c r="X161" s="345">
        <f>_xll.qlYieldTSDiscount(Discounting,T161,,AllTriggers)</f>
        <v>0.99572206364180282</v>
      </c>
      <c r="Y161" s="32">
        <f t="shared" si="11"/>
        <v>5.6809331966903203E-3</v>
      </c>
      <c r="Z161" s="451">
        <f t="shared" si="12"/>
        <v>4.2101643774679581E-4</v>
      </c>
      <c r="AE161" s="33"/>
      <c r="AF161" s="33"/>
    </row>
    <row r="162" spans="6:32" ht="11.25" customHeight="1" x14ac:dyDescent="0.2">
      <c r="F162" s="155"/>
      <c r="G162" s="155"/>
      <c r="H162" s="33"/>
      <c r="L162" s="33"/>
      <c r="M162" s="33"/>
      <c r="S162" s="422">
        <f>_xll.qlCalendarAdvance(Calendar,S161,"1D","f")</f>
        <v>42352</v>
      </c>
      <c r="T162" s="221">
        <f>_xll.qlCalendarAdvance(Calendar,S162,$G$1,"mf",,Trigger)</f>
        <v>42443</v>
      </c>
      <c r="U162" s="342">
        <f>_xll.qlDayCounterYearFraction(DayCounter,S162,T162,,,Trigger)</f>
        <v>0.24931506849315069</v>
      </c>
      <c r="V162" s="32">
        <f>_xll.qlInterpolationInterpolate(B3Minterpolation,S162,TRUE)</f>
        <v>1.6990544512340687E-3</v>
      </c>
      <c r="W162" s="345">
        <f>_xll.qlYieldTSDiscount(Discounting,S162,,AllTriggers)</f>
        <v>0.99708967372247947</v>
      </c>
      <c r="X162" s="345">
        <f>_xll.qlYieldTSDiscount(Discounting,T162,,AllTriggers)</f>
        <v>0.9956698365869866</v>
      </c>
      <c r="Y162" s="32">
        <f t="shared" si="11"/>
        <v>5.7197184634792475E-3</v>
      </c>
      <c r="Z162" s="451">
        <f t="shared" si="12"/>
        <v>4.2290724066876132E-4</v>
      </c>
      <c r="AE162" s="33"/>
      <c r="AF162" s="33"/>
    </row>
    <row r="163" spans="6:32" ht="11.25" customHeight="1" x14ac:dyDescent="0.2">
      <c r="F163" s="155"/>
      <c r="G163" s="155"/>
      <c r="H163" s="33"/>
      <c r="L163" s="33"/>
      <c r="M163" s="33"/>
      <c r="S163" s="422">
        <f>_xll.qlCalendarAdvance(Calendar,S162,"1D","f")</f>
        <v>42353</v>
      </c>
      <c r="T163" s="221">
        <f>_xll.qlCalendarAdvance(Calendar,S163,$G$1,"mf",,Trigger)</f>
        <v>42444</v>
      </c>
      <c r="U163" s="342">
        <f>_xll.qlDayCounterYearFraction(DayCounter,S163,T163,,,Trigger)</f>
        <v>0.24931506849315069</v>
      </c>
      <c r="V163" s="32">
        <f>_xll.qlInterpolationInterpolate(B3Minterpolation,S163,TRUE)</f>
        <v>1.7016399553307865E-3</v>
      </c>
      <c r="W163" s="345">
        <f>_xll.qlYieldTSDiscount(Discounting,S163,,AllTriggers)</f>
        <v>0.99707543768699691</v>
      </c>
      <c r="X163" s="345">
        <f>_xll.qlYieldTSDiscount(Discounting,T163,,AllTriggers)</f>
        <v>0.99565239767034952</v>
      </c>
      <c r="Y163" s="32">
        <f t="shared" si="11"/>
        <v>5.7327214621548305E-3</v>
      </c>
      <c r="Z163" s="451">
        <f t="shared" si="12"/>
        <v>4.2354928468950489E-4</v>
      </c>
      <c r="AE163" s="33"/>
      <c r="AF163" s="33"/>
    </row>
    <row r="164" spans="6:32" ht="11.25" customHeight="1" x14ac:dyDescent="0.2">
      <c r="F164" s="155"/>
      <c r="G164" s="155"/>
      <c r="H164" s="33"/>
      <c r="L164" s="33"/>
      <c r="M164" s="33"/>
      <c r="S164" s="422">
        <f>_xll.qlCalendarAdvance(Calendar,S163,"1D","f")</f>
        <v>42354</v>
      </c>
      <c r="T164" s="221">
        <f>_xll.qlCalendarAdvance(Calendar,S164,$G$1,"mf",,Trigger)</f>
        <v>42445</v>
      </c>
      <c r="U164" s="342">
        <f>_xll.qlDayCounterYearFraction(DayCounter,S164,T164,,,Trigger)</f>
        <v>0.24931506849315069</v>
      </c>
      <c r="V164" s="32">
        <f>_xll.qlInterpolationInterpolate(B3Minterpolation,S164,TRUE)</f>
        <v>1.7042492351423341E-3</v>
      </c>
      <c r="W164" s="345">
        <f>_xll.qlYieldTSDiscount(Discounting,S164,,AllTriggers)</f>
        <v>0.99706119567878337</v>
      </c>
      <c r="X164" s="345">
        <f>_xll.qlYieldTSDiscount(Discounting,T164,,AllTriggers)</f>
        <v>0.99563494638240713</v>
      </c>
      <c r="Y164" s="32">
        <f t="shared" si="11"/>
        <v>5.7457507648577336E-3</v>
      </c>
      <c r="Z164" s="451">
        <f t="shared" si="12"/>
        <v>4.2419723801844525E-4</v>
      </c>
      <c r="AE164" s="33"/>
      <c r="AF164" s="33"/>
    </row>
    <row r="165" spans="6:32" ht="11.25" customHeight="1" x14ac:dyDescent="0.2">
      <c r="F165" s="155"/>
      <c r="G165" s="155"/>
      <c r="H165" s="33"/>
      <c r="L165" s="33"/>
      <c r="M165" s="33"/>
      <c r="S165" s="422">
        <f>_xll.qlCalendarAdvance(Calendar,S164,"1D","f")</f>
        <v>42355</v>
      </c>
      <c r="T165" s="221">
        <f>_xll.qlCalendarAdvance(Calendar,S165,$G$1,"mf",,Trigger)</f>
        <v>42446</v>
      </c>
      <c r="U165" s="342">
        <f>_xll.qlDayCounterYearFraction(DayCounter,S165,T165,,,Trigger)</f>
        <v>0.24931506849315069</v>
      </c>
      <c r="V165" s="32">
        <f>_xll.qlInterpolationInterpolate(B3Minterpolation,S165,TRUE)</f>
        <v>1.7068852683290892E-3</v>
      </c>
      <c r="W165" s="345">
        <f>_xll.qlYieldTSDiscount(Discounting,S165,,AllTriggers)</f>
        <v>0.99704694761021706</v>
      </c>
      <c r="X165" s="345">
        <f>_xll.qlYieldTSDiscount(Discounting,T165,,AllTriggers)</f>
        <v>0.99561748426972396</v>
      </c>
      <c r="Y165" s="32">
        <f t="shared" si="11"/>
        <v>5.7587997809569495E-3</v>
      </c>
      <c r="Z165" s="451">
        <f t="shared" si="12"/>
        <v>4.2485184226701526E-4</v>
      </c>
      <c r="AE165" s="33"/>
      <c r="AF165" s="33"/>
    </row>
    <row r="166" spans="6:32" ht="11.25" customHeight="1" x14ac:dyDescent="0.2">
      <c r="F166" s="155"/>
      <c r="G166" s="155"/>
      <c r="H166" s="33"/>
      <c r="L166" s="33"/>
      <c r="M166" s="33"/>
      <c r="S166" s="422">
        <f>_xll.qlCalendarAdvance(Calendar,S165,"1D","f")</f>
        <v>42356</v>
      </c>
      <c r="T166" s="221">
        <f>_xll.qlCalendarAdvance(Calendar,S166,$G$1,"mf",,Trigger)</f>
        <v>42447</v>
      </c>
      <c r="U166" s="342">
        <f>_xll.qlDayCounterYearFraction(DayCounter,S166,T166,,,Trigger)</f>
        <v>0.24931506849315069</v>
      </c>
      <c r="V166" s="32">
        <f>_xll.qlInterpolationInterpolate(B3Minterpolation,S166,TRUE)</f>
        <v>1.7095503316277478E-3</v>
      </c>
      <c r="W166" s="345">
        <f>_xll.qlYieldTSDiscount(Discounting,S166,,AllTriggers)</f>
        <v>0.99703269339368106</v>
      </c>
      <c r="X166" s="345">
        <f>_xll.qlYieldTSDiscount(Discounting,T166,,AllTriggers)</f>
        <v>0.99560001287875655</v>
      </c>
      <c r="Y166" s="32">
        <f t="shared" si="11"/>
        <v>5.7718619197324071E-3</v>
      </c>
      <c r="Z166" s="451">
        <f t="shared" si="12"/>
        <v>4.2551366461374401E-4</v>
      </c>
      <c r="AE166" s="33"/>
      <c r="AF166" s="33"/>
    </row>
    <row r="167" spans="6:32" ht="11.25" customHeight="1" x14ac:dyDescent="0.2">
      <c r="F167" s="155"/>
      <c r="G167" s="155"/>
      <c r="H167" s="33"/>
      <c r="L167" s="33"/>
      <c r="M167" s="33"/>
      <c r="S167" s="422">
        <f>_xll.qlCalendarAdvance(Calendar,S166,"1D","f")</f>
        <v>42359</v>
      </c>
      <c r="T167" s="221">
        <f>_xll.qlCalendarAdvance(Calendar,S167,$G$1,"mf",,Trigger)</f>
        <v>42450</v>
      </c>
      <c r="U167" s="342">
        <f>_xll.qlDayCounterYearFraction(DayCounter,S167,T167,,,Trigger)</f>
        <v>0.24931506849315069</v>
      </c>
      <c r="V167" s="32">
        <f>_xll.qlInterpolationInterpolate(B3Minterpolation,S167,TRUE)</f>
        <v>1.7177096730069158E-3</v>
      </c>
      <c r="W167" s="345">
        <f>_xll.qlYieldTSDiscount(Discounting,S167,,AllTriggers)</f>
        <v>0.99698989298016405</v>
      </c>
      <c r="X167" s="345">
        <f>_xll.qlYieldTSDiscount(Discounting,T167,,AllTriggers)</f>
        <v>0.99554755849909005</v>
      </c>
      <c r="Y167" s="32">
        <f t="shared" si="11"/>
        <v>5.8110611636472955E-3</v>
      </c>
      <c r="Z167" s="451">
        <f t="shared" si="12"/>
        <v>4.2753995059984331E-4</v>
      </c>
      <c r="AE167" s="33"/>
      <c r="AF167" s="33"/>
    </row>
    <row r="168" spans="6:32" ht="11.25" customHeight="1" x14ac:dyDescent="0.2">
      <c r="F168" s="155"/>
      <c r="G168" s="155"/>
      <c r="H168" s="33"/>
      <c r="L168" s="33"/>
      <c r="M168" s="33"/>
      <c r="S168" s="422">
        <f>_xll.qlCalendarAdvance(Calendar,S167,"1D","f")</f>
        <v>42360</v>
      </c>
      <c r="T168" s="221">
        <f>_xll.qlCalendarAdvance(Calendar,S168,$G$1,"mf",,Trigger)</f>
        <v>42451</v>
      </c>
      <c r="U168" s="342">
        <f>_xll.qlDayCounterYearFraction(DayCounter,S168,T168,,,Trigger)</f>
        <v>0.24931506849315069</v>
      </c>
      <c r="V168" s="32">
        <f>_xll.qlInterpolationInterpolate(B3Minterpolation,S168,TRUE)</f>
        <v>1.7204808275649596E-3</v>
      </c>
      <c r="W168" s="345">
        <f>_xll.qlYieldTSDiscount(Discounting,S168,,AllTriggers)</f>
        <v>0.99697561329568407</v>
      </c>
      <c r="X168" s="345">
        <f>_xll.qlYieldTSDiscount(Discounting,T168,,AllTriggers)</f>
        <v>0.99553006545738454</v>
      </c>
      <c r="Y168" s="32">
        <f t="shared" si="11"/>
        <v>5.8241098842295056E-3</v>
      </c>
      <c r="Z168" s="451">
        <f t="shared" si="12"/>
        <v>4.2822815573677239E-4</v>
      </c>
      <c r="AE168" s="33"/>
      <c r="AF168" s="33"/>
    </row>
    <row r="169" spans="6:32" ht="11.25" customHeight="1" x14ac:dyDescent="0.2">
      <c r="F169" s="155"/>
      <c r="G169" s="155"/>
      <c r="H169" s="33"/>
      <c r="L169" s="33"/>
      <c r="M169" s="33"/>
      <c r="S169" s="422">
        <f>_xll.qlCalendarAdvance(Calendar,S168,"1D","f")</f>
        <v>42361</v>
      </c>
      <c r="T169" s="221">
        <f>_xll.qlCalendarAdvance(Calendar,S169,$G$1,"mf",,Trigger)</f>
        <v>42452</v>
      </c>
      <c r="U169" s="342">
        <f>_xll.qlDayCounterYearFraction(DayCounter,S169,T169,,,Trigger)</f>
        <v>0.24931506849315069</v>
      </c>
      <c r="V169" s="32">
        <f>_xll.qlInterpolationInterpolate(B3Minterpolation,S169,TRUE)</f>
        <v>1.7232759976407923E-3</v>
      </c>
      <c r="W169" s="345">
        <f>_xll.qlYieldTSDiscount(Discounting,S169,,AllTriggers)</f>
        <v>0.99696132702522755</v>
      </c>
      <c r="X169" s="345">
        <f>_xll.qlYieldTSDiscount(Discounting,T169,,AllTriggers)</f>
        <v>0.99551257086805189</v>
      </c>
      <c r="Y169" s="32">
        <f t="shared" si="11"/>
        <v>5.8371387726095713E-3</v>
      </c>
      <c r="Z169" s="451">
        <f t="shared" si="12"/>
        <v>4.2892233421174886E-4</v>
      </c>
      <c r="AE169" s="33"/>
      <c r="AF169" s="33"/>
    </row>
    <row r="170" spans="6:32" ht="11.25" customHeight="1" x14ac:dyDescent="0.2">
      <c r="F170" s="155"/>
      <c r="G170" s="155"/>
      <c r="H170" s="33"/>
      <c r="L170" s="33"/>
      <c r="M170" s="33"/>
      <c r="S170" s="422">
        <f>_xll.qlCalendarAdvance(Calendar,S169,"1D","f")</f>
        <v>42362</v>
      </c>
      <c r="T170" s="221">
        <f>_xll.qlCalendarAdvance(Calendar,S170,$G$1,"mf",,Trigger)</f>
        <v>42453</v>
      </c>
      <c r="U170" s="342">
        <f>_xll.qlDayCounterYearFraction(DayCounter,S170,T170,,,Trigger)</f>
        <v>0.24931506849315069</v>
      </c>
      <c r="V170" s="32">
        <f>_xll.qlInterpolationInterpolate(B3Minterpolation,S170,TRUE)</f>
        <v>1.7260941803155913E-3</v>
      </c>
      <c r="W170" s="345">
        <f>_xll.qlYieldTSDiscount(Discounting,S170,,AllTriggers)</f>
        <v>0.99694703408120866</v>
      </c>
      <c r="X170" s="345">
        <f>_xll.qlYieldTSDiscount(Discounting,T170,,AllTriggers)</f>
        <v>0.99549507627689759</v>
      </c>
      <c r="Y170" s="32">
        <f t="shared" si="11"/>
        <v>5.8501412375562079E-3</v>
      </c>
      <c r="Z170" s="451">
        <f t="shared" si="12"/>
        <v>4.2962223709826875E-4</v>
      </c>
      <c r="AE170" s="33"/>
      <c r="AF170" s="33"/>
    </row>
    <row r="171" spans="6:32" ht="11.25" customHeight="1" x14ac:dyDescent="0.2">
      <c r="F171" s="155"/>
      <c r="G171" s="155"/>
      <c r="H171" s="33"/>
      <c r="L171" s="33"/>
      <c r="M171" s="33"/>
      <c r="S171" s="422">
        <f>_xll.qlCalendarAdvance(Calendar,S170,"1D","f")</f>
        <v>42367</v>
      </c>
      <c r="T171" s="221">
        <f>_xll.qlCalendarAdvance(Calendar,S171,$G$1,"mf",,Trigger)</f>
        <v>42458</v>
      </c>
      <c r="U171" s="342">
        <f>_xll.qlDayCounterYearFraction(DayCounter,S171,T171,,,Trigger)</f>
        <v>0.24931506849315069</v>
      </c>
      <c r="V171" s="32">
        <f>_xll.qlInterpolationInterpolate(B3Minterpolation,S171,TRUE)</f>
        <v>1.7404951805152767E-3</v>
      </c>
      <c r="W171" s="345">
        <f>_xll.qlYieldTSDiscount(Discounting,S171,,AllTriggers)</f>
        <v>0.99687546619253375</v>
      </c>
      <c r="X171" s="345">
        <f>_xll.qlYieldTSDiscount(Discounting,T171,,AllTriggers)</f>
        <v>0.99540765738939729</v>
      </c>
      <c r="Y171" s="32">
        <f t="shared" si="11"/>
        <v>5.9145265117347499E-3</v>
      </c>
      <c r="Z171" s="451">
        <f t="shared" si="12"/>
        <v>4.3319890586993644E-4</v>
      </c>
      <c r="AE171" s="33"/>
      <c r="AF171" s="33"/>
    </row>
    <row r="172" spans="6:32" ht="11.25" customHeight="1" x14ac:dyDescent="0.2">
      <c r="F172" s="155"/>
      <c r="G172" s="155"/>
      <c r="H172" s="33"/>
      <c r="L172" s="33"/>
      <c r="M172" s="33"/>
      <c r="S172" s="422">
        <f>_xll.qlCalendarAdvance(Calendar,S171,"1D","f")</f>
        <v>42368</v>
      </c>
      <c r="T172" s="221">
        <f>_xll.qlCalendarAdvance(Calendar,S172,$G$1,"mf",,Trigger)</f>
        <v>42459</v>
      </c>
      <c r="U172" s="342">
        <f>_xll.qlDayCounterYearFraction(DayCounter,S172,T172,,,Trigger)</f>
        <v>0.24931506849315069</v>
      </c>
      <c r="V172" s="32">
        <f>_xll.qlInterpolationInterpolate(B3Minterpolation,S172,TRUE)</f>
        <v>1.7434303774885916E-3</v>
      </c>
      <c r="W172" s="345">
        <f>_xll.qlYieldTSDiscount(Discounting,S172,,AllTriggers)</f>
        <v>0.99686113136812649</v>
      </c>
      <c r="X172" s="345">
        <f>_xll.qlYieldTSDiscount(Discounting,T172,,AllTriggers)</f>
        <v>0.99539019524315053</v>
      </c>
      <c r="Y172" s="32">
        <f t="shared" si="11"/>
        <v>5.9272320154848497E-3</v>
      </c>
      <c r="Z172" s="451">
        <f t="shared" si="12"/>
        <v>4.339279282497682E-4</v>
      </c>
      <c r="AE172" s="33"/>
      <c r="AF172" s="33"/>
    </row>
    <row r="173" spans="6:32" ht="11.25" customHeight="1" x14ac:dyDescent="0.2">
      <c r="F173" s="155"/>
      <c r="G173" s="155"/>
      <c r="H173" s="33"/>
      <c r="L173" s="33"/>
      <c r="M173" s="33"/>
      <c r="S173" s="422">
        <f>_xll.qlCalendarAdvance(Calendar,S172,"1D","f")</f>
        <v>42369</v>
      </c>
      <c r="T173" s="221">
        <f>_xll.qlCalendarAdvance(Calendar,S173,$G$1,"mf",,Trigger)</f>
        <v>42460</v>
      </c>
      <c r="U173" s="342">
        <f>_xll.qlDayCounterYearFraction(DayCounter,S173,T173,,,Trigger)</f>
        <v>0.24931506849315069</v>
      </c>
      <c r="V173" s="32">
        <f>_xll.qlInterpolationInterpolate(B3Minterpolation,S173,TRUE)</f>
        <v>1.7463815666291123E-3</v>
      </c>
      <c r="W173" s="345">
        <f>_xll.qlYieldTSDiscount(Discounting,S173,,AllTriggers)</f>
        <v>0.99684678925720072</v>
      </c>
      <c r="X173" s="345">
        <f>_xll.qlYieldTSDiscount(Discounting,T173,,AllTriggers)</f>
        <v>0.99537274391268216</v>
      </c>
      <c r="Y173" s="32">
        <f t="shared" si="11"/>
        <v>5.9398649548339667E-3</v>
      </c>
      <c r="Z173" s="451">
        <f t="shared" si="12"/>
        <v>4.3466093279875156E-4</v>
      </c>
      <c r="AE173" s="33"/>
      <c r="AF173" s="33"/>
    </row>
    <row r="174" spans="6:32" ht="11.25" customHeight="1" x14ac:dyDescent="0.2">
      <c r="F174" s="155"/>
      <c r="G174" s="155"/>
      <c r="H174" s="33"/>
      <c r="L174" s="33"/>
      <c r="M174" s="33"/>
      <c r="S174" s="422">
        <f>_xll.qlCalendarAdvance(Calendar,S173,"1D","f")</f>
        <v>42373</v>
      </c>
      <c r="T174" s="221">
        <f>_xll.qlCalendarAdvance(Calendar,S174,$G$1,"mf",,Trigger)</f>
        <v>42464</v>
      </c>
      <c r="U174" s="342">
        <f>_xll.qlDayCounterYearFraction(DayCounter,S174,T174,,,Trigger)</f>
        <v>0.24931506849315069</v>
      </c>
      <c r="V174" s="32">
        <f>_xll.qlInterpolationInterpolate(B3Minterpolation,S174,TRUE)</f>
        <v>1.7583261864867962E-3</v>
      </c>
      <c r="W174" s="345">
        <f>_xll.qlYieldTSDiscount(Discounting,S174,,AllTriggers)</f>
        <v>0.99678932430608924</v>
      </c>
      <c r="X174" s="345">
        <f>_xll.qlYieldTSDiscount(Discounting,T174,,AllTriggers)</f>
        <v>0.9953030401389279</v>
      </c>
      <c r="Y174" s="32">
        <f t="shared" si="11"/>
        <v>5.9896023836707273E-3</v>
      </c>
      <c r="Z174" s="451">
        <f t="shared" si="12"/>
        <v>4.3762778883010649E-4</v>
      </c>
      <c r="AE174" s="33"/>
      <c r="AF174" s="33"/>
    </row>
    <row r="175" spans="6:32" ht="11.25" customHeight="1" x14ac:dyDescent="0.2">
      <c r="F175" s="155"/>
      <c r="G175" s="155"/>
      <c r="H175" s="33"/>
      <c r="L175" s="33"/>
      <c r="M175" s="33"/>
      <c r="S175" s="422">
        <f>_xll.qlCalendarAdvance(Calendar,S174,"1D","f")</f>
        <v>42374</v>
      </c>
      <c r="T175" s="221">
        <f>_xll.qlCalendarAdvance(Calendar,S175,$G$1,"mf",,Trigger)</f>
        <v>42465</v>
      </c>
      <c r="U175" s="342">
        <f>_xll.qlDayCounterYearFraction(DayCounter,S175,T175,,,Trigger)</f>
        <v>0.24931506849315069</v>
      </c>
      <c r="V175" s="32">
        <f>_xll.qlInterpolationInterpolate(B3Minterpolation,S175,TRUE)</f>
        <v>1.7613422926810029E-3</v>
      </c>
      <c r="W175" s="345">
        <f>_xll.qlYieldTSDiscount(Discounting,S175,,AllTriggers)</f>
        <v>0.99677492358487307</v>
      </c>
      <c r="X175" s="345">
        <f>_xll.qlYieldTSDiscount(Discounting,T175,,AllTriggers)</f>
        <v>0.99528563031187101</v>
      </c>
      <c r="Y175" s="32">
        <f t="shared" si="11"/>
        <v>6.0018338155642089E-3</v>
      </c>
      <c r="Z175" s="451">
        <f t="shared" si="12"/>
        <v>4.3837696499163546E-4</v>
      </c>
      <c r="AE175" s="33"/>
      <c r="AF175" s="33"/>
    </row>
    <row r="176" spans="6:32" ht="11.25" customHeight="1" x14ac:dyDescent="0.2">
      <c r="F176" s="155"/>
      <c r="G176" s="155"/>
      <c r="H176" s="33"/>
      <c r="L176" s="33"/>
      <c r="M176" s="33"/>
      <c r="S176" s="422">
        <f>_xll.qlCalendarAdvance(Calendar,S175,"1D","f")</f>
        <v>42375</v>
      </c>
      <c r="T176" s="221">
        <f>_xll.qlCalendarAdvance(Calendar,S176,$G$1,"mf",,Trigger)</f>
        <v>42466</v>
      </c>
      <c r="U176" s="342">
        <f>_xll.qlDayCounterYearFraction(DayCounter,S176,T176,,,Trigger)</f>
        <v>0.24931506849315069</v>
      </c>
      <c r="V176" s="32">
        <f>_xll.qlInterpolationInterpolate(B3Minterpolation,S176,TRUE)</f>
        <v>1.7643683735294781E-3</v>
      </c>
      <c r="W176" s="345">
        <f>_xll.qlYieldTSDiscount(Discounting,S176,,AllTriggers)</f>
        <v>0.99676050479124989</v>
      </c>
      <c r="X176" s="345">
        <f>_xll.qlYieldTSDiscount(Discounting,T176,,AllTriggers)</f>
        <v>0.99526822298915285</v>
      </c>
      <c r="Y176" s="32">
        <f t="shared" si="11"/>
        <v>6.0139827347584418E-3</v>
      </c>
      <c r="Z176" s="451">
        <f t="shared" si="12"/>
        <v>4.3912862706549046E-4</v>
      </c>
      <c r="AE176" s="33"/>
      <c r="AF176" s="33"/>
    </row>
    <row r="177" spans="6:32" ht="11.25" customHeight="1" x14ac:dyDescent="0.2">
      <c r="F177" s="155"/>
      <c r="G177" s="155"/>
      <c r="H177" s="33"/>
      <c r="L177" s="33"/>
      <c r="M177" s="33"/>
      <c r="S177" s="422">
        <f>_xll.qlCalendarAdvance(Calendar,S176,"1D","f")</f>
        <v>42376</v>
      </c>
      <c r="T177" s="221">
        <f>_xll.qlCalendarAdvance(Calendar,S177,$G$1,"mf",,Trigger)</f>
        <v>42467</v>
      </c>
      <c r="U177" s="342">
        <f>_xll.qlDayCounterYearFraction(DayCounter,S177,T177,,,Trigger)</f>
        <v>0.24931506849315069</v>
      </c>
      <c r="V177" s="32">
        <f>_xll.qlInterpolationInterpolate(B3Minterpolation,S177,TRUE)</f>
        <v>1.7674034261133988E-3</v>
      </c>
      <c r="W177" s="345">
        <f>_xll.qlYieldTSDiscount(Discounting,S177,,AllTriggers)</f>
        <v>0.99674606578592206</v>
      </c>
      <c r="X177" s="345">
        <f>_xll.qlYieldTSDiscount(Discounting,T177,,AllTriggers)</f>
        <v>0.99525081619990807</v>
      </c>
      <c r="Y177" s="32">
        <f t="shared" si="11"/>
        <v>6.0260484699604395E-3</v>
      </c>
      <c r="Z177" s="451">
        <f t="shared" si="12"/>
        <v>4.398825255856805E-4</v>
      </c>
      <c r="AE177" s="33"/>
      <c r="AF177" s="33"/>
    </row>
    <row r="178" spans="6:32" ht="11.25" customHeight="1" x14ac:dyDescent="0.2">
      <c r="F178" s="155"/>
      <c r="G178" s="155"/>
      <c r="H178" s="33"/>
      <c r="L178" s="33"/>
      <c r="M178" s="33"/>
      <c r="S178" s="422">
        <f>_xll.qlCalendarAdvance(Calendar,S177,"1D","f")</f>
        <v>42377</v>
      </c>
      <c r="T178" s="221">
        <f>_xll.qlCalendarAdvance(Calendar,S178,$G$1,"mf",,Trigger)</f>
        <v>42468</v>
      </c>
      <c r="U178" s="342">
        <f>_xll.qlDayCounterYearFraction(DayCounter,S178,T178,,,Trigger)</f>
        <v>0.24931506849315069</v>
      </c>
      <c r="V178" s="32">
        <f>_xll.qlInterpolationInterpolate(B3Minterpolation,S178,TRUE)</f>
        <v>1.7704464475139421E-3</v>
      </c>
      <c r="W178" s="345">
        <f>_xll.qlYieldTSDiscount(Discounting,S178,,AllTriggers)</f>
        <v>0.99673160442971653</v>
      </c>
      <c r="X178" s="345">
        <f>_xll.qlYieldTSDiscount(Discounting,T178,,AllTriggers)</f>
        <v>0.99523340797340898</v>
      </c>
      <c r="Y178" s="32">
        <f t="shared" si="11"/>
        <v>6.0380303498745475E-3</v>
      </c>
      <c r="Z178" s="451">
        <f t="shared" si="12"/>
        <v>4.4063841109094571E-4</v>
      </c>
      <c r="AE178" s="33"/>
      <c r="AF178" s="33"/>
    </row>
    <row r="179" spans="6:32" ht="11.25" customHeight="1" x14ac:dyDescent="0.2">
      <c r="F179" s="155"/>
      <c r="G179" s="155"/>
      <c r="H179" s="33"/>
      <c r="L179" s="33"/>
      <c r="M179" s="33"/>
      <c r="S179" s="422">
        <f>_xll.qlCalendarAdvance(Calendar,S178,"1D","f")</f>
        <v>42380</v>
      </c>
      <c r="T179" s="221">
        <f>_xll.qlCalendarAdvance(Calendar,S179,$G$1,"mf",,Trigger)</f>
        <v>42471</v>
      </c>
      <c r="U179" s="342">
        <f>_xll.qlDayCounterYearFraction(DayCounter,S179,T179,,,Trigger)</f>
        <v>0.24931506849315069</v>
      </c>
      <c r="V179" s="32">
        <f>_xll.qlInterpolationInterpolate(B3Minterpolation,S179,TRUE)</f>
        <v>1.7796132954270795E-3</v>
      </c>
      <c r="W179" s="345">
        <f>_xll.qlYieldTSDiscount(Discounting,S179,,AllTriggers)</f>
        <v>0.99668806486599515</v>
      </c>
      <c r="X179" s="345">
        <f>_xll.qlYieldTSDiscount(Discounting,T179,,AllTriggers)</f>
        <v>0.99518115496517767</v>
      </c>
      <c r="Y179" s="32">
        <f t="shared" si="11"/>
        <v>6.0734661449062446E-3</v>
      </c>
      <c r="Z179" s="451">
        <f t="shared" si="12"/>
        <v>4.42915494965901E-4</v>
      </c>
      <c r="AE179" s="33"/>
      <c r="AF179" s="33"/>
    </row>
    <row r="180" spans="6:32" ht="11.25" customHeight="1" x14ac:dyDescent="0.2">
      <c r="F180" s="155"/>
      <c r="G180" s="155"/>
      <c r="H180" s="33"/>
      <c r="L180" s="33"/>
      <c r="M180" s="33"/>
      <c r="S180" s="422">
        <f>_xll.qlCalendarAdvance(Calendar,S179,"1D","f")</f>
        <v>42381</v>
      </c>
      <c r="T180" s="221">
        <f>_xll.qlCalendarAdvance(Calendar,S180,$G$1,"mf",,Trigger)</f>
        <v>42472</v>
      </c>
      <c r="U180" s="342">
        <f>_xll.qlDayCounterYearFraction(DayCounter,S180,T180,,,Trigger)</f>
        <v>0.24931506849315069</v>
      </c>
      <c r="V180" s="32">
        <f>_xll.qlInterpolationInterpolate(B3Minterpolation,S180,TRUE)</f>
        <v>1.7826781629058847E-3</v>
      </c>
      <c r="W180" s="345">
        <f>_xll.qlYieldTSDiscount(Discounting,S180,,AllTriggers)</f>
        <v>0.99667349271707251</v>
      </c>
      <c r="X180" s="345">
        <f>_xll.qlYieldTSDiscount(Discounting,T180,,AllTriggers)</f>
        <v>0.99516372128514341</v>
      </c>
      <c r="Y180" s="32">
        <f t="shared" si="11"/>
        <v>6.0851058906694769E-3</v>
      </c>
      <c r="Z180" s="451">
        <f t="shared" si="12"/>
        <v>4.4367683388234246E-4</v>
      </c>
      <c r="AE180" s="33"/>
      <c r="AF180" s="33"/>
    </row>
    <row r="181" spans="6:32" ht="11.25" customHeight="1" x14ac:dyDescent="0.2">
      <c r="F181" s="155"/>
      <c r="G181" s="155"/>
      <c r="H181" s="33"/>
      <c r="L181" s="33"/>
      <c r="M181" s="33"/>
      <c r="S181" s="422">
        <f>_xll.qlCalendarAdvance(Calendar,S180,"1D","f")</f>
        <v>42382</v>
      </c>
      <c r="T181" s="221">
        <f>_xll.qlCalendarAdvance(Calendar,S181,$G$1,"mf",,Trigger)</f>
        <v>42473</v>
      </c>
      <c r="U181" s="342">
        <f>_xll.qlDayCounterYearFraction(DayCounter,S181,T181,,,Trigger)</f>
        <v>0.24931506849315069</v>
      </c>
      <c r="V181" s="32">
        <f>_xll.qlInterpolationInterpolate(B3Minterpolation,S181,TRUE)</f>
        <v>1.7857459846071981E-3</v>
      </c>
      <c r="W181" s="345">
        <f>_xll.qlYieldTSDiscount(Discounting,S181,,AllTriggers)</f>
        <v>0.99665888752330367</v>
      </c>
      <c r="X181" s="345">
        <f>_xll.qlYieldTSDiscount(Discounting,T181,,AllTriggers)</f>
        <v>0.9951462763162866</v>
      </c>
      <c r="Y181" s="32">
        <f t="shared" si="11"/>
        <v>6.0966584246318015E-3</v>
      </c>
      <c r="Z181" s="451">
        <f t="shared" si="12"/>
        <v>4.4443891254136454E-4</v>
      </c>
      <c r="AE181" s="33"/>
      <c r="AF181" s="33"/>
    </row>
    <row r="182" spans="6:32" ht="11.25" customHeight="1" x14ac:dyDescent="0.2">
      <c r="F182" s="155"/>
      <c r="G182" s="155"/>
      <c r="H182" s="33"/>
      <c r="L182" s="33"/>
      <c r="M182" s="33"/>
      <c r="S182" s="422">
        <f>_xll.qlCalendarAdvance(Calendar,S181,"1D","f")</f>
        <v>42383</v>
      </c>
      <c r="T182" s="221">
        <f>_xll.qlCalendarAdvance(Calendar,S182,$G$1,"mf",,Trigger)</f>
        <v>42474</v>
      </c>
      <c r="U182" s="342">
        <f>_xll.qlDayCounterYearFraction(DayCounter,S182,T182,,,Trigger)</f>
        <v>0.24931506849315069</v>
      </c>
      <c r="V182" s="32">
        <f>_xll.qlInterpolationInterpolate(B3Minterpolation,S182,TRUE)</f>
        <v>1.7888157576121967E-3</v>
      </c>
      <c r="W182" s="345">
        <f>_xll.qlYieldTSDiscount(Discounting,S182,,AllTriggers)</f>
        <v>0.99664424714627797</v>
      </c>
      <c r="X182" s="345">
        <f>_xll.qlYieldTSDiscount(Discounting,T182,,AllTriggers)</f>
        <v>0.99512881808870823</v>
      </c>
      <c r="Y182" s="32">
        <f t="shared" si="11"/>
        <v>6.1081230754833141E-3</v>
      </c>
      <c r="Z182" s="451">
        <f t="shared" si="12"/>
        <v>4.4520148150774144E-4</v>
      </c>
      <c r="AE182" s="33"/>
      <c r="AF182" s="33"/>
    </row>
    <row r="183" spans="6:32" ht="11.25" customHeight="1" x14ac:dyDescent="0.2">
      <c r="F183" s="155"/>
      <c r="G183" s="155"/>
      <c r="H183" s="33"/>
      <c r="L183" s="33"/>
      <c r="M183" s="33"/>
      <c r="S183" s="422">
        <f>_xll.qlCalendarAdvance(Calendar,S182,"1D","f")</f>
        <v>42384</v>
      </c>
      <c r="T183" s="221">
        <f>_xll.qlCalendarAdvance(Calendar,S183,$G$1,"mf",,Trigger)</f>
        <v>42475</v>
      </c>
      <c r="U183" s="342">
        <f>_xll.qlDayCounterYearFraction(DayCounter,S183,T183,,,Trigger)</f>
        <v>0.24931506849315069</v>
      </c>
      <c r="V183" s="32">
        <f>_xll.qlInterpolationInterpolate(B3Minterpolation,S183,TRUE)</f>
        <v>1.7918864790020578E-3</v>
      </c>
      <c r="W183" s="345">
        <f>_xll.qlYieldTSDiscount(Discounting,S183,,AllTriggers)</f>
        <v>0.99662956944771419</v>
      </c>
      <c r="X183" s="345">
        <f>_xll.qlYieldTSDiscount(Discounting,T183,,AllTriggers)</f>
        <v>0.99511134463264839</v>
      </c>
      <c r="Y183" s="32">
        <f t="shared" si="11"/>
        <v>6.1194991719123251E-3</v>
      </c>
      <c r="Z183" s="451">
        <f t="shared" si="12"/>
        <v>4.4596429134944839E-4</v>
      </c>
      <c r="AE183" s="33"/>
      <c r="AF183" s="33"/>
    </row>
    <row r="184" spans="6:32" ht="11.25" customHeight="1" x14ac:dyDescent="0.2">
      <c r="F184" s="155"/>
      <c r="G184" s="155"/>
      <c r="H184" s="33"/>
      <c r="L184" s="33"/>
      <c r="M184" s="33"/>
      <c r="S184" s="422">
        <f>_xll.qlCalendarAdvance(Calendar,S183,"1D","f")</f>
        <v>42387</v>
      </c>
      <c r="T184" s="221">
        <f>_xll.qlCalendarAdvance(Calendar,S184,$G$1,"mf",,Trigger)</f>
        <v>42478</v>
      </c>
      <c r="U184" s="342">
        <f>_xll.qlDayCounterYearFraction(DayCounter,S184,T184,,,Trigger)</f>
        <v>0.24931506849315069</v>
      </c>
      <c r="V184" s="32">
        <f>_xll.qlInterpolationInterpolate(B3Minterpolation,S184,TRUE)</f>
        <v>1.8010943042925864E-3</v>
      </c>
      <c r="W184" s="345">
        <f>_xll.qlYieldTSDiscount(Discounting,S184,,AllTriggers)</f>
        <v>0.99658529104193805</v>
      </c>
      <c r="X184" s="345">
        <f>_xll.qlYieldTSDiscount(Discounting,T184,,AllTriggers)</f>
        <v>0.99505881319806688</v>
      </c>
      <c r="Y184" s="32">
        <f t="shared" si="11"/>
        <v>6.1530894215261053E-3</v>
      </c>
      <c r="Z184" s="451">
        <f t="shared" si="12"/>
        <v>4.4825167187874902E-4</v>
      </c>
      <c r="AE184" s="33"/>
      <c r="AF184" s="33"/>
    </row>
    <row r="185" spans="6:32" ht="11.25" customHeight="1" x14ac:dyDescent="0.2">
      <c r="F185" s="155"/>
      <c r="G185" s="155"/>
      <c r="H185" s="33"/>
      <c r="L185" s="33"/>
      <c r="M185" s="33"/>
      <c r="S185" s="422">
        <f>_xll.qlCalendarAdvance(Calendar,S184,"1D","f")</f>
        <v>42388</v>
      </c>
      <c r="T185" s="221">
        <f>_xll.qlCalendarAdvance(Calendar,S185,$G$1,"mf",,Trigger)</f>
        <v>42479</v>
      </c>
      <c r="U185" s="342">
        <f>_xll.qlDayCounterYearFraction(DayCounter,S185,T185,,,Trigger)</f>
        <v>0.24931506849315069</v>
      </c>
      <c r="V185" s="32">
        <f>_xll.qlInterpolationInterpolate(B3Minterpolation,S185,TRUE)</f>
        <v>1.804158790033668E-3</v>
      </c>
      <c r="W185" s="345">
        <f>_xll.qlYieldTSDiscount(Discounting,S185,,AllTriggers)</f>
        <v>0.99657044267702366</v>
      </c>
      <c r="X185" s="345">
        <f>_xll.qlYieldTSDiscount(Discounting,T185,,AllTriggers)</f>
        <v>0.99504125913326635</v>
      </c>
      <c r="Y185" s="32">
        <f t="shared" si="11"/>
        <v>6.1641045871188476E-3</v>
      </c>
      <c r="Z185" s="451">
        <f t="shared" si="12"/>
        <v>4.4901295099264904E-4</v>
      </c>
      <c r="AE185" s="33"/>
      <c r="AF185" s="33"/>
    </row>
    <row r="186" spans="6:32" ht="11.25" customHeight="1" x14ac:dyDescent="0.2">
      <c r="F186" s="155"/>
      <c r="G186" s="155"/>
      <c r="H186" s="33"/>
      <c r="L186" s="33"/>
      <c r="M186" s="33"/>
      <c r="S186" s="422">
        <f>_xll.qlCalendarAdvance(Calendar,S185,"1D","f")</f>
        <v>42389</v>
      </c>
      <c r="T186" s="221">
        <f>_xll.qlCalendarAdvance(Calendar,S186,$G$1,"mf",,Trigger)</f>
        <v>42480</v>
      </c>
      <c r="U186" s="342">
        <f>_xll.qlDayCounterYearFraction(DayCounter,S186,T186,,,Trigger)</f>
        <v>0.24931506849315069</v>
      </c>
      <c r="V186" s="32">
        <f>_xll.qlInterpolationInterpolate(B3Minterpolation,S186,TRUE)</f>
        <v>1.8072192095654977E-3</v>
      </c>
      <c r="W186" s="345">
        <f>_xll.qlYieldTSDiscount(Discounting,S186,,AllTriggers)</f>
        <v>0.99655554630113341</v>
      </c>
      <c r="X186" s="345">
        <f>_xll.qlYieldTSDiscount(Discounting,T186,,AllTriggers)</f>
        <v>0.99502367999327679</v>
      </c>
      <c r="Y186" s="32">
        <f t="shared" si="11"/>
        <v>6.1750278417083866E-3</v>
      </c>
      <c r="Z186" s="451">
        <f t="shared" si="12"/>
        <v>4.4977322388665129E-4</v>
      </c>
      <c r="AE186" s="33"/>
      <c r="AF186" s="33"/>
    </row>
    <row r="187" spans="6:32" ht="11.25" customHeight="1" x14ac:dyDescent="0.2">
      <c r="F187" s="155"/>
      <c r="G187" s="155"/>
      <c r="H187" s="33"/>
      <c r="L187" s="33"/>
      <c r="M187" s="33"/>
      <c r="S187" s="422">
        <f>_xll.qlCalendarAdvance(Calendar,S186,"1D","f")</f>
        <v>42390</v>
      </c>
      <c r="T187" s="221">
        <f>_xll.qlCalendarAdvance(Calendar,S187,$G$1,"mf",,Trigger)</f>
        <v>42481</v>
      </c>
      <c r="U187" s="342">
        <f>_xll.qlDayCounterYearFraction(DayCounter,S187,T187,,,Trigger)</f>
        <v>0.24931506849315069</v>
      </c>
      <c r="V187" s="32">
        <f>_xll.qlInterpolationInterpolate(B3Minterpolation,S187,TRUE)</f>
        <v>1.8102745599692523E-3</v>
      </c>
      <c r="W187" s="345">
        <f>_xll.qlYieldTSDiscount(Discounting,S187,,AllTriggers)</f>
        <v>0.99654059977677978</v>
      </c>
      <c r="X187" s="345">
        <f>_xll.qlYieldTSDiscount(Discounting,T187,,AllTriggers)</f>
        <v>0.99500607380917794</v>
      </c>
      <c r="Y187" s="32">
        <f t="shared" si="11"/>
        <v>6.1858585139741287E-3</v>
      </c>
      <c r="Z187" s="451">
        <f t="shared" si="12"/>
        <v>4.5053224115348408E-4</v>
      </c>
      <c r="AE187" s="33"/>
      <c r="AF187" s="33"/>
    </row>
    <row r="188" spans="6:32" ht="11.25" customHeight="1" x14ac:dyDescent="0.2">
      <c r="F188" s="155"/>
      <c r="G188" s="155"/>
      <c r="H188" s="33"/>
      <c r="L188" s="33"/>
      <c r="M188" s="33"/>
      <c r="S188" s="422">
        <f>_xll.qlCalendarAdvance(Calendar,S187,"1D","f")</f>
        <v>42391</v>
      </c>
      <c r="T188" s="221">
        <f>_xll.qlCalendarAdvance(Calendar,S188,$G$1,"mf",,Trigger)</f>
        <v>42482</v>
      </c>
      <c r="U188" s="342">
        <f>_xll.qlDayCounterYearFraction(DayCounter,S188,T188,,,Trigger)</f>
        <v>0.24931506849315069</v>
      </c>
      <c r="V188" s="32">
        <f>_xll.qlInterpolationInterpolate(B3Minterpolation,S188,TRUE)</f>
        <v>1.813323838326109E-3</v>
      </c>
      <c r="W188" s="345">
        <f>_xll.qlYieldTSDiscount(Discounting,S188,,AllTriggers)</f>
        <v>0.99652560096661114</v>
      </c>
      <c r="X188" s="345">
        <f>_xll.qlYieldTSDiscount(Discounting,T188,,AllTriggers)</f>
        <v>0.994988438612191</v>
      </c>
      <c r="Y188" s="32">
        <f t="shared" si="11"/>
        <v>6.1965959325972599E-3</v>
      </c>
      <c r="Z188" s="451">
        <f t="shared" si="12"/>
        <v>4.5128975338951409E-4</v>
      </c>
      <c r="AE188" s="33"/>
      <c r="AF188" s="33"/>
    </row>
    <row r="189" spans="6:32" ht="11.25" customHeight="1" x14ac:dyDescent="0.2">
      <c r="F189" s="155"/>
      <c r="G189" s="155"/>
      <c r="H189" s="33"/>
      <c r="L189" s="33"/>
      <c r="M189" s="33"/>
      <c r="S189" s="422">
        <f>_xll.qlCalendarAdvance(Calendar,S188,"1D","f")</f>
        <v>42394</v>
      </c>
      <c r="T189" s="221">
        <f>_xll.qlCalendarAdvance(Calendar,S189,$G$1,"mf",,Trigger)</f>
        <v>42485</v>
      </c>
      <c r="U189" s="342">
        <f>_xll.qlDayCounterYearFraction(DayCounter,S189,T189,,,Trigger)</f>
        <v>0.24931506849315069</v>
      </c>
      <c r="V189" s="32">
        <f>_xll.qlInterpolationInterpolate(B3Minterpolation,S189,TRUE)</f>
        <v>1.8224252119270631E-3</v>
      </c>
      <c r="W189" s="345">
        <f>_xll.qlYieldTSDiscount(Discounting,S189,,AllTriggers)</f>
        <v>0.99648026944975676</v>
      </c>
      <c r="X189" s="345">
        <f>_xll.qlYieldTSDiscount(Discounting,T189,,AllTriggers)</f>
        <v>0.99493533925825151</v>
      </c>
      <c r="Y189" s="32">
        <f t="shared" si="11"/>
        <v>6.2282419533845708E-3</v>
      </c>
      <c r="Z189" s="451">
        <f t="shared" si="12"/>
        <v>4.5355076593339315E-4</v>
      </c>
      <c r="AE189" s="33"/>
      <c r="AF189" s="33"/>
    </row>
    <row r="190" spans="6:32" ht="11.25" customHeight="1" x14ac:dyDescent="0.2">
      <c r="F190" s="155"/>
      <c r="G190" s="155"/>
      <c r="H190" s="33"/>
      <c r="L190" s="33"/>
      <c r="M190" s="33"/>
      <c r="S190" s="422">
        <f>_xll.qlCalendarAdvance(Calendar,S189,"1D","f")</f>
        <v>42395</v>
      </c>
      <c r="T190" s="221">
        <f>_xll.qlCalendarAdvance(Calendar,S190,$G$1,"mf",,Trigger)</f>
        <v>42486</v>
      </c>
      <c r="U190" s="342">
        <f>_xll.qlDayCounterYearFraction(DayCounter,S190,T190,,,Trigger)</f>
        <v>0.24931506849315069</v>
      </c>
      <c r="V190" s="32">
        <f>_xll.qlInterpolationInterpolate(B3Minterpolation,S190,TRUE)</f>
        <v>1.8254401729080993E-3</v>
      </c>
      <c r="W190" s="345">
        <f>_xll.qlYieldTSDiscount(Discounting,S190,,AllTriggers)</f>
        <v>0.99646504012556458</v>
      </c>
      <c r="X190" s="345">
        <f>_xll.qlYieldTSDiscount(Discounting,T190,,AllTriggers)</f>
        <v>0.99491756832477773</v>
      </c>
      <c r="Y190" s="32">
        <f t="shared" si="11"/>
        <v>6.2385996442126217E-3</v>
      </c>
      <c r="Z190" s="451">
        <f t="shared" si="12"/>
        <v>4.5429976408428653E-4</v>
      </c>
      <c r="AE190" s="33"/>
      <c r="AF190" s="33"/>
    </row>
    <row r="191" spans="6:32" ht="11.25" customHeight="1" x14ac:dyDescent="0.2">
      <c r="F191" s="155"/>
      <c r="G191" s="155"/>
      <c r="H191" s="33"/>
      <c r="L191" s="33"/>
      <c r="M191" s="33"/>
      <c r="S191" s="422">
        <f>_xll.qlCalendarAdvance(Calendar,S190,"1D","f")</f>
        <v>42396</v>
      </c>
      <c r="T191" s="221">
        <f>_xll.qlCalendarAdvance(Calendar,S191,$G$1,"mf",,Trigger)</f>
        <v>42487</v>
      </c>
      <c r="U191" s="342">
        <f>_xll.qlDayCounterYearFraction(DayCounter,S191,T191,,,Trigger)</f>
        <v>0.24931506849315069</v>
      </c>
      <c r="V191" s="32">
        <f>_xll.qlInterpolationInterpolate(B3Minterpolation,S191,TRUE)</f>
        <v>1.8284440472481232E-3</v>
      </c>
      <c r="W191" s="345">
        <f>_xll.qlYieldTSDiscount(Discounting,S191,,AllTriggers)</f>
        <v>0.9964497478308747</v>
      </c>
      <c r="X191" s="345">
        <f>_xll.qlYieldTSDiscount(Discounting,T191,,AllTriggers)</f>
        <v>0.99489975853666679</v>
      </c>
      <c r="Y191" s="32">
        <f t="shared" si="11"/>
        <v>6.2488607247852962E-3</v>
      </c>
      <c r="Z191" s="451">
        <f t="shared" si="12"/>
        <v>4.5504601024153046E-4</v>
      </c>
      <c r="AE191" s="33"/>
      <c r="AF191" s="33"/>
    </row>
    <row r="192" spans="6:32" ht="11.25" customHeight="1" x14ac:dyDescent="0.2">
      <c r="F192" s="155"/>
      <c r="G192" s="155"/>
      <c r="H192" s="33"/>
      <c r="L192" s="33"/>
      <c r="M192" s="33"/>
      <c r="S192" s="422">
        <f>_xll.qlCalendarAdvance(Calendar,S191,"1D","f")</f>
        <v>42397</v>
      </c>
      <c r="T192" s="221">
        <f>_xll.qlCalendarAdvance(Calendar,S192,$G$1,"mf",,Trigger)</f>
        <v>42488</v>
      </c>
      <c r="U192" s="342">
        <f>_xll.qlDayCounterYearFraction(DayCounter,S192,T192,,,Trigger)</f>
        <v>0.24931506849315069</v>
      </c>
      <c r="V192" s="32">
        <f>_xll.qlInterpolationInterpolate(B3Minterpolation,S192,TRUE)</f>
        <v>1.8314358320283117E-3</v>
      </c>
      <c r="W192" s="345">
        <f>_xll.qlYieldTSDiscount(Discounting,S192,,AllTriggers)</f>
        <v>0.99643439042917437</v>
      </c>
      <c r="X192" s="345">
        <f>_xll.qlYieldTSDiscount(Discounting,T192,,AllTriggers)</f>
        <v>0.99488190792600251</v>
      </c>
      <c r="Y192" s="32">
        <f t="shared" si="11"/>
        <v>6.2590245237811107E-3</v>
      </c>
      <c r="Z192" s="451">
        <f t="shared" si="12"/>
        <v>4.5578925502278328E-4</v>
      </c>
      <c r="AE192" s="33"/>
      <c r="AF192" s="33"/>
    </row>
    <row r="193" spans="6:32" ht="11.25" customHeight="1" x14ac:dyDescent="0.2">
      <c r="F193" s="155"/>
      <c r="G193" s="155"/>
      <c r="H193" s="33"/>
      <c r="L193" s="33"/>
      <c r="M193" s="33"/>
      <c r="S193" s="422">
        <f>_xll.qlCalendarAdvance(Calendar,S192,"1D","f")</f>
        <v>42398</v>
      </c>
      <c r="T193" s="221">
        <f>_xll.qlCalendarAdvance(Calendar,S193,$G$1,"mf",,Trigger)</f>
        <v>42489</v>
      </c>
      <c r="U193" s="342">
        <f>_xll.qlDayCounterYearFraction(DayCounter,S193,T193,,,Trigger)</f>
        <v>0.24931506849315069</v>
      </c>
      <c r="V193" s="32">
        <f>_xll.qlInterpolationInterpolate(B3Minterpolation,S193,TRUE)</f>
        <v>1.8344145243298423E-3</v>
      </c>
      <c r="W193" s="345">
        <f>_xll.qlYieldTSDiscount(Discounting,S193,,AllTriggers)</f>
        <v>0.99641896578409539</v>
      </c>
      <c r="X193" s="345">
        <f>_xll.qlYieldTSDiscount(Discounting,T193,,AllTriggers)</f>
        <v>0.99486401452501472</v>
      </c>
      <c r="Y193" s="32">
        <f t="shared" si="11"/>
        <v>6.2690903698767999E-3</v>
      </c>
      <c r="Z193" s="451">
        <f t="shared" si="12"/>
        <v>4.5652924904863871E-4</v>
      </c>
      <c r="AE193" s="33"/>
      <c r="AF193" s="33"/>
    </row>
    <row r="194" spans="6:32" ht="11.25" customHeight="1" x14ac:dyDescent="0.2">
      <c r="F194" s="155"/>
      <c r="G194" s="155"/>
      <c r="H194" s="33"/>
      <c r="L194" s="33"/>
      <c r="M194" s="33"/>
      <c r="S194" s="422">
        <f>_xll.qlCalendarAdvance(Calendar,S193,"1D","f")</f>
        <v>42401</v>
      </c>
      <c r="T194" s="221">
        <f>_xll.qlCalendarAdvance(Calendar,S194,$G$1,"mf",,Trigger)</f>
        <v>42493</v>
      </c>
      <c r="U194" s="342">
        <f>_xll.qlDayCounterYearFraction(DayCounter,S194,T194,,,Trigger)</f>
        <v>0.25205479452054796</v>
      </c>
      <c r="V194" s="32">
        <f>_xll.qlInterpolationInterpolate(B3Minterpolation,S194,TRUE)</f>
        <v>1.8432620171742557E-3</v>
      </c>
      <c r="W194" s="345">
        <f>_xll.qlYieldTSDiscount(Discounting,S194,,AllTriggers)</f>
        <v>0.99637228154929336</v>
      </c>
      <c r="X194" s="345">
        <f>_xll.qlYieldTSDiscount(Discounting,T194,,AllTriggers)</f>
        <v>0.99479199561661658</v>
      </c>
      <c r="Y194" s="32">
        <f t="shared" si="11"/>
        <v>6.3024357808574728E-3</v>
      </c>
      <c r="Z194" s="451">
        <f t="shared" si="12"/>
        <v>4.6375859752245891E-4</v>
      </c>
      <c r="AE194" s="33"/>
      <c r="AF194" s="33"/>
    </row>
    <row r="195" spans="6:32" ht="11.25" customHeight="1" x14ac:dyDescent="0.2">
      <c r="F195" s="155"/>
      <c r="G195" s="155"/>
      <c r="H195" s="33"/>
      <c r="L195" s="33"/>
      <c r="M195" s="33"/>
      <c r="S195" s="422">
        <f>_xll.qlCalendarAdvance(Calendar,S194,"1D","f")</f>
        <v>42402</v>
      </c>
      <c r="T195" s="221">
        <f>_xll.qlCalendarAdvance(Calendar,S195,$G$1,"mf",,Trigger)</f>
        <v>42493</v>
      </c>
      <c r="U195" s="342">
        <f>_xll.qlDayCounterYearFraction(DayCounter,S195,T195,,,Trigger)</f>
        <v>0.24931506849315069</v>
      </c>
      <c r="V195" s="32">
        <f>_xll.qlInterpolationInterpolate(B3Minterpolation,S195,TRUE)</f>
        <v>1.8461783103729246E-3</v>
      </c>
      <c r="W195" s="345">
        <f>_xll.qlYieldTSDiscount(Discounting,S195,,AllTriggers)</f>
        <v>0.99635658647019698</v>
      </c>
      <c r="X195" s="345">
        <f>_xll.qlYieldTSDiscount(Discounting,T195,,AllTriggers)</f>
        <v>0.99479199561661658</v>
      </c>
      <c r="Y195" s="32">
        <f t="shared" si="11"/>
        <v>6.3084109522968902E-3</v>
      </c>
      <c r="Z195" s="451">
        <f t="shared" si="12"/>
        <v>4.5945172440165643E-4</v>
      </c>
      <c r="AE195" s="33"/>
      <c r="AF195" s="33"/>
    </row>
    <row r="196" spans="6:32" ht="11.25" customHeight="1" x14ac:dyDescent="0.2">
      <c r="F196" s="155"/>
      <c r="G196" s="155"/>
      <c r="H196" s="33"/>
      <c r="L196" s="33"/>
      <c r="M196" s="33"/>
      <c r="S196" s="422">
        <f>_xll.qlCalendarAdvance(Calendar,S195,"1D","f")</f>
        <v>42403</v>
      </c>
      <c r="T196" s="221">
        <f>_xll.qlCalendarAdvance(Calendar,S196,$G$1,"mf",,Trigger)</f>
        <v>42493</v>
      </c>
      <c r="U196" s="342">
        <f>_xll.qlDayCounterYearFraction(DayCounter,S196,T196,,,Trigger)</f>
        <v>0.24657534246575341</v>
      </c>
      <c r="V196" s="32">
        <f>_xll.qlInterpolationInterpolate(B3Minterpolation,S196,TRUE)</f>
        <v>1.8490764964988206E-3</v>
      </c>
      <c r="W196" s="345">
        <f>_xll.qlYieldTSDiscount(Discounting,S196,,AllTriggers)</f>
        <v>0.99634082637567534</v>
      </c>
      <c r="X196" s="345">
        <f>_xll.qlYieldTSDiscount(Discounting,T196,,AllTriggers)</f>
        <v>0.99479199561661658</v>
      </c>
      <c r="Y196" s="32">
        <f t="shared" ref="Y196:Y259" si="13">(W196/X196-1)/U196</f>
        <v>6.3142538512510494E-3</v>
      </c>
      <c r="Z196" s="451">
        <f t="shared" ref="Z196:Z259" si="14">LN((1+(V196+Y196)*U196)/(1+Y196*U196))</f>
        <v>4.5512432335731537E-4</v>
      </c>
      <c r="AE196" s="33"/>
      <c r="AF196" s="33"/>
    </row>
    <row r="197" spans="6:32" ht="11.25" customHeight="1" x14ac:dyDescent="0.2">
      <c r="F197" s="155"/>
      <c r="G197" s="155"/>
      <c r="H197" s="33"/>
      <c r="L197" s="33"/>
      <c r="M197" s="33"/>
      <c r="S197" s="422">
        <f>_xll.qlCalendarAdvance(Calendar,S196,"1D","f")</f>
        <v>42404</v>
      </c>
      <c r="T197" s="221">
        <f>_xll.qlCalendarAdvance(Calendar,S197,$G$1,"mf",,Trigger)</f>
        <v>42494</v>
      </c>
      <c r="U197" s="342">
        <f>_xll.qlDayCounterYearFraction(DayCounter,S197,T197,,,Trigger)</f>
        <v>0.24657534246575341</v>
      </c>
      <c r="V197" s="32">
        <f>_xll.qlInterpolationInterpolate(B3Minterpolation,S197,TRUE)</f>
        <v>1.8519555726331214E-3</v>
      </c>
      <c r="W197" s="345">
        <f>_xll.qlYieldTSDiscount(Discounting,S197,,AllTriggers)</f>
        <v>0.99632500235663868</v>
      </c>
      <c r="X197" s="345">
        <f>_xll.qlYieldTSDiscount(Discounting,T197,,AllTriggers)</f>
        <v>0.99477387967202047</v>
      </c>
      <c r="Y197" s="32">
        <f t="shared" si="13"/>
        <v>6.3237127044646971E-3</v>
      </c>
      <c r="Z197" s="451">
        <f t="shared" si="14"/>
        <v>4.5583174495087125E-4</v>
      </c>
      <c r="AE197" s="33"/>
      <c r="AF197" s="33"/>
    </row>
    <row r="198" spans="6:32" ht="11.25" customHeight="1" x14ac:dyDescent="0.2">
      <c r="F198" s="155"/>
      <c r="G198" s="155"/>
      <c r="H198" s="33"/>
      <c r="L198" s="33"/>
      <c r="M198" s="33"/>
      <c r="S198" s="422">
        <f>_xll.qlCalendarAdvance(Calendar,S197,"1D","f")</f>
        <v>42405</v>
      </c>
      <c r="T198" s="221">
        <f>_xll.qlCalendarAdvance(Calendar,S198,$G$1,"mf",,Trigger)</f>
        <v>42495</v>
      </c>
      <c r="U198" s="342">
        <f>_xll.qlDayCounterYearFraction(DayCounter,S198,T198,,,Trigger)</f>
        <v>0.24657534246575341</v>
      </c>
      <c r="V198" s="32">
        <f>_xll.qlInterpolationInterpolate(B3Minterpolation,S198,TRUE)</f>
        <v>1.8548145358570035E-3</v>
      </c>
      <c r="W198" s="345">
        <f>_xll.qlYieldTSDiscount(Discounting,S198,,AllTriggers)</f>
        <v>0.99630911550394019</v>
      </c>
      <c r="X198" s="345">
        <f>_xll.qlYieldTSDiscount(Discounting,T198,,AllTriggers)</f>
        <v>0.99475571942106411</v>
      </c>
      <c r="Y198" s="32">
        <f t="shared" si="13"/>
        <v>6.3330966496510446E-3</v>
      </c>
      <c r="Z198" s="451">
        <f t="shared" si="14"/>
        <v>4.5653422181094876E-4</v>
      </c>
      <c r="AE198" s="33"/>
      <c r="AF198" s="33"/>
    </row>
    <row r="199" spans="6:32" ht="11.25" customHeight="1" x14ac:dyDescent="0.2">
      <c r="F199" s="155"/>
      <c r="G199" s="155"/>
      <c r="H199" s="33"/>
      <c r="L199" s="33"/>
      <c r="M199" s="33"/>
      <c r="S199" s="422">
        <f>_xll.qlCalendarAdvance(Calendar,S198,"1D","f")</f>
        <v>42408</v>
      </c>
      <c r="T199" s="221">
        <f>_xll.qlCalendarAdvance(Calendar,S199,$G$1,"mf",,Trigger)</f>
        <v>42499</v>
      </c>
      <c r="U199" s="342">
        <f>_xll.qlDayCounterYearFraction(DayCounter,S199,T199,,,Trigger)</f>
        <v>0.24931506849315069</v>
      </c>
      <c r="V199" s="32">
        <f>_xll.qlInterpolationInterpolate(B3Minterpolation,S199,TRUE)</f>
        <v>1.8632607188779106E-3</v>
      </c>
      <c r="W199" s="345">
        <f>_xll.qlYieldTSDiscount(Discounting,S199,,AllTriggers)</f>
        <v>0.99626108885154407</v>
      </c>
      <c r="X199" s="345">
        <f>_xll.qlYieldTSDiscount(Discounting,T199,,AllTriggers)</f>
        <v>0.99468263715999672</v>
      </c>
      <c r="Y199" s="32">
        <f t="shared" si="13"/>
        <v>6.3649973897706366E-3</v>
      </c>
      <c r="Z199" s="451">
        <f t="shared" si="14"/>
        <v>4.6369544621235767E-4</v>
      </c>
      <c r="AE199" s="33"/>
      <c r="AF199" s="33"/>
    </row>
    <row r="200" spans="6:32" ht="11.25" customHeight="1" x14ac:dyDescent="0.2">
      <c r="F200" s="155"/>
      <c r="G200" s="155"/>
      <c r="H200" s="33"/>
      <c r="L200" s="33"/>
      <c r="M200" s="33"/>
      <c r="S200" s="422">
        <f>_xll.qlCalendarAdvance(Calendar,S199,"1D","f")</f>
        <v>42409</v>
      </c>
      <c r="T200" s="221">
        <f>_xll.qlCalendarAdvance(Calendar,S200,$G$1,"mf",,Trigger)</f>
        <v>42499</v>
      </c>
      <c r="U200" s="342">
        <f>_xll.qlDayCounterYearFraction(DayCounter,S200,T200,,,Trigger)</f>
        <v>0.24657534246575341</v>
      </c>
      <c r="V200" s="32">
        <f>_xll.qlInterpolationInterpolate(B3Minterpolation,S200,TRUE)</f>
        <v>1.8660292012718902E-3</v>
      </c>
      <c r="W200" s="345">
        <f>_xll.qlYieldTSDiscount(Discounting,S200,,AllTriggers)</f>
        <v>0.99624496157157549</v>
      </c>
      <c r="X200" s="345">
        <f>_xll.qlYieldTSDiscount(Discounting,T200,,AllTriggers)</f>
        <v>0.99468263715999672</v>
      </c>
      <c r="Y200" s="32">
        <f t="shared" si="13"/>
        <v>6.3699648614045715E-3</v>
      </c>
      <c r="Z200" s="451">
        <f t="shared" si="14"/>
        <v>4.5928973849118811E-4</v>
      </c>
      <c r="AE200" s="33"/>
      <c r="AF200" s="33"/>
    </row>
    <row r="201" spans="6:32" ht="11.25" customHeight="1" x14ac:dyDescent="0.2">
      <c r="F201" s="155"/>
      <c r="G201" s="155"/>
      <c r="H201" s="33"/>
      <c r="L201" s="33"/>
      <c r="M201" s="33"/>
      <c r="S201" s="422">
        <f>_xll.qlCalendarAdvance(Calendar,S200,"1D","f")</f>
        <v>42410</v>
      </c>
      <c r="T201" s="221">
        <f>_xll.qlCalendarAdvance(Calendar,S201,$G$1,"mf",,Trigger)</f>
        <v>42500</v>
      </c>
      <c r="U201" s="342">
        <f>_xll.qlDayCounterYearFraction(DayCounter,S201,T201,,,Trigger)</f>
        <v>0.24657534246575341</v>
      </c>
      <c r="V201" s="32">
        <f>_xll.qlInterpolationInterpolate(B3Minterpolation,S201,TRUE)</f>
        <v>1.8687725561613365E-3</v>
      </c>
      <c r="W201" s="345">
        <f>_xll.qlYieldTSDiscount(Discounting,S201,,AllTriggers)</f>
        <v>0.99622877691133849</v>
      </c>
      <c r="X201" s="345">
        <f>_xll.qlYieldTSDiscount(Discounting,T201,,AllTriggers)</f>
        <v>0.99466425673200431</v>
      </c>
      <c r="Y201" s="32">
        <f t="shared" si="13"/>
        <v>6.3790354002709734E-3</v>
      </c>
      <c r="Z201" s="451">
        <f t="shared" si="14"/>
        <v>4.599637841093498E-4</v>
      </c>
      <c r="AE201" s="33"/>
      <c r="AF201" s="33"/>
    </row>
    <row r="202" spans="6:32" ht="11.25" customHeight="1" x14ac:dyDescent="0.2">
      <c r="F202" s="155"/>
      <c r="G202" s="155"/>
      <c r="H202" s="33"/>
      <c r="L202" s="33"/>
      <c r="M202" s="33"/>
      <c r="S202" s="422">
        <f>_xll.qlCalendarAdvance(Calendar,S201,"1D","f")</f>
        <v>42411</v>
      </c>
      <c r="T202" s="221">
        <f>_xll.qlCalendarAdvance(Calendar,S202,$G$1,"mf",,Trigger)</f>
        <v>42501</v>
      </c>
      <c r="U202" s="342">
        <f>_xll.qlDayCounterYearFraction(DayCounter,S202,T202,,,Trigger)</f>
        <v>0.24657534246575341</v>
      </c>
      <c r="V202" s="32">
        <f>_xll.qlInterpolationInterpolate(B3Minterpolation,S202,TRUE)</f>
        <v>1.8714897806274273E-3</v>
      </c>
      <c r="W202" s="345">
        <f>_xll.qlYieldTSDiscount(Discounting,S202,,AllTriggers)</f>
        <v>0.9962125359613323</v>
      </c>
      <c r="X202" s="345">
        <f>_xll.qlYieldTSDiscount(Discounting,T202,,AllTriggers)</f>
        <v>0.99464583253955341</v>
      </c>
      <c r="Y202" s="32">
        <f t="shared" si="13"/>
        <v>6.3880554849162158E-3</v>
      </c>
      <c r="Z202" s="451">
        <f t="shared" si="14"/>
        <v>4.6063140196040802E-4</v>
      </c>
      <c r="AE202" s="33"/>
      <c r="AF202" s="33"/>
    </row>
    <row r="203" spans="6:32" ht="11.25" customHeight="1" x14ac:dyDescent="0.2">
      <c r="F203" s="155"/>
      <c r="G203" s="155"/>
      <c r="H203" s="33"/>
      <c r="L203" s="33"/>
      <c r="M203" s="33"/>
      <c r="S203" s="422">
        <f>_xll.qlCalendarAdvance(Calendar,S202,"1D","f")</f>
        <v>42412</v>
      </c>
      <c r="T203" s="221">
        <f>_xll.qlCalendarAdvance(Calendar,S203,$G$1,"mf",,Trigger)</f>
        <v>42502</v>
      </c>
      <c r="U203" s="342">
        <f>_xll.qlDayCounterYearFraction(DayCounter,S203,T203,,,Trigger)</f>
        <v>0.24657534246575341</v>
      </c>
      <c r="V203" s="32">
        <f>_xll.qlInterpolationInterpolate(B3Minterpolation,S203,TRUE)</f>
        <v>1.8741798717513392E-3</v>
      </c>
      <c r="W203" s="345">
        <f>_xll.qlYieldTSDiscount(Discounting,S203,,AllTriggers)</f>
        <v>0.99619623981199501</v>
      </c>
      <c r="X203" s="345">
        <f>_xll.qlYieldTSDiscount(Discounting,T203,,AllTriggers)</f>
        <v>0.99462736467295876</v>
      </c>
      <c r="Y203" s="32">
        <f t="shared" si="13"/>
        <v>6.3970291911118349E-3</v>
      </c>
      <c r="Z203" s="451">
        <f t="shared" si="14"/>
        <v>4.6129234487066358E-4</v>
      </c>
      <c r="AE203" s="33"/>
      <c r="AF203" s="33"/>
    </row>
    <row r="204" spans="6:32" ht="11.25" customHeight="1" x14ac:dyDescent="0.2">
      <c r="F204" s="155"/>
      <c r="G204" s="155"/>
      <c r="H204" s="33"/>
      <c r="L204" s="33"/>
      <c r="M204" s="33"/>
      <c r="S204" s="422">
        <f>_xll.qlCalendarAdvance(Calendar,S203,"1D","f")</f>
        <v>42415</v>
      </c>
      <c r="T204" s="221">
        <f>_xll.qlCalendarAdvance(Calendar,S204,$G$1,"mf",,Trigger)</f>
        <v>42506</v>
      </c>
      <c r="U204" s="342">
        <f>_xll.qlDayCounterYearFraction(DayCounter,S204,T204,,,Trigger)</f>
        <v>0.24931506849315069</v>
      </c>
      <c r="V204" s="32">
        <f>_xll.qlInterpolationInterpolate(B3Minterpolation,S204,TRUE)</f>
        <v>1.8820773158817741E-3</v>
      </c>
      <c r="W204" s="345">
        <f>_xll.qlYieldTSDiscount(Discounting,S204,,AllTriggers)</f>
        <v>0.99614703107144487</v>
      </c>
      <c r="X204" s="345">
        <f>_xll.qlYieldTSDiscount(Discounting,T204,,AllTriggers)</f>
        <v>0.99455305827140661</v>
      </c>
      <c r="Y204" s="32">
        <f t="shared" si="13"/>
        <v>6.4284226282314422E-3</v>
      </c>
      <c r="Z204" s="451">
        <f t="shared" si="14"/>
        <v>4.6836969953609268E-4</v>
      </c>
      <c r="AE204" s="33"/>
      <c r="AF204" s="33"/>
    </row>
    <row r="205" spans="6:32" ht="11.25" customHeight="1" x14ac:dyDescent="0.2">
      <c r="F205" s="155"/>
      <c r="G205" s="155"/>
      <c r="H205" s="33"/>
      <c r="L205" s="33"/>
      <c r="M205" s="33"/>
      <c r="S205" s="422">
        <f>_xll.qlCalendarAdvance(Calendar,S204,"1D","f")</f>
        <v>42416</v>
      </c>
      <c r="T205" s="221">
        <f>_xll.qlCalendarAdvance(Calendar,S205,$G$1,"mf",,Trigger)</f>
        <v>42506</v>
      </c>
      <c r="U205" s="342">
        <f>_xll.qlDayCounterYearFraction(DayCounter,S205,T205,,,Trigger)</f>
        <v>0.24657534246575341</v>
      </c>
      <c r="V205" s="32">
        <f>_xll.qlInterpolationInterpolate(B3Minterpolation,S205,TRUE)</f>
        <v>1.8846488444487421E-3</v>
      </c>
      <c r="W205" s="345">
        <f>_xll.qlYieldTSDiscount(Discounting,S205,,AllTriggers)</f>
        <v>0.99613052502791699</v>
      </c>
      <c r="X205" s="345">
        <f>_xll.qlYieldTSDiscount(Discounting,T205,,AllTriggers)</f>
        <v>0.99455305827140661</v>
      </c>
      <c r="Y205" s="32">
        <f t="shared" si="13"/>
        <v>6.432541748139022E-3</v>
      </c>
      <c r="Z205" s="451">
        <f t="shared" si="14"/>
        <v>4.6386442361011587E-4</v>
      </c>
      <c r="AE205" s="33"/>
      <c r="AF205" s="33"/>
    </row>
    <row r="206" spans="6:32" ht="11.25" customHeight="1" x14ac:dyDescent="0.2">
      <c r="F206" s="155"/>
      <c r="G206" s="155"/>
      <c r="H206" s="33"/>
      <c r="L206" s="33"/>
      <c r="M206" s="33"/>
      <c r="S206" s="422">
        <f>_xll.qlCalendarAdvance(Calendar,S205,"1D","f")</f>
        <v>42417</v>
      </c>
      <c r="T206" s="221">
        <f>_xll.qlCalendarAdvance(Calendar,S206,$G$1,"mf",,Trigger)</f>
        <v>42507</v>
      </c>
      <c r="U206" s="342">
        <f>_xll.qlDayCounterYearFraction(DayCounter,S206,T206,,,Trigger)</f>
        <v>0.24657534246575341</v>
      </c>
      <c r="V206" s="32">
        <f>_xll.qlInterpolationInterpolate(B3Minterpolation,S206,TRUE)</f>
        <v>1.8871882250794171E-3</v>
      </c>
      <c r="W206" s="345">
        <f>_xll.qlYieldTSDiscount(Discounting,S206,,AllTriggers)</f>
        <v>0.99611396923630824</v>
      </c>
      <c r="X206" s="345">
        <f>_xll.qlYieldTSDiscount(Discounting,T206,,AllTriggers)</f>
        <v>0.99453437338878414</v>
      </c>
      <c r="Y206" s="32">
        <f t="shared" si="13"/>
        <v>6.4413446999625912E-3</v>
      </c>
      <c r="Z206" s="451">
        <f t="shared" si="14"/>
        <v>4.6448828419373071E-4</v>
      </c>
      <c r="AE206" s="33"/>
      <c r="AF206" s="33"/>
    </row>
    <row r="207" spans="6:32" ht="11.25" customHeight="1" x14ac:dyDescent="0.2">
      <c r="F207" s="155"/>
      <c r="G207" s="155"/>
      <c r="H207" s="33"/>
      <c r="L207" s="33"/>
      <c r="M207" s="33"/>
      <c r="S207" s="422">
        <f>_xll.qlCalendarAdvance(Calendar,S206,"1D","f")</f>
        <v>42418</v>
      </c>
      <c r="T207" s="221">
        <f>_xll.qlCalendarAdvance(Calendar,S207,$G$1,"mf",,Trigger)</f>
        <v>42508</v>
      </c>
      <c r="U207" s="342">
        <f>_xll.qlDayCounterYearFraction(DayCounter,S207,T207,,,Trigger)</f>
        <v>0.24657534246575341</v>
      </c>
      <c r="V207" s="32">
        <f>_xll.qlInterpolationInterpolate(B3Minterpolation,S207,TRUE)</f>
        <v>1.8896944548549759E-3</v>
      </c>
      <c r="W207" s="345">
        <f>_xll.qlYieldTSDiscount(Discounting,S207,,AllTriggers)</f>
        <v>0.99609736478667676</v>
      </c>
      <c r="X207" s="345">
        <f>_xll.qlYieldTSDiscount(Discounting,T207,,AllTriggers)</f>
        <v>0.99451564537388815</v>
      </c>
      <c r="Y207" s="32">
        <f t="shared" si="13"/>
        <v>6.4501257287446923E-3</v>
      </c>
      <c r="Z207" s="451">
        <f t="shared" si="14"/>
        <v>4.6510398678474742E-4</v>
      </c>
      <c r="AE207" s="33"/>
      <c r="AF207" s="33"/>
    </row>
    <row r="208" spans="6:32" ht="11.25" customHeight="1" x14ac:dyDescent="0.2">
      <c r="F208" s="155"/>
      <c r="G208" s="155"/>
      <c r="H208" s="33"/>
      <c r="L208" s="33"/>
      <c r="M208" s="33"/>
      <c r="S208" s="422">
        <f>_xll.qlCalendarAdvance(Calendar,S207,"1D","f")</f>
        <v>42419</v>
      </c>
      <c r="T208" s="221">
        <f>_xll.qlCalendarAdvance(Calendar,S208,$G$1,"mf",,Trigger)</f>
        <v>42509</v>
      </c>
      <c r="U208" s="342">
        <f>_xll.qlDayCounterYearFraction(DayCounter,S208,T208,,,Trigger)</f>
        <v>0.24657534246575341</v>
      </c>
      <c r="V208" s="32">
        <f>_xll.qlInterpolationInterpolate(B3Minterpolation,S208,TRUE)</f>
        <v>1.8921665308565957E-3</v>
      </c>
      <c r="W208" s="345">
        <f>_xll.qlYieldTSDiscount(Discounting,S208,,AllTriggers)</f>
        <v>0.99608071276901522</v>
      </c>
      <c r="X208" s="345">
        <f>_xll.qlYieldTSDiscount(Discounting,T208,,AllTriggers)</f>
        <v>0.99449687431702727</v>
      </c>
      <c r="Y208" s="32">
        <f t="shared" si="13"/>
        <v>6.4588889105090044E-3</v>
      </c>
      <c r="Z208" s="451">
        <f t="shared" si="14"/>
        <v>4.6571128420787121E-4</v>
      </c>
      <c r="AE208" s="33"/>
      <c r="AF208" s="33"/>
    </row>
    <row r="209" spans="6:32" ht="11.25" customHeight="1" x14ac:dyDescent="0.2">
      <c r="F209" s="155"/>
      <c r="G209" s="155"/>
      <c r="H209" s="33"/>
      <c r="L209" s="33"/>
      <c r="M209" s="33"/>
      <c r="S209" s="422">
        <f>_xll.qlCalendarAdvance(Calendar,S208,"1D","f")</f>
        <v>42422</v>
      </c>
      <c r="T209" s="221">
        <f>_xll.qlCalendarAdvance(Calendar,S209,$G$1,"mf",,Trigger)</f>
        <v>42513</v>
      </c>
      <c r="U209" s="342">
        <f>_xll.qlDayCounterYearFraction(DayCounter,S209,T209,,,Trigger)</f>
        <v>0.24931506849315069</v>
      </c>
      <c r="V209" s="32">
        <f>_xll.qlInterpolationInterpolate(B3Minterpolation,S209,TRUE)</f>
        <v>1.8993678070295921E-3</v>
      </c>
      <c r="W209" s="345">
        <f>_xll.qlYieldTSDiscount(Discounting,S209,,AllTriggers)</f>
        <v>0.99603048220678847</v>
      </c>
      <c r="X209" s="345">
        <f>_xll.qlYieldTSDiscount(Discounting,T209,,AllTriggers)</f>
        <v>0.99442136147606586</v>
      </c>
      <c r="Y209" s="32">
        <f t="shared" si="13"/>
        <v>6.4903730132088774E-3</v>
      </c>
      <c r="Z209" s="451">
        <f t="shared" si="14"/>
        <v>4.726642701150876E-4</v>
      </c>
      <c r="AE209" s="33"/>
      <c r="AF209" s="33"/>
    </row>
    <row r="210" spans="6:32" ht="11.25" customHeight="1" x14ac:dyDescent="0.2">
      <c r="F210" s="155"/>
      <c r="G210" s="155"/>
      <c r="H210" s="33"/>
      <c r="L210" s="33"/>
      <c r="M210" s="33"/>
      <c r="S210" s="422">
        <f>_xll.qlCalendarAdvance(Calendar,S209,"1D","f")</f>
        <v>42423</v>
      </c>
      <c r="T210" s="221">
        <f>_xll.qlCalendarAdvance(Calendar,S210,$G$1,"mf",,Trigger)</f>
        <v>42513</v>
      </c>
      <c r="U210" s="342">
        <f>_xll.qlDayCounterYearFraction(DayCounter,S210,T210,,,Trigger)</f>
        <v>0.24657534246575341</v>
      </c>
      <c r="V210" s="32">
        <f>_xll.qlInterpolationInterpolate(B3Minterpolation,S210,TRUE)</f>
        <v>1.9016932387472267E-3</v>
      </c>
      <c r="W210" s="345">
        <f>_xll.qlYieldTSDiscount(Discounting,S210,,AllTriggers)</f>
        <v>0.99601365081561111</v>
      </c>
      <c r="X210" s="345">
        <f>_xll.qlYieldTSDiscount(Discounting,T210,,AllTriggers)</f>
        <v>0.99442136147606586</v>
      </c>
      <c r="Y210" s="32">
        <f t="shared" si="13"/>
        <v>6.493844689196498E-3</v>
      </c>
      <c r="Z210" s="451">
        <f t="shared" si="14"/>
        <v>4.6805147869044046E-4</v>
      </c>
      <c r="AE210" s="33"/>
      <c r="AF210" s="33"/>
    </row>
    <row r="211" spans="6:32" ht="11.25" customHeight="1" x14ac:dyDescent="0.2">
      <c r="F211" s="155"/>
      <c r="G211" s="155"/>
      <c r="H211" s="33"/>
      <c r="L211" s="33"/>
      <c r="M211" s="33"/>
      <c r="S211" s="422">
        <f>_xll.qlCalendarAdvance(Calendar,S210,"1D","f")</f>
        <v>42424</v>
      </c>
      <c r="T211" s="221">
        <f>_xll.qlCalendarAdvance(Calendar,S211,$G$1,"mf",,Trigger)</f>
        <v>42514</v>
      </c>
      <c r="U211" s="342">
        <f>_xll.qlDayCounterYearFraction(DayCounter,S211,T211,,,Trigger)</f>
        <v>0.24657534246575341</v>
      </c>
      <c r="V211" s="32">
        <f>_xll.qlInterpolationInterpolate(B3Minterpolation,S211,TRUE)</f>
        <v>1.9039795020968082E-3</v>
      </c>
      <c r="W211" s="345">
        <f>_xll.qlYieldTSDiscount(Discounting,S211,,AllTriggers)</f>
        <v>0.99599677730537062</v>
      </c>
      <c r="X211" s="345">
        <f>_xll.qlYieldTSDiscount(Discounting,T211,,AllTriggers)</f>
        <v>0.99440237656396924</v>
      </c>
      <c r="Y211" s="32">
        <f t="shared" si="13"/>
        <v>6.5025797775291917E-3</v>
      </c>
      <c r="Z211" s="451">
        <f t="shared" si="14"/>
        <v>4.6861304262681901E-4</v>
      </c>
      <c r="AE211" s="33"/>
      <c r="AF211" s="33"/>
    </row>
    <row r="212" spans="6:32" ht="11.25" customHeight="1" x14ac:dyDescent="0.2">
      <c r="F212" s="155"/>
      <c r="G212" s="155"/>
      <c r="H212" s="33"/>
      <c r="L212" s="33"/>
      <c r="M212" s="33"/>
      <c r="S212" s="422">
        <f>_xll.qlCalendarAdvance(Calendar,S211,"1D","f")</f>
        <v>42425</v>
      </c>
      <c r="T212" s="221">
        <f>_xll.qlCalendarAdvance(Calendar,S212,$G$1,"mf",,Trigger)</f>
        <v>42515</v>
      </c>
      <c r="U212" s="342">
        <f>_xll.qlDayCounterYearFraction(DayCounter,S212,T212,,,Trigger)</f>
        <v>0.24657534246575341</v>
      </c>
      <c r="V212" s="32">
        <f>_xll.qlInterpolationInterpolate(B3Minterpolation,S212,TRUE)</f>
        <v>1.9062255941595131E-3</v>
      </c>
      <c r="W212" s="345">
        <f>_xll.qlYieldTSDiscount(Discounting,S212,,AllTriggers)</f>
        <v>0.99597986276565731</v>
      </c>
      <c r="X212" s="345">
        <f>_xll.qlYieldTSDiscount(Discounting,T212,,AllTriggers)</f>
        <v>0.99438334915173543</v>
      </c>
      <c r="Y212" s="32">
        <f t="shared" si="13"/>
        <v>6.5113214757507067E-3</v>
      </c>
      <c r="Z212" s="451">
        <f t="shared" si="14"/>
        <v>4.6916471833703932E-4</v>
      </c>
      <c r="AE212" s="33"/>
      <c r="AF212" s="33"/>
    </row>
    <row r="213" spans="6:32" ht="11.25" customHeight="1" x14ac:dyDescent="0.2">
      <c r="F213" s="155"/>
      <c r="G213" s="155"/>
      <c r="H213" s="33"/>
      <c r="L213" s="33"/>
      <c r="M213" s="33"/>
      <c r="S213" s="422">
        <f>_xll.qlCalendarAdvance(Calendar,S212,"1D","f")</f>
        <v>42426</v>
      </c>
      <c r="T213" s="221">
        <f>_xll.qlCalendarAdvance(Calendar,S213,$G$1,"mf",,Trigger)</f>
        <v>42516</v>
      </c>
      <c r="U213" s="342">
        <f>_xll.qlDayCounterYearFraction(DayCounter,S213,T213,,,Trigger)</f>
        <v>0.24657534246575341</v>
      </c>
      <c r="V213" s="32">
        <f>_xll.qlInterpolationInterpolate(B3Minterpolation,S213,TRUE)</f>
        <v>1.9084305120165188E-3</v>
      </c>
      <c r="W213" s="345">
        <f>_xll.qlYieldTSDiscount(Discounting,S213,,AllTriggers)</f>
        <v>0.99596290828599299</v>
      </c>
      <c r="X213" s="345">
        <f>_xll.qlYieldTSDiscount(Discounting,T213,,AllTriggers)</f>
        <v>0.99436427932966454</v>
      </c>
      <c r="Y213" s="32">
        <f t="shared" si="13"/>
        <v>6.5200738601350651E-3</v>
      </c>
      <c r="Z213" s="451">
        <f t="shared" si="14"/>
        <v>4.6970625864498354E-4</v>
      </c>
      <c r="AE213" s="33"/>
      <c r="AF213" s="33"/>
    </row>
    <row r="214" spans="6:32" ht="11.25" customHeight="1" x14ac:dyDescent="0.2">
      <c r="F214" s="155"/>
      <c r="G214" s="155"/>
      <c r="H214" s="33"/>
      <c r="L214" s="33"/>
      <c r="M214" s="33"/>
      <c r="S214" s="422">
        <f>_xll.qlCalendarAdvance(Calendar,S213,"1D","f")</f>
        <v>42429</v>
      </c>
      <c r="T214" s="221">
        <f>_xll.qlCalendarAdvance(Calendar,S214,$G$1,"mf",,Trigger)</f>
        <v>42521</v>
      </c>
      <c r="U214" s="342">
        <f>_xll.qlDayCounterYearFraction(DayCounter,S214,T214,,,Trigger)</f>
        <v>0.25205479452054796</v>
      </c>
      <c r="V214" s="32">
        <f>_xll.qlInterpolationInterpolate(B3Minterpolation,S214,TRUE)</f>
        <v>1.914788191165111E-3</v>
      </c>
      <c r="W214" s="345">
        <f>_xll.qlYieldTSDiscount(Discounting,S214,,AllTriggers)</f>
        <v>0.9959118161014725</v>
      </c>
      <c r="X214" s="345">
        <f>_xll.qlYieldTSDiscount(Discounting,T214,,AllTriggers)</f>
        <v>0.99426829723217647</v>
      </c>
      <c r="Y214" s="32">
        <f t="shared" si="13"/>
        <v>6.5580713864940568E-3</v>
      </c>
      <c r="Z214" s="451">
        <f t="shared" si="14"/>
        <v>4.8171902866414633E-4</v>
      </c>
      <c r="AE214" s="33"/>
      <c r="AF214" s="33"/>
    </row>
    <row r="215" spans="6:32" ht="11.25" customHeight="1" x14ac:dyDescent="0.2">
      <c r="F215" s="155"/>
      <c r="G215" s="155"/>
      <c r="H215" s="33"/>
      <c r="L215" s="33"/>
      <c r="M215" s="33"/>
      <c r="S215" s="422">
        <f>_xll.qlCalendarAdvance(Calendar,S214,"1D","f")</f>
        <v>42430</v>
      </c>
      <c r="T215" s="221">
        <f>_xll.qlCalendarAdvance(Calendar,S215,$G$1,"mf",,Trigger)</f>
        <v>42522</v>
      </c>
      <c r="U215" s="342">
        <f>_xll.qlDayCounterYearFraction(DayCounter,S215,T215,,,Trigger)</f>
        <v>0.25205479452054796</v>
      </c>
      <c r="V215" s="32">
        <f>_xll.qlInterpolationInterpolate(B3Minterpolation,S215,TRUE)</f>
        <v>1.9168183830110905E-3</v>
      </c>
      <c r="W215" s="345">
        <f>_xll.qlYieldTSDiscount(Discounting,S215,,AllTriggers)</f>
        <v>0.99589471283233055</v>
      </c>
      <c r="X215" s="345">
        <f>_xll.qlYieldTSDiscount(Discounting,T215,,AllTriggers)</f>
        <v>0.99424897484731656</v>
      </c>
      <c r="Y215" s="32">
        <f t="shared" si="13"/>
        <v>6.5670538629243533E-3</v>
      </c>
      <c r="Z215" s="451">
        <f t="shared" si="14"/>
        <v>4.8222856787251612E-4</v>
      </c>
      <c r="AE215" s="33"/>
      <c r="AF215" s="33"/>
    </row>
    <row r="216" spans="6:32" ht="11.25" customHeight="1" x14ac:dyDescent="0.2">
      <c r="F216" s="155"/>
      <c r="G216" s="155"/>
      <c r="H216" s="33"/>
      <c r="L216" s="33"/>
      <c r="M216" s="33"/>
      <c r="S216" s="422">
        <f>_xll.qlCalendarAdvance(Calendar,S215,"1D","f")</f>
        <v>42431</v>
      </c>
      <c r="T216" s="221">
        <f>_xll.qlCalendarAdvance(Calendar,S216,$G$1,"mf",,Trigger)</f>
        <v>42523</v>
      </c>
      <c r="U216" s="342">
        <f>_xll.qlDayCounterYearFraction(DayCounter,S216,T216,,,Trigger)</f>
        <v>0.25205479452054796</v>
      </c>
      <c r="V216" s="32">
        <f>_xll.qlInterpolationInterpolate(B3Minterpolation,S216,TRUE)</f>
        <v>1.9188023860572563E-3</v>
      </c>
      <c r="W216" s="345">
        <f>_xll.qlYieldTSDiscount(Discounting,S216,,AllTriggers)</f>
        <v>0.99587757552877687</v>
      </c>
      <c r="X216" s="345">
        <f>_xll.qlYieldTSDiscount(Discounting,T216,,AllTriggers)</f>
        <v>0.99422961068468363</v>
      </c>
      <c r="Y216" s="32">
        <f t="shared" si="13"/>
        <v>6.5760678640656807E-3</v>
      </c>
      <c r="Z216" s="451">
        <f t="shared" si="14"/>
        <v>4.8272648345535967E-4</v>
      </c>
      <c r="AE216" s="33"/>
      <c r="AF216" s="33"/>
    </row>
    <row r="217" spans="6:32" ht="11.25" customHeight="1" x14ac:dyDescent="0.2">
      <c r="F217" s="155"/>
      <c r="G217" s="155"/>
      <c r="H217" s="33"/>
      <c r="L217" s="33"/>
      <c r="M217" s="33"/>
      <c r="S217" s="422">
        <f>_xll.qlCalendarAdvance(Calendar,S216,"1D","f")</f>
        <v>42432</v>
      </c>
      <c r="T217" s="221">
        <f>_xll.qlCalendarAdvance(Calendar,S217,$G$1,"mf",,Trigger)</f>
        <v>42524</v>
      </c>
      <c r="U217" s="342">
        <f>_xll.qlDayCounterYearFraction(DayCounter,S217,T217,,,Trigger)</f>
        <v>0.25205479452054796</v>
      </c>
      <c r="V217" s="32">
        <f>_xll.qlInterpolationInterpolate(B3Minterpolation,S217,TRUE)</f>
        <v>1.9207391973847852E-3</v>
      </c>
      <c r="W217" s="345">
        <f>_xll.qlYieldTSDiscount(Discounting,S217,,AllTriggers)</f>
        <v>0.99586040573885903</v>
      </c>
      <c r="X217" s="345">
        <f>_xll.qlYieldTSDiscount(Discounting,T217,,AllTriggers)</f>
        <v>0.9942102048345669</v>
      </c>
      <c r="Y217" s="32">
        <f t="shared" si="13"/>
        <v>6.5851192094779432E-3</v>
      </c>
      <c r="Z217" s="451">
        <f t="shared" si="14"/>
        <v>4.8321252253999094E-4</v>
      </c>
      <c r="AE217" s="33"/>
      <c r="AF217" s="33"/>
    </row>
    <row r="218" spans="6:32" ht="11.25" customHeight="1" x14ac:dyDescent="0.2">
      <c r="F218" s="155"/>
      <c r="G218" s="155"/>
      <c r="H218" s="33"/>
      <c r="L218" s="33"/>
      <c r="M218" s="33"/>
      <c r="S218" s="422">
        <f>_xll.qlCalendarAdvance(Calendar,S217,"1D","f")</f>
        <v>42433</v>
      </c>
      <c r="T218" s="221">
        <f>_xll.qlCalendarAdvance(Calendar,S218,$G$1,"mf",,Trigger)</f>
        <v>42527</v>
      </c>
      <c r="U218" s="342">
        <f>_xll.qlDayCounterYearFraction(DayCounter,S218,T218,,,Trigger)</f>
        <v>0.25753424657534246</v>
      </c>
      <c r="V218" s="32">
        <f>_xll.qlInterpolationInterpolate(B3Minterpolation,S218,TRUE)</f>
        <v>1.9226278140748549E-3</v>
      </c>
      <c r="W218" s="345">
        <f>_xll.qlYieldTSDiscount(Discounting,S218,,AllTriggers)</f>
        <v>0.99584320501052137</v>
      </c>
      <c r="X218" s="345">
        <f>_xll.qlYieldTSDiscount(Discounting,T218,,AllTriggers)</f>
        <v>0.99415173806217738</v>
      </c>
      <c r="Y218" s="32">
        <f t="shared" si="13"/>
        <v>6.606567106710935E-3</v>
      </c>
      <c r="Z218" s="451">
        <f t="shared" si="14"/>
        <v>4.941793657013663E-4</v>
      </c>
      <c r="AE218" s="33"/>
      <c r="AF218" s="33"/>
    </row>
    <row r="219" spans="6:32" ht="11.25" customHeight="1" x14ac:dyDescent="0.2">
      <c r="F219" s="155"/>
      <c r="G219" s="155"/>
      <c r="H219" s="33"/>
      <c r="L219" s="33"/>
      <c r="M219" s="33"/>
      <c r="S219" s="422">
        <f>_xll.qlCalendarAdvance(Calendar,S218,"1D","f")</f>
        <v>42436</v>
      </c>
      <c r="T219" s="221">
        <f>_xll.qlCalendarAdvance(Calendar,S219,$G$1,"mf",,Trigger)</f>
        <v>42528</v>
      </c>
      <c r="U219" s="342">
        <f>_xll.qlDayCounterYearFraction(DayCounter,S219,T219,,,Trigger)</f>
        <v>0.25205479452054796</v>
      </c>
      <c r="V219" s="32">
        <f>_xll.qlInterpolationInterpolate(B3Minterpolation,S219,TRUE)</f>
        <v>1.9279944671320771E-3</v>
      </c>
      <c r="W219" s="345">
        <f>_xll.qlYieldTSDiscount(Discounting,S219,,AllTriggers)</f>
        <v>0.99579143267287218</v>
      </c>
      <c r="X219" s="345">
        <f>_xll.qlYieldTSDiscount(Discounting,T219,,AllTriggers)</f>
        <v>0.99413216636498103</v>
      </c>
      <c r="Y219" s="32">
        <f t="shared" si="13"/>
        <v>6.621814426944362E-3</v>
      </c>
      <c r="Z219" s="451">
        <f t="shared" si="14"/>
        <v>4.8503285645728746E-4</v>
      </c>
      <c r="AE219" s="33"/>
      <c r="AF219" s="33"/>
    </row>
    <row r="220" spans="6:32" ht="11.25" customHeight="1" x14ac:dyDescent="0.2">
      <c r="F220" s="155"/>
      <c r="G220" s="155"/>
      <c r="H220" s="33"/>
      <c r="L220" s="33"/>
      <c r="M220" s="33"/>
      <c r="S220" s="422">
        <f>_xll.qlCalendarAdvance(Calendar,S219,"1D","f")</f>
        <v>42437</v>
      </c>
      <c r="T220" s="221">
        <f>_xll.qlCalendarAdvance(Calendar,S220,$G$1,"mf",,Trigger)</f>
        <v>42529</v>
      </c>
      <c r="U220" s="342">
        <f>_xll.qlDayCounterYearFraction(DayCounter,S220,T220,,,Trigger)</f>
        <v>0.25205479452054796</v>
      </c>
      <c r="V220" s="32">
        <f>_xll.qlInterpolationInterpolate(B3Minterpolation,S220,TRUE)</f>
        <v>1.9296802760840792E-3</v>
      </c>
      <c r="W220" s="345">
        <f>_xll.qlYieldTSDiscount(Discounting,S220,,AllTriggers)</f>
        <v>0.99577412366821438</v>
      </c>
      <c r="X220" s="345">
        <f>_xll.qlYieldTSDiscount(Discounting,T220,,AllTriggers)</f>
        <v>0.99411255343172023</v>
      </c>
      <c r="Y220" s="32">
        <f t="shared" si="13"/>
        <v>6.6311397890250635E-3</v>
      </c>
      <c r="Z220" s="451">
        <f t="shared" si="14"/>
        <v>4.8545571997563519E-4</v>
      </c>
      <c r="AE220" s="33"/>
      <c r="AF220" s="33"/>
    </row>
    <row r="221" spans="6:32" ht="11.25" customHeight="1" x14ac:dyDescent="0.2">
      <c r="F221" s="155"/>
      <c r="G221" s="155"/>
      <c r="H221" s="33"/>
      <c r="L221" s="33"/>
      <c r="M221" s="33"/>
      <c r="S221" s="422">
        <f>_xll.qlCalendarAdvance(Calendar,S220,"1D","f")</f>
        <v>42438</v>
      </c>
      <c r="T221" s="221">
        <f>_xll.qlCalendarAdvance(Calendar,S221,$G$1,"mf",,Trigger)</f>
        <v>42530</v>
      </c>
      <c r="U221" s="342">
        <f>_xll.qlDayCounterYearFraction(DayCounter,S221,T221,,,Trigger)</f>
        <v>0.25205479452054796</v>
      </c>
      <c r="V221" s="32">
        <f>_xll.qlInterpolationInterpolate(B3Minterpolation,S221,TRUE)</f>
        <v>1.9313128758045076E-3</v>
      </c>
      <c r="W221" s="345">
        <f>_xll.qlYieldTSDiscount(Discounting,S221,,AllTriggers)</f>
        <v>0.99575679146329155</v>
      </c>
      <c r="X221" s="345">
        <f>_xll.qlYieldTSDiscount(Discounting,T221,,AllTriggers)</f>
        <v>0.99409289935267386</v>
      </c>
      <c r="Y221" s="32">
        <f t="shared" si="13"/>
        <v>6.6405374138936912E-3</v>
      </c>
      <c r="Z221" s="451">
        <f t="shared" si="14"/>
        <v>4.8586518976989829E-4</v>
      </c>
      <c r="AE221" s="33"/>
      <c r="AF221" s="33"/>
    </row>
    <row r="222" spans="6:32" ht="11.25" customHeight="1" x14ac:dyDescent="0.2">
      <c r="F222" s="155"/>
      <c r="G222" s="155"/>
      <c r="H222" s="33"/>
      <c r="L222" s="33"/>
      <c r="M222" s="33"/>
      <c r="S222" s="422">
        <f>_xll.qlCalendarAdvance(Calendar,S221,"1D","f")</f>
        <v>42439</v>
      </c>
      <c r="T222" s="221">
        <f>_xll.qlCalendarAdvance(Calendar,S222,$G$1,"mf",,Trigger)</f>
        <v>42531</v>
      </c>
      <c r="U222" s="342">
        <f>_xll.qlDayCounterYearFraction(DayCounter,S222,T222,,,Trigger)</f>
        <v>0.25205479452054796</v>
      </c>
      <c r="V222" s="32">
        <f>_xll.qlInterpolationInterpolate(B3Minterpolation,S222,TRUE)</f>
        <v>1.9328912633745387E-3</v>
      </c>
      <c r="W222" s="345">
        <f>_xll.qlYieldTSDiscount(Discounting,S222,,AllTriggers)</f>
        <v>0.99573943760541828</v>
      </c>
      <c r="X222" s="345">
        <f>_xll.qlYieldTSDiscount(Discounting,T222,,AllTriggers)</f>
        <v>0.99407320421811873</v>
      </c>
      <c r="Y222" s="32">
        <f t="shared" si="13"/>
        <v>6.6500131215039325E-3</v>
      </c>
      <c r="Z222" s="451">
        <f t="shared" si="14"/>
        <v>4.8626101297302233E-4</v>
      </c>
      <c r="AE222" s="33"/>
      <c r="AF222" s="33"/>
    </row>
    <row r="223" spans="6:32" ht="11.25" customHeight="1" x14ac:dyDescent="0.2">
      <c r="F223" s="155"/>
      <c r="G223" s="155"/>
      <c r="H223" s="33"/>
      <c r="L223" s="33"/>
      <c r="M223" s="33"/>
      <c r="S223" s="422">
        <f>_xll.qlCalendarAdvance(Calendar,S222,"1D","f")</f>
        <v>42440</v>
      </c>
      <c r="T223" s="221">
        <f>_xll.qlCalendarAdvance(Calendar,S223,$G$1,"mf",,Trigger)</f>
        <v>42534</v>
      </c>
      <c r="U223" s="342">
        <f>_xll.qlDayCounterYearFraction(DayCounter,S223,T223,,,Trigger)</f>
        <v>0.25753424657534246</v>
      </c>
      <c r="V223" s="32">
        <f>_xll.qlInterpolationInterpolate(B3Minterpolation,S223,TRUE)</f>
        <v>1.9344144358753503E-3</v>
      </c>
      <c r="W223" s="345">
        <f>_xll.qlYieldTSDiscount(Discounting,S223,,AllTriggers)</f>
        <v>0.99572206364180282</v>
      </c>
      <c r="X223" s="345">
        <f>_xll.qlYieldTSDiscount(Discounting,T223,,AllTriggers)</f>
        <v>0.99401387338414104</v>
      </c>
      <c r="Y223" s="32">
        <f t="shared" si="13"/>
        <v>6.6728107158561161E-3</v>
      </c>
      <c r="Z223" s="451">
        <f t="shared" si="14"/>
        <v>4.9719970121267889E-4</v>
      </c>
      <c r="AE223" s="33"/>
      <c r="AF223" s="33"/>
    </row>
    <row r="224" spans="6:32" ht="11.25" customHeight="1" x14ac:dyDescent="0.2">
      <c r="F224" s="155"/>
      <c r="G224" s="155"/>
      <c r="H224" s="33"/>
      <c r="L224" s="33"/>
      <c r="M224" s="33"/>
      <c r="S224" s="422">
        <f>_xll.qlCalendarAdvance(Calendar,S223,"1D","f")</f>
        <v>42443</v>
      </c>
      <c r="T224" s="221">
        <f>_xll.qlCalendarAdvance(Calendar,S224,$G$1,"mf",,Trigger)</f>
        <v>42535</v>
      </c>
      <c r="U224" s="342">
        <f>_xll.qlDayCounterYearFraction(DayCounter,S224,T224,,,Trigger)</f>
        <v>0.25205479452054796</v>
      </c>
      <c r="V224" s="32">
        <f>_xll.qlInterpolationInterpolate(B3Minterpolation,S224,TRUE)</f>
        <v>1.9386426337742364E-3</v>
      </c>
      <c r="W224" s="345">
        <f>_xll.qlYieldTSDiscount(Discounting,S224,,AllTriggers)</f>
        <v>0.9956698365869866</v>
      </c>
      <c r="X224" s="345">
        <f>_xll.qlYieldTSDiscount(Discounting,T224,,AllTriggers)</f>
        <v>0.99399401493028161</v>
      </c>
      <c r="Y224" s="32">
        <f t="shared" si="13"/>
        <v>6.6888131805454684E-3</v>
      </c>
      <c r="Z224" s="451">
        <f t="shared" si="14"/>
        <v>4.8770278257560644E-4</v>
      </c>
      <c r="AE224" s="33"/>
      <c r="AF224" s="33"/>
    </row>
    <row r="225" spans="6:32" ht="11.25" customHeight="1" x14ac:dyDescent="0.2">
      <c r="F225" s="155"/>
      <c r="G225" s="155"/>
      <c r="H225" s="33"/>
      <c r="L225" s="33"/>
      <c r="M225" s="33"/>
      <c r="S225" s="422">
        <f>_xll.qlCalendarAdvance(Calendar,S224,"1D","f")</f>
        <v>42444</v>
      </c>
      <c r="T225" s="221">
        <f>_xll.qlCalendarAdvance(Calendar,S225,$G$1,"mf",,Trigger)</f>
        <v>42536</v>
      </c>
      <c r="U225" s="342">
        <f>_xll.qlDayCounterYearFraction(DayCounter,S225,T225,,,Trigger)</f>
        <v>0.25205479452054796</v>
      </c>
      <c r="V225" s="32">
        <f>_xll.qlInterpolationInterpolate(B3Minterpolation,S225,TRUE)</f>
        <v>1.9399349168099393E-3</v>
      </c>
      <c r="W225" s="345">
        <f>_xll.qlYieldTSDiscount(Discounting,S225,,AllTriggers)</f>
        <v>0.99565239767034952</v>
      </c>
      <c r="X225" s="345">
        <f>_xll.qlYieldTSDiscount(Discounting,T225,,AllTriggers)</f>
        <v>0.99397411587226892</v>
      </c>
      <c r="Y225" s="32">
        <f t="shared" si="13"/>
        <v>6.698766603300048E-3</v>
      </c>
      <c r="Z225" s="451">
        <f t="shared" si="14"/>
        <v>4.8802657986750077E-4</v>
      </c>
      <c r="AE225" s="33"/>
      <c r="AF225" s="33"/>
    </row>
    <row r="226" spans="6:32" ht="11.25" customHeight="1" x14ac:dyDescent="0.2">
      <c r="F226" s="155"/>
      <c r="G226" s="155"/>
      <c r="H226" s="33"/>
      <c r="L226" s="33"/>
      <c r="M226" s="33"/>
      <c r="S226" s="422">
        <f>_xll.qlCalendarAdvance(Calendar,S225,"1D","f")</f>
        <v>42445</v>
      </c>
      <c r="T226" s="221">
        <f>_xll.qlCalendarAdvance(Calendar,S226,$G$1,"mf",,Trigger)</f>
        <v>42537</v>
      </c>
      <c r="U226" s="342">
        <f>_xll.qlDayCounterYearFraction(DayCounter,S226,T226,,,Trigger)</f>
        <v>0.25205479452054796</v>
      </c>
      <c r="V226" s="32">
        <f>_xll.qlInterpolationInterpolate(B3Minterpolation,S226,TRUE)</f>
        <v>1.941166970182308E-3</v>
      </c>
      <c r="W226" s="345">
        <f>_xll.qlYieldTSDiscount(Discounting,S226,,AllTriggers)</f>
        <v>0.99563494638240713</v>
      </c>
      <c r="X226" s="345">
        <f>_xll.qlYieldTSDiscount(Discounting,T226,,AllTriggers)</f>
        <v>0.9939541763003682</v>
      </c>
      <c r="Y226" s="32">
        <f t="shared" si="13"/>
        <v>6.7088330298177385E-3</v>
      </c>
      <c r="Z226" s="451">
        <f t="shared" si="14"/>
        <v>4.8833521340145569E-4</v>
      </c>
      <c r="AE226" s="33"/>
      <c r="AF226" s="33"/>
    </row>
    <row r="227" spans="6:32" ht="11.25" customHeight="1" x14ac:dyDescent="0.2">
      <c r="F227" s="155"/>
      <c r="G227" s="155"/>
      <c r="H227" s="33"/>
      <c r="L227" s="33"/>
      <c r="M227" s="33"/>
      <c r="S227" s="422">
        <f>_xll.qlCalendarAdvance(Calendar,S226,"1D","f")</f>
        <v>42446</v>
      </c>
      <c r="T227" s="221">
        <f>_xll.qlCalendarAdvance(Calendar,S227,$G$1,"mf",,Trigger)</f>
        <v>42538</v>
      </c>
      <c r="U227" s="342">
        <f>_xll.qlDayCounterYearFraction(DayCounter,S227,T227,,,Trigger)</f>
        <v>0.25205479452054796</v>
      </c>
      <c r="V227" s="32">
        <f>_xll.qlInterpolationInterpolate(B3Minterpolation,S227,TRUE)</f>
        <v>1.9423504790727463E-3</v>
      </c>
      <c r="W227" s="345">
        <f>_xll.qlYieldTSDiscount(Discounting,S227,,AllTriggers)</f>
        <v>0.99561748426972396</v>
      </c>
      <c r="X227" s="345">
        <f>_xll.qlYieldTSDiscount(Discounting,T227,,AllTriggers)</f>
        <v>0.99393419630484248</v>
      </c>
      <c r="Y227" s="32">
        <f t="shared" si="13"/>
        <v>6.7190182804979784E-3</v>
      </c>
      <c r="Z227" s="451">
        <f t="shared" si="14"/>
        <v>4.8863162145503121E-4</v>
      </c>
      <c r="AE227" s="33"/>
      <c r="AF227" s="33"/>
    </row>
    <row r="228" spans="6:32" ht="11.25" customHeight="1" x14ac:dyDescent="0.2">
      <c r="F228" s="155"/>
      <c r="G228" s="155"/>
      <c r="H228" s="33"/>
      <c r="L228" s="33"/>
      <c r="M228" s="33"/>
      <c r="S228" s="422">
        <f>_xll.qlCalendarAdvance(Calendar,S227,"1D","f")</f>
        <v>42447</v>
      </c>
      <c r="T228" s="221">
        <f>_xll.qlCalendarAdvance(Calendar,S228,$G$1,"mf",,Trigger)</f>
        <v>42541</v>
      </c>
      <c r="U228" s="342">
        <f>_xll.qlDayCounterYearFraction(DayCounter,S228,T228,,,Trigger)</f>
        <v>0.25753424657534246</v>
      </c>
      <c r="V228" s="32">
        <f>_xll.qlInterpolationInterpolate(B3Minterpolation,S228,TRUE)</f>
        <v>1.9434982102699879E-3</v>
      </c>
      <c r="W228" s="345">
        <f>_xll.qlYieldTSDiscount(Discounting,S228,,AllTriggers)</f>
        <v>0.99560001287875655</v>
      </c>
      <c r="X228" s="345">
        <f>_xll.qlYieldTSDiscount(Discounting,T228,,AllTriggers)</f>
        <v>0.99387401467911352</v>
      </c>
      <c r="Y228" s="32">
        <f t="shared" si="13"/>
        <v>6.7433237883898949E-3</v>
      </c>
      <c r="Z228" s="451">
        <f t="shared" si="14"/>
        <v>4.9952485403300805E-4</v>
      </c>
      <c r="AE228" s="33"/>
      <c r="AF228" s="33"/>
    </row>
    <row r="229" spans="6:32" ht="11.25" customHeight="1" x14ac:dyDescent="0.2">
      <c r="F229" s="155"/>
      <c r="G229" s="155"/>
      <c r="H229" s="33"/>
      <c r="L229" s="33"/>
      <c r="M229" s="33"/>
      <c r="S229" s="422">
        <f>_xll.qlCalendarAdvance(Calendar,S228,"1D","f")</f>
        <v>42450</v>
      </c>
      <c r="T229" s="221">
        <f>_xll.qlCalendarAdvance(Calendar,S229,$G$1,"mf",,Trigger)</f>
        <v>42542</v>
      </c>
      <c r="U229" s="342">
        <f>_xll.qlDayCounterYearFraction(DayCounter,S229,T229,,,Trigger)</f>
        <v>0.25205479452054796</v>
      </c>
      <c r="V229" s="32">
        <f>_xll.qlInterpolationInterpolate(B3Minterpolation,S229,TRUE)</f>
        <v>1.9467329326242398E-3</v>
      </c>
      <c r="W229" s="345">
        <f>_xll.qlYieldTSDiscount(Discounting,S229,,AllTriggers)</f>
        <v>0.99554755849909005</v>
      </c>
      <c r="X229" s="345">
        <f>_xll.qlYieldTSDiscount(Discounting,T229,,AllTriggers)</f>
        <v>0.99385387389167501</v>
      </c>
      <c r="Y229" s="32">
        <f t="shared" si="13"/>
        <v>6.7610639353395171E-3</v>
      </c>
      <c r="Z229" s="451">
        <f t="shared" si="14"/>
        <v>4.8972865298684367E-4</v>
      </c>
      <c r="AE229" s="33"/>
      <c r="AF229" s="33"/>
    </row>
    <row r="230" spans="6:32" ht="11.25" customHeight="1" x14ac:dyDescent="0.2">
      <c r="F230" s="155"/>
      <c r="G230" s="155"/>
      <c r="H230" s="33"/>
      <c r="L230" s="33"/>
      <c r="M230" s="33"/>
      <c r="S230" s="422">
        <f>_xll.qlCalendarAdvance(Calendar,S229,"1D","f")</f>
        <v>42451</v>
      </c>
      <c r="T230" s="221">
        <f>_xll.qlCalendarAdvance(Calendar,S230,$G$1,"mf",,Trigger)</f>
        <v>42543</v>
      </c>
      <c r="U230" s="342">
        <f>_xll.qlDayCounterYearFraction(DayCounter,S230,T230,,,Trigger)</f>
        <v>0.25205479452054796</v>
      </c>
      <c r="V230" s="32">
        <f>_xll.qlInterpolationInterpolate(B3Minterpolation,S230,TRUE)</f>
        <v>1.9477437479704029E-3</v>
      </c>
      <c r="W230" s="345">
        <f>_xll.qlYieldTSDiscount(Discounting,S230,,AllTriggers)</f>
        <v>0.99553006545738454</v>
      </c>
      <c r="X230" s="345">
        <f>_xll.qlYieldTSDiscount(Discounting,T230,,AllTriggers)</f>
        <v>0.99383369313189418</v>
      </c>
      <c r="Y230" s="32">
        <f t="shared" si="13"/>
        <v>6.7719306153506426E-3</v>
      </c>
      <c r="Z230" s="451">
        <f t="shared" si="14"/>
        <v>4.8998153638249832E-4</v>
      </c>
      <c r="AE230" s="33"/>
      <c r="AF230" s="33"/>
    </row>
    <row r="231" spans="6:32" ht="11.25" customHeight="1" x14ac:dyDescent="0.2">
      <c r="F231" s="155"/>
      <c r="G231" s="155"/>
      <c r="H231" s="33"/>
      <c r="L231" s="33"/>
      <c r="M231" s="33"/>
      <c r="S231" s="422">
        <f>_xll.qlCalendarAdvance(Calendar,S230,"1D","f")</f>
        <v>42452</v>
      </c>
      <c r="T231" s="221">
        <f>_xll.qlCalendarAdvance(Calendar,S231,$G$1,"mf",,Trigger)</f>
        <v>42544</v>
      </c>
      <c r="U231" s="342">
        <f>_xll.qlDayCounterYearFraction(DayCounter,S231,T231,,,Trigger)</f>
        <v>0.25205479452054796</v>
      </c>
      <c r="V231" s="32">
        <f>_xll.qlInterpolationInterpolate(B3Minterpolation,S231,TRUE)</f>
        <v>1.9487218830842238E-3</v>
      </c>
      <c r="W231" s="345">
        <f>_xll.qlYieldTSDiscount(Discounting,S231,,AllTriggers)</f>
        <v>0.99551257086805189</v>
      </c>
      <c r="X231" s="345">
        <f>_xll.qlYieldTSDiscount(Discounting,T231,,AllTriggers)</f>
        <v>0.99381347249002061</v>
      </c>
      <c r="Y231" s="32">
        <f t="shared" si="13"/>
        <v>6.7829510434617201E-3</v>
      </c>
      <c r="Z231" s="451">
        <f t="shared" si="14"/>
        <v>4.9022618024988258E-4</v>
      </c>
      <c r="AE231" s="33"/>
      <c r="AF231" s="33"/>
    </row>
    <row r="232" spans="6:32" ht="11.25" customHeight="1" x14ac:dyDescent="0.2">
      <c r="F232" s="155"/>
      <c r="G232" s="155"/>
      <c r="H232" s="33"/>
      <c r="L232" s="33"/>
      <c r="M232" s="33"/>
      <c r="S232" s="422">
        <f>_xll.qlCalendarAdvance(Calendar,S231,"1D","f")</f>
        <v>42453</v>
      </c>
      <c r="T232" s="221">
        <f>_xll.qlCalendarAdvance(Calendar,S232,$G$1,"mf",,Trigger)</f>
        <v>42545</v>
      </c>
      <c r="U232" s="342">
        <f>_xll.qlDayCounterYearFraction(DayCounter,S232,T232,,,Trigger)</f>
        <v>0.25205479452054796</v>
      </c>
      <c r="V232" s="32">
        <f>_xll.qlInterpolationInterpolate(B3Minterpolation,S232,TRUE)</f>
        <v>1.9496679574578736E-3</v>
      </c>
      <c r="W232" s="345">
        <f>_xll.qlYieldTSDiscount(Discounting,S232,,AllTriggers)</f>
        <v>0.99549507627689759</v>
      </c>
      <c r="X232" s="345">
        <f>_xll.qlYieldTSDiscount(Discounting,T232,,AllTriggers)</f>
        <v>0.99379321205630189</v>
      </c>
      <c r="Y232" s="32">
        <f t="shared" si="13"/>
        <v>6.7941310406025137E-3</v>
      </c>
      <c r="Z232" s="451">
        <f t="shared" si="14"/>
        <v>4.904627397203492E-4</v>
      </c>
      <c r="AE232" s="33"/>
      <c r="AF232" s="33"/>
    </row>
    <row r="233" spans="6:32" ht="11.25" customHeight="1" x14ac:dyDescent="0.2">
      <c r="F233" s="155"/>
      <c r="G233" s="155"/>
      <c r="H233" s="33"/>
      <c r="L233" s="33"/>
      <c r="M233" s="33"/>
      <c r="S233" s="422">
        <f>_xll.qlCalendarAdvance(Calendar,S232,"1D","f")</f>
        <v>42458</v>
      </c>
      <c r="T233" s="221">
        <f>_xll.qlCalendarAdvance(Calendar,S233,$G$1,"mf",,Trigger)</f>
        <v>42550</v>
      </c>
      <c r="U233" s="342">
        <f>_xll.qlDayCounterYearFraction(DayCounter,S233,T233,,,Trigger)</f>
        <v>0.25205479452054796</v>
      </c>
      <c r="V233" s="32">
        <f>_xll.qlInterpolationInterpolate(B3Minterpolation,S233,TRUE)</f>
        <v>1.9539391004495376E-3</v>
      </c>
      <c r="W233" s="345">
        <f>_xll.qlYieldTSDiscount(Discounting,S233,,AllTriggers)</f>
        <v>0.99540765738939729</v>
      </c>
      <c r="X233" s="345">
        <f>_xll.qlYieldTSDiscount(Discounting,T233,,AllTriggers)</f>
        <v>0.99369131616852191</v>
      </c>
      <c r="Y233" s="32">
        <f t="shared" si="13"/>
        <v>6.8526283003566141E-3</v>
      </c>
      <c r="Z233" s="451">
        <f t="shared" si="14"/>
        <v>4.9152970057803221E-4</v>
      </c>
      <c r="AE233" s="33"/>
      <c r="AF233" s="33"/>
    </row>
    <row r="234" spans="6:32" ht="11.25" customHeight="1" x14ac:dyDescent="0.2">
      <c r="F234" s="155"/>
      <c r="G234" s="155"/>
      <c r="H234" s="33"/>
      <c r="L234" s="33"/>
      <c r="M234" s="33"/>
      <c r="S234" s="422">
        <f>_xll.qlCalendarAdvance(Calendar,S233,"1D","f")</f>
        <v>42459</v>
      </c>
      <c r="T234" s="221">
        <f>_xll.qlCalendarAdvance(Calendar,S234,$G$1,"mf",,Trigger)</f>
        <v>42551</v>
      </c>
      <c r="U234" s="342">
        <f>_xll.qlDayCounterYearFraction(DayCounter,S234,T234,,,Trigger)</f>
        <v>0.25205479452054796</v>
      </c>
      <c r="V234" s="32">
        <f>_xll.qlInterpolationInterpolate(B3Minterpolation,S234,TRUE)</f>
        <v>1.95470581971775E-3</v>
      </c>
      <c r="W234" s="345">
        <f>_xll.qlYieldTSDiscount(Discounting,S234,,AllTriggers)</f>
        <v>0.99539019524315053</v>
      </c>
      <c r="X234" s="345">
        <f>_xll.qlYieldTSDiscount(Discounting,T234,,AllTriggers)</f>
        <v>0.99367081887879238</v>
      </c>
      <c r="Y234" s="32">
        <f t="shared" si="13"/>
        <v>6.8648879561067112E-3</v>
      </c>
      <c r="Z234" s="451">
        <f t="shared" si="14"/>
        <v>4.9172101132435332E-4</v>
      </c>
      <c r="AE234" s="33"/>
      <c r="AF234" s="33"/>
    </row>
    <row r="235" spans="6:32" ht="11.25" customHeight="1" x14ac:dyDescent="0.2">
      <c r="F235" s="155"/>
      <c r="G235" s="155"/>
      <c r="H235" s="33"/>
      <c r="L235" s="33"/>
      <c r="M235" s="33"/>
      <c r="S235" s="422">
        <f>_xll.qlCalendarAdvance(Calendar,S234,"1D","f")</f>
        <v>42460</v>
      </c>
      <c r="T235" s="221">
        <f>_xll.qlCalendarAdvance(Calendar,S235,$G$1,"mf",,Trigger)</f>
        <v>42551</v>
      </c>
      <c r="U235" s="342">
        <f>_xll.qlDayCounterYearFraction(DayCounter,S235,T235,,,Trigger)</f>
        <v>0.24931506849315069</v>
      </c>
      <c r="V235" s="32">
        <f>_xll.qlInterpolationInterpolate(B3Minterpolation,S235,TRUE)</f>
        <v>1.955444814690988E-3</v>
      </c>
      <c r="W235" s="345">
        <f>_xll.qlYieldTSDiscount(Discounting,S235,,AllTriggers)</f>
        <v>0.99537274391268216</v>
      </c>
      <c r="X235" s="345">
        <f>_xll.qlYieldTSDiscount(Discounting,T235,,AllTriggers)</f>
        <v>0.99367081887879238</v>
      </c>
      <c r="Y235" s="32">
        <f t="shared" si="13"/>
        <v>6.8698833444273185E-3</v>
      </c>
      <c r="Z235" s="451">
        <f t="shared" si="14"/>
        <v>4.8656988072737396E-4</v>
      </c>
      <c r="AE235" s="33"/>
      <c r="AF235" s="33"/>
    </row>
    <row r="236" spans="6:32" ht="11.25" customHeight="1" x14ac:dyDescent="0.2">
      <c r="F236" s="155"/>
      <c r="G236" s="155"/>
      <c r="H236" s="33"/>
      <c r="L236" s="33"/>
      <c r="M236" s="33"/>
      <c r="S236" s="422">
        <f>_xll.qlCalendarAdvance(Calendar,S235,"1D","f")</f>
        <v>42461</v>
      </c>
      <c r="T236" s="221">
        <f>_xll.qlCalendarAdvance(Calendar,S236,$G$1,"mf",,Trigger)</f>
        <v>42552</v>
      </c>
      <c r="U236" s="342">
        <f>_xll.qlDayCounterYearFraction(DayCounter,S236,T236,,,Trigger)</f>
        <v>0.24931506849315069</v>
      </c>
      <c r="V236" s="32">
        <f>_xll.qlInterpolationInterpolate(B3Minterpolation,S236,TRUE)</f>
        <v>1.9561567048614228E-3</v>
      </c>
      <c r="W236" s="345">
        <f>_xll.qlYieldTSDiscount(Discounting,S236,,AllTriggers)</f>
        <v>0.99535530435685549</v>
      </c>
      <c r="X236" s="345">
        <f>_xll.qlYieldTSDiscount(Discounting,T236,,AllTriggers)</f>
        <v>0.99365028242888132</v>
      </c>
      <c r="Y236" s="32">
        <f t="shared" si="13"/>
        <v>6.8825263148746089E-3</v>
      </c>
      <c r="Z236" s="451">
        <f t="shared" si="14"/>
        <v>4.8674544473154159E-4</v>
      </c>
      <c r="AE236" s="33"/>
      <c r="AF236" s="33"/>
    </row>
    <row r="237" spans="6:32" ht="11.25" customHeight="1" x14ac:dyDescent="0.2">
      <c r="F237" s="155"/>
      <c r="G237" s="155"/>
      <c r="H237" s="33"/>
      <c r="L237" s="33"/>
      <c r="M237" s="33"/>
      <c r="S237" s="422">
        <f>_xll.qlCalendarAdvance(Calendar,S236,"1D","f")</f>
        <v>42464</v>
      </c>
      <c r="T237" s="221">
        <f>_xll.qlCalendarAdvance(Calendar,S237,$G$1,"mf",,Trigger)</f>
        <v>42555</v>
      </c>
      <c r="U237" s="342">
        <f>_xll.qlDayCounterYearFraction(DayCounter,S237,T237,,,Trigger)</f>
        <v>0.24931506849315069</v>
      </c>
      <c r="V237" s="32">
        <f>_xll.qlInterpolationInterpolate(B3Minterpolation,S237,TRUE)</f>
        <v>1.9581359414776152E-3</v>
      </c>
      <c r="W237" s="345">
        <f>_xll.qlYieldTSDiscount(Discounting,S237,,AllTriggers)</f>
        <v>0.9953030401389279</v>
      </c>
      <c r="X237" s="345">
        <f>_xll.qlYieldTSDiscount(Discounting,T237,,AllTriggers)</f>
        <v>0.99358843902031901</v>
      </c>
      <c r="Y237" s="32">
        <f t="shared" si="13"/>
        <v>6.9216246635789595E-3</v>
      </c>
      <c r="Z237" s="451">
        <f t="shared" si="14"/>
        <v>4.8723307296800561E-4</v>
      </c>
      <c r="AE237" s="33"/>
      <c r="AF237" s="33"/>
    </row>
    <row r="238" spans="6:32" ht="11.25" customHeight="1" x14ac:dyDescent="0.2">
      <c r="F238" s="155"/>
      <c r="G238" s="155"/>
      <c r="H238" s="33"/>
      <c r="L238" s="33"/>
      <c r="M238" s="33"/>
      <c r="S238" s="422">
        <f>_xll.qlCalendarAdvance(Calendar,S237,"1D","f")</f>
        <v>42465</v>
      </c>
      <c r="T238" s="221">
        <f>_xll.qlCalendarAdvance(Calendar,S238,$G$1,"mf",,Trigger)</f>
        <v>42556</v>
      </c>
      <c r="U238" s="342">
        <f>_xll.qlDayCounterYearFraction(DayCounter,S238,T238,,,Trigger)</f>
        <v>0.24931506849315069</v>
      </c>
      <c r="V238" s="32">
        <f>_xll.qlInterpolationInterpolate(B3Minterpolation,S238,TRUE)</f>
        <v>1.9587456073585454E-3</v>
      </c>
      <c r="W238" s="345">
        <f>_xll.qlYieldTSDiscount(Discounting,S238,,AllTriggers)</f>
        <v>0.99528563031187101</v>
      </c>
      <c r="X238" s="345">
        <f>_xll.qlYieldTSDiscount(Discounting,T238,,AllTriggers)</f>
        <v>0.99356774683192894</v>
      </c>
      <c r="Y238" s="32">
        <f t="shared" si="13"/>
        <v>6.9350195617537439E-3</v>
      </c>
      <c r="Z238" s="451">
        <f t="shared" si="14"/>
        <v>4.8738311164610743E-4</v>
      </c>
      <c r="AE238" s="33"/>
      <c r="AF238" s="33"/>
    </row>
    <row r="239" spans="6:32" ht="11.25" customHeight="1" x14ac:dyDescent="0.2">
      <c r="F239" s="155"/>
      <c r="G239" s="155"/>
      <c r="H239" s="33"/>
      <c r="L239" s="33"/>
      <c r="M239" s="33"/>
      <c r="S239" s="422">
        <f>_xll.qlCalendarAdvance(Calendar,S238,"1D","f")</f>
        <v>42466</v>
      </c>
      <c r="T239" s="221">
        <f>_xll.qlCalendarAdvance(Calendar,S239,$G$1,"mf",,Trigger)</f>
        <v>42557</v>
      </c>
      <c r="U239" s="342">
        <f>_xll.qlDayCounterYearFraction(DayCounter,S239,T239,,,Trigger)</f>
        <v>0.24931506849315069</v>
      </c>
      <c r="V239" s="32">
        <f>_xll.qlInterpolationInterpolate(B3Minterpolation,S239,TRUE)</f>
        <v>1.959331265897527E-3</v>
      </c>
      <c r="W239" s="345">
        <f>_xll.qlYieldTSDiscount(Discounting,S239,,AllTriggers)</f>
        <v>0.99526822298915285</v>
      </c>
      <c r="X239" s="345">
        <f>_xll.qlYieldTSDiscount(Discounting,T239,,AllTriggers)</f>
        <v>0.99354701593446748</v>
      </c>
      <c r="Y239" s="32">
        <f t="shared" si="13"/>
        <v>6.9485816687663796E-3</v>
      </c>
      <c r="Z239" s="451">
        <f t="shared" si="14"/>
        <v>4.8752715688895124E-4</v>
      </c>
      <c r="AE239" s="33"/>
      <c r="AF239" s="33"/>
    </row>
    <row r="240" spans="6:32" ht="11.25" customHeight="1" x14ac:dyDescent="0.2">
      <c r="F240" s="155"/>
      <c r="G240" s="155"/>
      <c r="H240" s="33"/>
      <c r="L240" s="33"/>
      <c r="M240" s="33"/>
      <c r="S240" s="422">
        <f>_xll.qlCalendarAdvance(Calendar,S239,"1D","f")</f>
        <v>42467</v>
      </c>
      <c r="T240" s="221">
        <f>_xll.qlCalendarAdvance(Calendar,S240,$G$1,"mf",,Trigger)</f>
        <v>42558</v>
      </c>
      <c r="U240" s="342">
        <f>_xll.qlDayCounterYearFraction(DayCounter,S240,T240,,,Trigger)</f>
        <v>0.24931506849315069</v>
      </c>
      <c r="V240" s="32">
        <f>_xll.qlInterpolationInterpolate(B3Minterpolation,S240,TRUE)</f>
        <v>1.9598935365867307E-3</v>
      </c>
      <c r="W240" s="345">
        <f>_xll.qlYieldTSDiscount(Discounting,S240,,AllTriggers)</f>
        <v>0.99525081619990807</v>
      </c>
      <c r="X240" s="345">
        <f>_xll.qlYieldTSDiscount(Discounting,T240,,AllTriggers)</f>
        <v>0.99352624641814857</v>
      </c>
      <c r="Y240" s="32">
        <f t="shared" si="13"/>
        <v>6.9623026752026456E-3</v>
      </c>
      <c r="Z240" s="451">
        <f t="shared" si="14"/>
        <v>4.8766536385527173E-4</v>
      </c>
      <c r="AE240" s="33"/>
      <c r="AF240" s="33"/>
    </row>
    <row r="241" spans="6:32" ht="11.25" customHeight="1" x14ac:dyDescent="0.2">
      <c r="F241" s="155"/>
      <c r="G241" s="155"/>
      <c r="H241" s="33"/>
      <c r="L241" s="33"/>
      <c r="M241" s="33"/>
      <c r="S241" s="422">
        <f>_xll.qlCalendarAdvance(Calendar,S240,"1D","f")</f>
        <v>42468</v>
      </c>
      <c r="T241" s="221">
        <f>_xll.qlCalendarAdvance(Calendar,S241,$G$1,"mf",,Trigger)</f>
        <v>42559</v>
      </c>
      <c r="U241" s="342">
        <f>_xll.qlDayCounterYearFraction(DayCounter,S241,T241,,,Trigger)</f>
        <v>0.24931506849315069</v>
      </c>
      <c r="V241" s="32">
        <f>_xll.qlInterpolationInterpolate(B3Minterpolation,S241,TRUE)</f>
        <v>1.9604330389183279E-3</v>
      </c>
      <c r="W241" s="345">
        <f>_xll.qlYieldTSDiscount(Discounting,S241,,AllTriggers)</f>
        <v>0.99523340797340898</v>
      </c>
      <c r="X241" s="345">
        <f>_xll.qlYieldTSDiscount(Discounting,T241,,AllTriggers)</f>
        <v>0.99350543837318306</v>
      </c>
      <c r="Y241" s="32">
        <f t="shared" si="13"/>
        <v>6.9761742715556997E-3</v>
      </c>
      <c r="Z241" s="451">
        <f t="shared" si="14"/>
        <v>4.8779788770538917E-4</v>
      </c>
      <c r="AE241" s="33"/>
      <c r="AF241" s="33"/>
    </row>
    <row r="242" spans="6:32" ht="11.25" customHeight="1" x14ac:dyDescent="0.2">
      <c r="F242" s="155"/>
      <c r="G242" s="155"/>
      <c r="H242" s="33"/>
      <c r="L242" s="33"/>
      <c r="M242" s="33"/>
      <c r="S242" s="422">
        <f>_xll.qlCalendarAdvance(Calendar,S241,"1D","f")</f>
        <v>42471</v>
      </c>
      <c r="T242" s="221">
        <f>_xll.qlCalendarAdvance(Calendar,S242,$G$1,"mf",,Trigger)</f>
        <v>42562</v>
      </c>
      <c r="U242" s="342">
        <f>_xll.qlDayCounterYearFraction(DayCounter,S242,T242,,,Trigger)</f>
        <v>0.24931506849315069</v>
      </c>
      <c r="V242" s="32">
        <f>_xll.qlInterpolationInterpolate(B3Minterpolation,S242,TRUE)</f>
        <v>1.9619211306891875E-3</v>
      </c>
      <c r="W242" s="345">
        <f>_xll.qlYieldTSDiscount(Discounting,S242,,AllTriggers)</f>
        <v>0.99518115496517767</v>
      </c>
      <c r="X242" s="345">
        <f>_xll.qlYieldTSDiscount(Discounting,T242,,AllTriggers)</f>
        <v>0.99344278396847407</v>
      </c>
      <c r="Y242" s="32">
        <f t="shared" si="13"/>
        <v>7.0186095035562612E-3</v>
      </c>
      <c r="Z242" s="451">
        <f t="shared" si="14"/>
        <v>4.8816291215573489E-4</v>
      </c>
      <c r="AE242" s="33"/>
      <c r="AF242" s="33"/>
    </row>
    <row r="243" spans="6:32" ht="11.25" customHeight="1" x14ac:dyDescent="0.2">
      <c r="F243" s="155"/>
      <c r="G243" s="155"/>
      <c r="H243" s="33"/>
      <c r="L243" s="33"/>
      <c r="M243" s="33"/>
      <c r="S243" s="422">
        <f>_xll.qlCalendarAdvance(Calendar,S242,"1D","f")</f>
        <v>42472</v>
      </c>
      <c r="T243" s="221">
        <f>_xll.qlCalendarAdvance(Calendar,S243,$G$1,"mf",,Trigger)</f>
        <v>42563</v>
      </c>
      <c r="U243" s="342">
        <f>_xll.qlDayCounterYearFraction(DayCounter,S243,T243,,,Trigger)</f>
        <v>0.24931506849315069</v>
      </c>
      <c r="V243" s="32">
        <f>_xll.qlInterpolationInterpolate(B3Minterpolation,S243,TRUE)</f>
        <v>1.9623757545120671E-3</v>
      </c>
      <c r="W243" s="345">
        <f>_xll.qlYieldTSDiscount(Discounting,S243,,AllTriggers)</f>
        <v>0.99516372128514341</v>
      </c>
      <c r="X243" s="345">
        <f>_xll.qlYieldTSDiscount(Discounting,T243,,AllTriggers)</f>
        <v>0.99342182271097457</v>
      </c>
      <c r="Y243" s="32">
        <f t="shared" si="13"/>
        <v>7.0330003625068147E-3</v>
      </c>
      <c r="Z243" s="451">
        <f t="shared" si="14"/>
        <v>4.882742551378681E-4</v>
      </c>
      <c r="AE243" s="33"/>
      <c r="AF243" s="33"/>
    </row>
    <row r="244" spans="6:32" ht="11.25" customHeight="1" x14ac:dyDescent="0.2">
      <c r="F244" s="155"/>
      <c r="G244" s="155"/>
      <c r="H244" s="33"/>
      <c r="L244" s="33"/>
      <c r="M244" s="33"/>
      <c r="S244" s="422">
        <f>_xll.qlCalendarAdvance(Calendar,S243,"1D","f")</f>
        <v>42473</v>
      </c>
      <c r="T244" s="221">
        <f>_xll.qlCalendarAdvance(Calendar,S244,$G$1,"mf",,Trigger)</f>
        <v>42564</v>
      </c>
      <c r="U244" s="342">
        <f>_xll.qlDayCounterYearFraction(DayCounter,S244,T244,,,Trigger)</f>
        <v>0.24931506849315069</v>
      </c>
      <c r="V244" s="32">
        <f>_xll.qlInterpolationInterpolate(B3Minterpolation,S244,TRUE)</f>
        <v>1.9628107074381946E-3</v>
      </c>
      <c r="W244" s="345">
        <f>_xll.qlYieldTSDiscount(Discounting,S244,,AllTriggers)</f>
        <v>0.9951462763162866</v>
      </c>
      <c r="X244" s="345">
        <f>_xll.qlYieldTSDiscount(Discounting,T244,,AllTriggers)</f>
        <v>0.99340082337583979</v>
      </c>
      <c r="Y244" s="32">
        <f t="shared" si="13"/>
        <v>7.0475002623205437E-3</v>
      </c>
      <c r="Z244" s="451">
        <f t="shared" si="14"/>
        <v>4.8838069080063659E-4</v>
      </c>
      <c r="AE244" s="33"/>
      <c r="AF244" s="33"/>
    </row>
    <row r="245" spans="6:32" ht="11.25" customHeight="1" x14ac:dyDescent="0.2">
      <c r="F245" s="155"/>
      <c r="G245" s="155"/>
      <c r="H245" s="33"/>
      <c r="L245" s="33"/>
      <c r="M245" s="33"/>
      <c r="S245" s="422">
        <f>_xll.qlCalendarAdvance(Calendar,S244,"1D","f")</f>
        <v>42474</v>
      </c>
      <c r="T245" s="221">
        <f>_xll.qlCalendarAdvance(Calendar,S245,$G$1,"mf",,Trigger)</f>
        <v>42565</v>
      </c>
      <c r="U245" s="342">
        <f>_xll.qlDayCounterYearFraction(DayCounter,S245,T245,,,Trigger)</f>
        <v>0.24931506849315069</v>
      </c>
      <c r="V245" s="32">
        <f>_xll.qlInterpolationInterpolate(B3Minterpolation,S245,TRUE)</f>
        <v>1.9632266089597413E-3</v>
      </c>
      <c r="W245" s="345">
        <f>_xll.qlYieldTSDiscount(Discounting,S245,,AllTriggers)</f>
        <v>0.99512881808870823</v>
      </c>
      <c r="X245" s="345">
        <f>_xll.qlYieldTSDiscount(Discounting,T245,,AllTriggers)</f>
        <v>0.99337978605326316</v>
      </c>
      <c r="Y245" s="32">
        <f t="shared" si="13"/>
        <v>7.0621008928618296E-3</v>
      </c>
      <c r="Z245" s="451">
        <f t="shared" si="14"/>
        <v>4.8848237430229114E-4</v>
      </c>
      <c r="AE245" s="33"/>
      <c r="AF245" s="33"/>
    </row>
    <row r="246" spans="6:32" ht="11.25" customHeight="1" x14ac:dyDescent="0.2">
      <c r="F246" s="155"/>
      <c r="G246" s="155"/>
      <c r="H246" s="33"/>
      <c r="L246" s="33"/>
      <c r="M246" s="33"/>
      <c r="S246" s="422">
        <f>_xll.qlCalendarAdvance(Calendar,S245,"1D","f")</f>
        <v>42475</v>
      </c>
      <c r="T246" s="221">
        <f>_xll.qlCalendarAdvance(Calendar,S246,$G$1,"mf",,Trigger)</f>
        <v>42566</v>
      </c>
      <c r="U246" s="342">
        <f>_xll.qlDayCounterYearFraction(DayCounter,S246,T246,,,Trigger)</f>
        <v>0.24931506849315069</v>
      </c>
      <c r="V246" s="32">
        <f>_xll.qlInterpolationInterpolate(B3Minterpolation,S246,TRUE)</f>
        <v>1.9636240785688777E-3</v>
      </c>
      <c r="W246" s="345">
        <f>_xll.qlYieldTSDiscount(Discounting,S246,,AllTriggers)</f>
        <v>0.99511134463264839</v>
      </c>
      <c r="X246" s="345">
        <f>_xll.qlYieldTSDiscount(Discounting,T246,,AllTriggers)</f>
        <v>0.99335871083343474</v>
      </c>
      <c r="Y246" s="32">
        <f t="shared" si="13"/>
        <v>7.0767939438872874E-3</v>
      </c>
      <c r="Z246" s="451">
        <f t="shared" si="14"/>
        <v>4.8857946080006222E-4</v>
      </c>
      <c r="AE246" s="33"/>
      <c r="AF246" s="33"/>
    </row>
    <row r="247" spans="6:32" ht="11.25" customHeight="1" x14ac:dyDescent="0.2">
      <c r="F247" s="155"/>
      <c r="G247" s="155"/>
      <c r="H247" s="33"/>
      <c r="L247" s="33"/>
      <c r="M247" s="33"/>
      <c r="S247" s="422">
        <f>_xll.qlCalendarAdvance(Calendar,S246,"1D","f")</f>
        <v>42478</v>
      </c>
      <c r="T247" s="221">
        <f>_xll.qlCalendarAdvance(Calendar,S247,$G$1,"mf",,Trigger)</f>
        <v>42569</v>
      </c>
      <c r="U247" s="342">
        <f>_xll.qlDayCounterYearFraction(DayCounter,S247,T247,,,Trigger)</f>
        <v>0.24931506849315069</v>
      </c>
      <c r="V247" s="32">
        <f>_xll.qlInterpolationInterpolate(B3Minterpolation,S247,TRUE)</f>
        <v>1.9647120908435367E-3</v>
      </c>
      <c r="W247" s="345">
        <f>_xll.qlYieldTSDiscount(Discounting,S247,,AllTriggers)</f>
        <v>0.99505881319806688</v>
      </c>
      <c r="X247" s="345">
        <f>_xll.qlYieldTSDiscount(Discounting,T247,,AllTriggers)</f>
        <v>0.9932952586922944</v>
      </c>
      <c r="Y247" s="32">
        <f t="shared" si="13"/>
        <v>7.1213445156740902E-3</v>
      </c>
      <c r="Z247" s="451">
        <f t="shared" si="14"/>
        <v>4.888446898283392E-4</v>
      </c>
      <c r="AE247" s="33"/>
      <c r="AF247" s="33"/>
    </row>
    <row r="248" spans="6:32" ht="11.25" customHeight="1" x14ac:dyDescent="0.2">
      <c r="F248" s="155"/>
      <c r="G248" s="155"/>
      <c r="H248" s="33"/>
      <c r="L248" s="33"/>
      <c r="M248" s="33"/>
      <c r="S248" s="422">
        <f>_xll.qlCalendarAdvance(Calendar,S247,"1D","f")</f>
        <v>42479</v>
      </c>
      <c r="T248" s="221">
        <f>_xll.qlCalendarAdvance(Calendar,S248,$G$1,"mf",,Trigger)</f>
        <v>42570</v>
      </c>
      <c r="U248" s="342">
        <f>_xll.qlDayCounterYearFraction(DayCounter,S248,T248,,,Trigger)</f>
        <v>0.24931506849315069</v>
      </c>
      <c r="V248" s="32">
        <f>_xll.qlInterpolationInterpolate(B3Minterpolation,S248,TRUE)</f>
        <v>1.9650420277247428E-3</v>
      </c>
      <c r="W248" s="345">
        <f>_xll.qlYieldTSDiscount(Discounting,S248,,AllTriggers)</f>
        <v>0.99504125913326635</v>
      </c>
      <c r="X248" s="345">
        <f>_xll.qlYieldTSDiscount(Discounting,T248,,AllTriggers)</f>
        <v>0.99327403278529869</v>
      </c>
      <c r="Y248" s="32">
        <f t="shared" si="13"/>
        <v>7.1363241438538259E-3</v>
      </c>
      <c r="Z248" s="451">
        <f t="shared" si="14"/>
        <v>4.889249398631727E-4</v>
      </c>
      <c r="AE248" s="33"/>
      <c r="AF248" s="33"/>
    </row>
    <row r="249" spans="6:32" ht="11.25" customHeight="1" x14ac:dyDescent="0.2">
      <c r="F249" s="155"/>
      <c r="G249" s="155"/>
      <c r="H249" s="33"/>
      <c r="L249" s="33"/>
      <c r="M249" s="33"/>
      <c r="S249" s="422">
        <f>_xll.qlCalendarAdvance(Calendar,S248,"1D","f")</f>
        <v>42480</v>
      </c>
      <c r="T249" s="221">
        <f>_xll.qlCalendarAdvance(Calendar,S249,$G$1,"mf",,Trigger)</f>
        <v>42571</v>
      </c>
      <c r="U249" s="342">
        <f>_xll.qlDayCounterYearFraction(DayCounter,S249,T249,,,Trigger)</f>
        <v>0.24931506849315069</v>
      </c>
      <c r="V249" s="32">
        <f>_xll.qlInterpolationInterpolate(B3Minterpolation,S249,TRUE)</f>
        <v>1.9653566301543936E-3</v>
      </c>
      <c r="W249" s="345">
        <f>_xll.qlYieldTSDiscount(Discounting,S249,,AllTriggers)</f>
        <v>0.99502367999327679</v>
      </c>
      <c r="X249" s="345">
        <f>_xll.qlYieldTSDiscount(Discounting,T249,,AllTriggers)</f>
        <v>0.99325276943195506</v>
      </c>
      <c r="Y249" s="32">
        <f t="shared" si="13"/>
        <v>7.1513546395329322E-3</v>
      </c>
      <c r="Z249" s="451">
        <f t="shared" si="14"/>
        <v>4.8900136866410985E-4</v>
      </c>
      <c r="AE249" s="33"/>
      <c r="AF249" s="33"/>
    </row>
    <row r="250" spans="6:32" ht="11.25" customHeight="1" x14ac:dyDescent="0.2">
      <c r="F250" s="155"/>
      <c r="G250" s="155"/>
      <c r="H250" s="33"/>
      <c r="L250" s="33"/>
      <c r="M250" s="33"/>
      <c r="S250" s="422">
        <f>_xll.qlCalendarAdvance(Calendar,S249,"1D","f")</f>
        <v>42481</v>
      </c>
      <c r="T250" s="221">
        <f>_xll.qlCalendarAdvance(Calendar,S250,$G$1,"mf",,Trigger)</f>
        <v>42572</v>
      </c>
      <c r="U250" s="342">
        <f>_xll.qlDayCounterYearFraction(DayCounter,S250,T250,,,Trigger)</f>
        <v>0.24931506849315069</v>
      </c>
      <c r="V250" s="32">
        <f>_xll.qlInterpolationInterpolate(B3Minterpolation,S250,TRUE)</f>
        <v>1.9656565176246602E-3</v>
      </c>
      <c r="W250" s="345">
        <f>_xll.qlYieldTSDiscount(Discounting,S250,,AllTriggers)</f>
        <v>0.99500607380917794</v>
      </c>
      <c r="X250" s="345">
        <f>_xll.qlYieldTSDiscount(Discounting,T250,,AllTriggers)</f>
        <v>0.99323146872243473</v>
      </c>
      <c r="Y250" s="32">
        <f t="shared" si="13"/>
        <v>7.166427691751966E-3</v>
      </c>
      <c r="Z250" s="451">
        <f t="shared" si="14"/>
        <v>4.8907413138151671E-4</v>
      </c>
      <c r="AE250" s="33"/>
      <c r="AF250" s="33"/>
    </row>
    <row r="251" spans="6:32" ht="11.25" customHeight="1" x14ac:dyDescent="0.2">
      <c r="F251" s="155"/>
      <c r="G251" s="155"/>
      <c r="H251" s="33"/>
      <c r="L251" s="33"/>
      <c r="M251" s="33"/>
      <c r="S251" s="422">
        <f>_xll.qlCalendarAdvance(Calendar,S250,"1D","f")</f>
        <v>42482</v>
      </c>
      <c r="T251" s="221">
        <f>_xll.qlCalendarAdvance(Calendar,S251,$G$1,"mf",,Trigger)</f>
        <v>42573</v>
      </c>
      <c r="U251" s="342">
        <f>_xll.qlDayCounterYearFraction(DayCounter,S251,T251,,,Trigger)</f>
        <v>0.24931506849315069</v>
      </c>
      <c r="V251" s="32">
        <f>_xll.qlInterpolationInterpolate(B3Minterpolation,S251,TRUE)</f>
        <v>1.9659423096277133E-3</v>
      </c>
      <c r="W251" s="345">
        <f>_xll.qlYieldTSDiscount(Discounting,S251,,AllTriggers)</f>
        <v>0.994988438612191</v>
      </c>
      <c r="X251" s="345">
        <f>_xll.qlYieldTSDiscount(Discounting,T251,,AllTriggers)</f>
        <v>0.99321013074690534</v>
      </c>
      <c r="Y251" s="32">
        <f t="shared" si="13"/>
        <v>7.1815349894312529E-3</v>
      </c>
      <c r="Z251" s="451">
        <f t="shared" si="14"/>
        <v>4.8914338316389725E-4</v>
      </c>
      <c r="AE251" s="33"/>
      <c r="AF251" s="33"/>
    </row>
    <row r="252" spans="6:32" ht="11.25" customHeight="1" x14ac:dyDescent="0.2">
      <c r="F252" s="155"/>
      <c r="G252" s="155"/>
      <c r="H252" s="33"/>
      <c r="L252" s="33"/>
      <c r="M252" s="33"/>
      <c r="S252" s="422">
        <f>_xll.qlCalendarAdvance(Calendar,S251,"1D","f")</f>
        <v>42485</v>
      </c>
      <c r="T252" s="221">
        <f>_xll.qlCalendarAdvance(Calendar,S252,$G$1,"mf",,Trigger)</f>
        <v>42576</v>
      </c>
      <c r="U252" s="342">
        <f>_xll.qlDayCounterYearFraction(DayCounter,S252,T252,,,Trigger)</f>
        <v>0.24931506849315069</v>
      </c>
      <c r="V252" s="32">
        <f>_xll.qlInterpolationInterpolate(B3Minterpolation,S252,TRUE)</f>
        <v>1.9667213077553028E-3</v>
      </c>
      <c r="W252" s="345">
        <f>_xll.qlYieldTSDiscount(Discounting,S252,,AllTriggers)</f>
        <v>0.99493533925825151</v>
      </c>
      <c r="X252" s="345">
        <f>_xll.qlYieldTSDiscount(Discounting,T252,,AllTriggers)</f>
        <v>0.99314589412589072</v>
      </c>
      <c r="Y252" s="32">
        <f t="shared" si="13"/>
        <v>7.2269792425448719E-3</v>
      </c>
      <c r="Z252" s="451">
        <f t="shared" si="14"/>
        <v>4.8933162436076737E-4</v>
      </c>
      <c r="AE252" s="33"/>
      <c r="AF252" s="33"/>
    </row>
    <row r="253" spans="6:32" ht="11.25" customHeight="1" x14ac:dyDescent="0.2">
      <c r="F253" s="155"/>
      <c r="G253" s="155"/>
      <c r="H253" s="33"/>
      <c r="L253" s="33"/>
      <c r="M253" s="33"/>
      <c r="S253" s="422">
        <f>_xll.qlCalendarAdvance(Calendar,S252,"1D","f")</f>
        <v>42486</v>
      </c>
      <c r="T253" s="221">
        <f>_xll.qlCalendarAdvance(Calendar,S253,$G$1,"mf",,Trigger)</f>
        <v>42577</v>
      </c>
      <c r="U253" s="342">
        <f>_xll.qlDayCounterYearFraction(DayCounter,S253,T253,,,Trigger)</f>
        <v>0.24931506849315069</v>
      </c>
      <c r="V253" s="32">
        <f>_xll.qlInterpolationInterpolate(B3Minterpolation,S253,TRUE)</f>
        <v>1.9669569128112126E-3</v>
      </c>
      <c r="W253" s="345">
        <f>_xll.qlYieldTSDiscount(Discounting,S253,,AllTriggers)</f>
        <v>0.99491756832477773</v>
      </c>
      <c r="X253" s="345">
        <f>_xll.qlYieldTSDiscount(Discounting,T253,,AllTriggers)</f>
        <v>0.99312440798793578</v>
      </c>
      <c r="Y253" s="32">
        <f t="shared" si="13"/>
        <v>7.242140408759542E-3</v>
      </c>
      <c r="Z253" s="451">
        <f t="shared" si="14"/>
        <v>4.8938838385458071E-4</v>
      </c>
      <c r="AE253" s="33"/>
      <c r="AF253" s="33"/>
    </row>
    <row r="254" spans="6:32" ht="11.25" customHeight="1" x14ac:dyDescent="0.2">
      <c r="F254" s="155"/>
      <c r="G254" s="155"/>
      <c r="H254" s="33"/>
      <c r="L254" s="33"/>
      <c r="M254" s="33"/>
      <c r="S254" s="422">
        <f>_xll.qlCalendarAdvance(Calendar,S253,"1D","f")</f>
        <v>42487</v>
      </c>
      <c r="T254" s="221">
        <f>_xll.qlCalendarAdvance(Calendar,S254,$G$1,"mf",,Trigger)</f>
        <v>42578</v>
      </c>
      <c r="U254" s="342">
        <f>_xll.qlDayCounterYearFraction(DayCounter,S254,T254,,,Trigger)</f>
        <v>0.24931506849315069</v>
      </c>
      <c r="V254" s="32">
        <f>_xll.qlInterpolationInterpolate(B3Minterpolation,S254,TRUE)</f>
        <v>1.9671815198607639E-3</v>
      </c>
      <c r="W254" s="345">
        <f>_xll.qlYieldTSDiscount(Discounting,S254,,AllTriggers)</f>
        <v>0.99489975853666679</v>
      </c>
      <c r="X254" s="345">
        <f>_xll.qlYieldTSDiscount(Discounting,T254,,AllTriggers)</f>
        <v>0.99310288503476007</v>
      </c>
      <c r="Y254" s="32">
        <f t="shared" si="13"/>
        <v>7.2572942631551011E-3</v>
      </c>
      <c r="Z254" s="451">
        <f t="shared" si="14"/>
        <v>4.8944240812969571E-4</v>
      </c>
      <c r="AE254" s="33"/>
      <c r="AF254" s="33"/>
    </row>
    <row r="255" spans="6:32" ht="11.25" customHeight="1" x14ac:dyDescent="0.2">
      <c r="F255" s="155"/>
      <c r="G255" s="155"/>
      <c r="H255" s="33"/>
      <c r="L255" s="33"/>
      <c r="M255" s="33"/>
      <c r="S255" s="422">
        <f>_xll.qlCalendarAdvance(Calendar,S254,"1D","f")</f>
        <v>42488</v>
      </c>
      <c r="T255" s="221">
        <f>_xll.qlCalendarAdvance(Calendar,S255,$G$1,"mf",,Trigger)</f>
        <v>42579</v>
      </c>
      <c r="U255" s="342">
        <f>_xll.qlDayCounterYearFraction(DayCounter,S255,T255,,,Trigger)</f>
        <v>0.24931506849315069</v>
      </c>
      <c r="V255" s="32">
        <f>_xll.qlInterpolationInterpolate(B3Minterpolation,S255,TRUE)</f>
        <v>1.9673957483961274E-3</v>
      </c>
      <c r="W255" s="345">
        <f>_xll.qlYieldTSDiscount(Discounting,S255,,AllTriggers)</f>
        <v>0.99488190792600251</v>
      </c>
      <c r="X255" s="345">
        <f>_xll.qlYieldTSDiscount(Discounting,T255,,AllTriggers)</f>
        <v>0.99308132535651084</v>
      </c>
      <c r="Y255" s="32">
        <f t="shared" si="13"/>
        <v>7.272432493901082E-3</v>
      </c>
      <c r="Z255" s="451">
        <f t="shared" si="14"/>
        <v>4.8949385232443989E-4</v>
      </c>
      <c r="AE255" s="33"/>
      <c r="AF255" s="33"/>
    </row>
    <row r="256" spans="6:32" ht="11.25" customHeight="1" x14ac:dyDescent="0.2">
      <c r="F256" s="155"/>
      <c r="G256" s="155"/>
      <c r="H256" s="33"/>
      <c r="L256" s="33"/>
      <c r="M256" s="33"/>
      <c r="S256" s="422">
        <f>_xll.qlCalendarAdvance(Calendar,S255,"1D","f")</f>
        <v>42489</v>
      </c>
      <c r="T256" s="221">
        <f>_xll.qlCalendarAdvance(Calendar,S256,$G$1,"mf",,Trigger)</f>
        <v>42580</v>
      </c>
      <c r="U256" s="342">
        <f>_xll.qlDayCounterYearFraction(DayCounter,S256,T256,,,Trigger)</f>
        <v>0.24931506849315069</v>
      </c>
      <c r="V256" s="32">
        <f>_xll.qlInterpolationInterpolate(B3Minterpolation,S256,TRUE)</f>
        <v>1.9676002179094747E-3</v>
      </c>
      <c r="W256" s="345">
        <f>_xll.qlYieldTSDiscount(Discounting,S256,,AllTriggers)</f>
        <v>0.99486401452501472</v>
      </c>
      <c r="X256" s="345">
        <f>_xll.qlYieldTSDiscount(Discounting,T256,,AllTriggers)</f>
        <v>0.99305972904333162</v>
      </c>
      <c r="Y256" s="32">
        <f t="shared" si="13"/>
        <v>7.287546789043222E-3</v>
      </c>
      <c r="Z256" s="451">
        <f t="shared" si="14"/>
        <v>4.8954287157420282E-4</v>
      </c>
      <c r="AE256" s="33"/>
      <c r="AF256" s="33"/>
    </row>
    <row r="257" spans="6:32" ht="11.25" customHeight="1" x14ac:dyDescent="0.2">
      <c r="F257" s="155"/>
      <c r="G257" s="155"/>
      <c r="H257" s="33"/>
      <c r="L257" s="33"/>
      <c r="M257" s="33"/>
      <c r="S257" s="422">
        <f>_xll.qlCalendarAdvance(Calendar,S256,"1D","f")</f>
        <v>42493</v>
      </c>
      <c r="T257" s="221">
        <f>_xll.qlCalendarAdvance(Calendar,S257,$G$1,"mf",,Trigger)</f>
        <v>42585</v>
      </c>
      <c r="U257" s="342">
        <f>_xll.qlDayCounterYearFraction(DayCounter,S257,T257,,,Trigger)</f>
        <v>0.25205479452054796</v>
      </c>
      <c r="V257" s="32">
        <f>_xll.qlInterpolationInterpolate(B3Minterpolation,S257,TRUE)</f>
        <v>1.9683328955861171E-3</v>
      </c>
      <c r="W257" s="345">
        <f>_xll.qlYieldTSDiscount(Discounting,S257,,AllTriggers)</f>
        <v>0.99479199561661658</v>
      </c>
      <c r="X257" s="345">
        <f>_xll.qlYieldTSDiscount(Discounting,T257,,AllTriggers)</f>
        <v>0.99295119993556724</v>
      </c>
      <c r="Y257" s="32">
        <f t="shared" si="13"/>
        <v>7.3550007075374709E-3</v>
      </c>
      <c r="Z257" s="451">
        <f t="shared" si="14"/>
        <v>4.9508711666941465E-4</v>
      </c>
      <c r="AE257" s="33"/>
      <c r="AF257" s="33"/>
    </row>
    <row r="258" spans="6:32" ht="11.25" customHeight="1" x14ac:dyDescent="0.2">
      <c r="F258" s="155"/>
      <c r="G258" s="155"/>
      <c r="H258" s="33"/>
      <c r="L258" s="33"/>
      <c r="M258" s="33"/>
      <c r="S258" s="422">
        <f>_xll.qlCalendarAdvance(Calendar,S257,"1D","f")</f>
        <v>42494</v>
      </c>
      <c r="T258" s="221">
        <f>_xll.qlCalendarAdvance(Calendar,S258,$G$1,"mf",,Trigger)</f>
        <v>42586</v>
      </c>
      <c r="U258" s="342">
        <f>_xll.qlDayCounterYearFraction(DayCounter,S258,T258,,,Trigger)</f>
        <v>0.25205479452054796</v>
      </c>
      <c r="V258" s="32">
        <f>_xll.qlInterpolationInterpolate(B3Minterpolation,S258,TRUE)</f>
        <v>1.968497862371946E-3</v>
      </c>
      <c r="W258" s="345">
        <f>_xll.qlYieldTSDiscount(Discounting,S258,,AllTriggers)</f>
        <v>0.99477387967202047</v>
      </c>
      <c r="X258" s="345">
        <f>_xll.qlYieldTSDiscount(Discounting,T258,,AllTriggers)</f>
        <v>0.99292938485194471</v>
      </c>
      <c r="Y258" s="32">
        <f t="shared" si="13"/>
        <v>7.3699427388528443E-3</v>
      </c>
      <c r="Z258" s="451">
        <f t="shared" si="14"/>
        <v>4.9512673901252688E-4</v>
      </c>
      <c r="AE258" s="33"/>
      <c r="AF258" s="33"/>
    </row>
    <row r="259" spans="6:32" ht="11.25" customHeight="1" x14ac:dyDescent="0.2">
      <c r="F259" s="155"/>
      <c r="G259" s="155"/>
      <c r="H259" s="33"/>
      <c r="L259" s="33"/>
      <c r="M259" s="33"/>
      <c r="S259" s="422">
        <f>_xll.qlCalendarAdvance(Calendar,S258,"1D","f")</f>
        <v>42495</v>
      </c>
      <c r="T259" s="221">
        <f>_xll.qlCalendarAdvance(Calendar,S259,$G$1,"mf",,Trigger)</f>
        <v>42587</v>
      </c>
      <c r="U259" s="342">
        <f>_xll.qlDayCounterYearFraction(DayCounter,S259,T259,,,Trigger)</f>
        <v>0.25205479452054796</v>
      </c>
      <c r="V259" s="32">
        <f>_xll.qlInterpolationInterpolate(B3Minterpolation,S259,TRUE)</f>
        <v>1.968656787088784E-3</v>
      </c>
      <c r="W259" s="345">
        <f>_xll.qlYieldTSDiscount(Discounting,S259,,AllTriggers)</f>
        <v>0.99475571942106411</v>
      </c>
      <c r="X259" s="345">
        <f>_xll.qlYieldTSDiscount(Discounting,T259,,AllTriggers)</f>
        <v>0.99290753342661187</v>
      </c>
      <c r="Y259" s="32">
        <f t="shared" si="13"/>
        <v>7.3848538724470732E-3</v>
      </c>
      <c r="Z259" s="451">
        <f t="shared" si="14"/>
        <v>4.9516484555372033E-4</v>
      </c>
      <c r="AE259" s="33"/>
      <c r="AF259" s="33"/>
    </row>
    <row r="260" spans="6:32" ht="11.25" customHeight="1" x14ac:dyDescent="0.2">
      <c r="F260" s="155"/>
      <c r="G260" s="155"/>
      <c r="H260" s="33"/>
      <c r="L260" s="33"/>
      <c r="M260" s="33"/>
      <c r="S260" s="422">
        <f>_xll.qlCalendarAdvance(Calendar,S259,"1D","f")</f>
        <v>42496</v>
      </c>
      <c r="T260" s="221">
        <f>_xll.qlCalendarAdvance(Calendar,S260,$G$1,"mf",,Trigger)</f>
        <v>42590</v>
      </c>
      <c r="U260" s="342">
        <f>_xll.qlDayCounterYearFraction(DayCounter,S260,T260,,,Trigger)</f>
        <v>0.25753424657534246</v>
      </c>
      <c r="V260" s="32">
        <f>_xll.qlInterpolationInterpolate(B3Minterpolation,S260,TRUE)</f>
        <v>1.968810289228802E-3</v>
      </c>
      <c r="W260" s="345">
        <f>_xll.qlYieldTSDiscount(Discounting,S260,,AllTriggers)</f>
        <v>0.99473751495406593</v>
      </c>
      <c r="X260" s="345">
        <f>_xll.qlYieldTSDiscount(Discounting,T260,,AllTriggers)</f>
        <v>0.99284176143886638</v>
      </c>
      <c r="Y260" s="32">
        <f t="shared" ref="Y260:Y261" si="15">(W260/X260-1)/U260</f>
        <v>7.4142434879755584E-3</v>
      </c>
      <c r="Z260" s="451">
        <f t="shared" ref="Z260:Z261" si="16">LN((1+(V260+Y260)*U260)/(1+Y260*U260))</f>
        <v>5.0594176380159856E-4</v>
      </c>
      <c r="AE260" s="33"/>
      <c r="AF260" s="33"/>
    </row>
    <row r="261" spans="6:32" ht="11.25" customHeight="1" thickBot="1" x14ac:dyDescent="0.25">
      <c r="F261" s="155"/>
      <c r="G261" s="155"/>
      <c r="H261" s="33"/>
      <c r="L261" s="33"/>
      <c r="M261" s="33"/>
      <c r="S261" s="472">
        <f>_xll.qlCalendarAdvance(Calendar,S260,"1D","f")</f>
        <v>42499</v>
      </c>
      <c r="T261" s="223">
        <f>_xll.qlCalendarAdvance(Calendar,S261,$G$1,"mf",,Trigger)</f>
        <v>42591</v>
      </c>
      <c r="U261" s="343">
        <f>_xll.qlDayCounterYearFraction(DayCounter,S261,T261,,,Trigger)</f>
        <v>0.25205479452054796</v>
      </c>
      <c r="V261" s="224">
        <f>_xll.qlInterpolationInterpolate(B3Minterpolation,S261,TRUE)</f>
        <v>1.9692444551096472E-3</v>
      </c>
      <c r="W261" s="346">
        <f>_xll.qlYieldTSDiscount(Discounting,S261,,AllTriggers)</f>
        <v>0.99468263715999672</v>
      </c>
      <c r="X261" s="346">
        <f>_xll.qlYieldTSDiscount(Discounting,T261,,AllTriggers)</f>
        <v>0.99281976498521307</v>
      </c>
      <c r="Y261" s="224">
        <f t="shared" si="15"/>
        <v>7.4441939292562414E-3</v>
      </c>
      <c r="Z261" s="452">
        <f t="shared" si="16"/>
        <v>4.9530522903001482E-4</v>
      </c>
      <c r="AE261" s="33"/>
      <c r="AF261" s="33"/>
    </row>
    <row r="262" spans="6:32" ht="11.25" customHeight="1" x14ac:dyDescent="0.2">
      <c r="F262" s="155"/>
      <c r="G262" s="155"/>
      <c r="H262" s="33"/>
      <c r="L262" s="33"/>
      <c r="M262" s="33"/>
      <c r="S262" s="438"/>
      <c r="T262" s="438"/>
      <c r="U262" s="438"/>
      <c r="V262" s="438"/>
      <c r="W262" s="438"/>
      <c r="X262" s="438"/>
      <c r="Y262" s="439"/>
      <c r="Z262" s="440"/>
      <c r="AE262" s="33"/>
      <c r="AF262" s="33"/>
    </row>
    <row r="263" spans="6:32" ht="11.25" customHeight="1" x14ac:dyDescent="0.2">
      <c r="F263" s="155"/>
      <c r="G263" s="155"/>
      <c r="H263" s="33"/>
      <c r="L263" s="33"/>
      <c r="M263" s="33"/>
      <c r="S263" s="441"/>
      <c r="T263" s="441"/>
      <c r="U263" s="441"/>
      <c r="V263" s="441"/>
      <c r="W263" s="441"/>
      <c r="X263" s="441"/>
      <c r="Y263" s="442"/>
      <c r="Z263" s="443"/>
      <c r="AE263" s="33"/>
      <c r="AF263" s="33"/>
    </row>
    <row r="264" spans="6:32" ht="11.25" customHeight="1" x14ac:dyDescent="0.2">
      <c r="F264" s="155"/>
      <c r="G264" s="155"/>
      <c r="H264" s="33"/>
      <c r="L264" s="33"/>
      <c r="M264" s="33"/>
      <c r="S264" s="441"/>
      <c r="T264" s="441"/>
      <c r="U264" s="441"/>
      <c r="V264" s="441"/>
      <c r="W264" s="441"/>
      <c r="X264" s="441"/>
      <c r="Y264" s="442"/>
      <c r="Z264" s="443"/>
      <c r="AE264" s="33"/>
      <c r="AF264" s="33"/>
    </row>
    <row r="265" spans="6:32" ht="11.25" customHeight="1" x14ac:dyDescent="0.2">
      <c r="F265" s="155"/>
      <c r="G265" s="155"/>
      <c r="H265" s="33"/>
      <c r="L265" s="33"/>
      <c r="M265" s="33"/>
      <c r="S265" s="441"/>
      <c r="T265" s="441"/>
      <c r="U265" s="441"/>
      <c r="V265" s="441"/>
      <c r="W265" s="441"/>
      <c r="X265" s="441"/>
      <c r="Y265" s="442"/>
      <c r="Z265" s="443"/>
      <c r="AE265" s="33"/>
      <c r="AF265" s="33"/>
    </row>
    <row r="266" spans="6:32" ht="11.25" customHeight="1" x14ac:dyDescent="0.2">
      <c r="F266" s="155"/>
      <c r="G266" s="155"/>
      <c r="H266" s="33"/>
      <c r="L266" s="33"/>
      <c r="M266" s="33"/>
      <c r="S266" s="441"/>
      <c r="T266" s="441"/>
      <c r="U266" s="441"/>
      <c r="V266" s="441"/>
      <c r="W266" s="441"/>
      <c r="X266" s="441"/>
      <c r="Y266" s="442"/>
      <c r="Z266" s="443"/>
      <c r="AE266" s="33"/>
      <c r="AF266" s="33"/>
    </row>
    <row r="267" spans="6:32" ht="11.25" customHeight="1" x14ac:dyDescent="0.2">
      <c r="F267" s="155"/>
      <c r="G267" s="155"/>
      <c r="H267" s="33"/>
      <c r="L267" s="33"/>
      <c r="M267" s="33"/>
      <c r="S267" s="441"/>
      <c r="T267" s="441"/>
      <c r="U267" s="441"/>
      <c r="V267" s="441"/>
      <c r="W267" s="441"/>
      <c r="X267" s="441"/>
      <c r="Y267" s="442"/>
      <c r="Z267" s="443"/>
      <c r="AE267" s="33"/>
      <c r="AF267" s="33"/>
    </row>
    <row r="268" spans="6:32" ht="11.25" customHeight="1" x14ac:dyDescent="0.2">
      <c r="F268" s="155"/>
      <c r="G268" s="155"/>
      <c r="H268" s="33"/>
      <c r="L268" s="33"/>
      <c r="M268" s="33"/>
      <c r="S268" s="441"/>
      <c r="T268" s="441"/>
      <c r="U268" s="441"/>
      <c r="V268" s="441"/>
      <c r="W268" s="441"/>
      <c r="X268" s="441"/>
      <c r="Y268" s="442"/>
      <c r="Z268" s="443"/>
      <c r="AE268" s="33"/>
      <c r="AF268" s="33"/>
    </row>
    <row r="269" spans="6:32" ht="11.25" customHeight="1" x14ac:dyDescent="0.2">
      <c r="F269" s="155"/>
      <c r="G269" s="155"/>
      <c r="H269" s="33"/>
      <c r="L269" s="33"/>
      <c r="M269" s="33"/>
      <c r="S269" s="441"/>
      <c r="T269" s="441"/>
      <c r="U269" s="441"/>
      <c r="V269" s="441"/>
      <c r="W269" s="441"/>
      <c r="X269" s="441"/>
      <c r="Y269" s="442"/>
      <c r="Z269" s="443"/>
      <c r="AE269" s="33"/>
      <c r="AF269" s="33"/>
    </row>
    <row r="270" spans="6:32" ht="11.25" customHeight="1" x14ac:dyDescent="0.2">
      <c r="F270" s="155"/>
      <c r="G270" s="155"/>
      <c r="H270" s="33"/>
      <c r="L270" s="33"/>
      <c r="M270" s="33"/>
      <c r="S270" s="441"/>
      <c r="T270" s="441"/>
      <c r="U270" s="441"/>
      <c r="V270" s="441"/>
      <c r="W270" s="441"/>
      <c r="X270" s="441"/>
      <c r="Y270" s="442"/>
      <c r="Z270" s="443"/>
      <c r="AE270" s="33"/>
      <c r="AF270" s="33"/>
    </row>
    <row r="271" spans="6:32" ht="11.25" customHeight="1" x14ac:dyDescent="0.2">
      <c r="F271" s="155"/>
      <c r="G271" s="155"/>
      <c r="H271" s="33"/>
      <c r="L271" s="33"/>
      <c r="M271" s="33"/>
      <c r="S271" s="441"/>
      <c r="T271" s="441"/>
      <c r="U271" s="441"/>
      <c r="V271" s="441"/>
      <c r="W271" s="441"/>
      <c r="X271" s="441"/>
      <c r="Y271" s="442"/>
      <c r="Z271" s="443"/>
      <c r="AE271" s="33"/>
      <c r="AF271" s="33"/>
    </row>
    <row r="272" spans="6:32" ht="11.25" customHeight="1" x14ac:dyDescent="0.2">
      <c r="F272" s="155"/>
      <c r="G272" s="155"/>
      <c r="H272" s="33"/>
      <c r="L272" s="33"/>
      <c r="M272" s="33"/>
      <c r="S272" s="441"/>
      <c r="T272" s="441"/>
      <c r="U272" s="441"/>
      <c r="V272" s="441"/>
      <c r="W272" s="441"/>
      <c r="X272" s="441"/>
      <c r="Y272" s="442"/>
      <c r="Z272" s="443"/>
      <c r="AE272" s="33"/>
      <c r="AF272" s="33"/>
    </row>
    <row r="273" spans="6:32" ht="11.25" customHeight="1" x14ac:dyDescent="0.2">
      <c r="F273" s="155"/>
      <c r="G273" s="155"/>
      <c r="H273" s="33"/>
      <c r="L273" s="33"/>
      <c r="M273" s="33"/>
      <c r="S273" s="441"/>
      <c r="T273" s="441"/>
      <c r="U273" s="441"/>
      <c r="V273" s="441"/>
      <c r="W273" s="441"/>
      <c r="X273" s="441"/>
      <c r="Y273" s="442"/>
      <c r="Z273" s="443"/>
      <c r="AE273" s="33"/>
      <c r="AF273" s="33"/>
    </row>
    <row r="274" spans="6:32" ht="11.25" customHeight="1" x14ac:dyDescent="0.2">
      <c r="F274" s="155"/>
      <c r="G274" s="155"/>
      <c r="H274" s="33"/>
      <c r="L274" s="33"/>
      <c r="M274" s="33"/>
      <c r="S274" s="441"/>
      <c r="T274" s="441"/>
      <c r="U274" s="441"/>
      <c r="V274" s="441"/>
      <c r="W274" s="441"/>
      <c r="X274" s="441"/>
      <c r="Y274" s="442"/>
      <c r="Z274" s="443"/>
      <c r="AE274" s="33"/>
      <c r="AF274" s="33"/>
    </row>
    <row r="275" spans="6:32" ht="11.25" customHeight="1" x14ac:dyDescent="0.2">
      <c r="F275" s="155"/>
      <c r="G275" s="155"/>
      <c r="H275" s="33"/>
      <c r="L275" s="33"/>
      <c r="M275" s="33"/>
      <c r="S275" s="441"/>
      <c r="T275" s="441"/>
      <c r="U275" s="441"/>
      <c r="V275" s="441"/>
      <c r="W275" s="441"/>
      <c r="X275" s="441"/>
      <c r="Y275" s="442"/>
      <c r="Z275" s="443"/>
      <c r="AE275" s="33"/>
      <c r="AF275" s="33"/>
    </row>
    <row r="276" spans="6:32" ht="11.25" customHeight="1" x14ac:dyDescent="0.2">
      <c r="F276" s="155"/>
      <c r="G276" s="155"/>
      <c r="H276" s="33"/>
      <c r="L276" s="33"/>
      <c r="M276" s="33"/>
      <c r="S276" s="441"/>
      <c r="T276" s="441"/>
      <c r="U276" s="441"/>
      <c r="V276" s="441"/>
      <c r="W276" s="441"/>
      <c r="X276" s="441"/>
      <c r="Y276" s="442"/>
      <c r="Z276" s="443"/>
      <c r="AE276" s="33"/>
      <c r="AF276" s="33"/>
    </row>
    <row r="277" spans="6:32" ht="11.25" customHeight="1" x14ac:dyDescent="0.2">
      <c r="F277" s="155"/>
      <c r="G277" s="155"/>
      <c r="H277" s="33"/>
      <c r="L277" s="33"/>
      <c r="M277" s="33"/>
      <c r="S277" s="441"/>
      <c r="T277" s="441"/>
      <c r="U277" s="441"/>
      <c r="V277" s="441"/>
      <c r="W277" s="441"/>
      <c r="X277" s="441"/>
      <c r="Y277" s="442"/>
      <c r="Z277" s="443"/>
      <c r="AE277" s="33"/>
      <c r="AF277" s="33"/>
    </row>
    <row r="278" spans="6:32" ht="11.25" customHeight="1" x14ac:dyDescent="0.2">
      <c r="F278" s="155"/>
      <c r="G278" s="155"/>
      <c r="H278" s="33"/>
      <c r="L278" s="33"/>
      <c r="M278" s="33"/>
      <c r="S278" s="441"/>
      <c r="T278" s="441"/>
      <c r="U278" s="441"/>
      <c r="V278" s="441"/>
      <c r="W278" s="441"/>
      <c r="X278" s="441"/>
      <c r="Y278" s="442"/>
      <c r="Z278" s="443"/>
      <c r="AE278" s="33"/>
      <c r="AF278" s="33"/>
    </row>
    <row r="279" spans="6:32" ht="11.25" customHeight="1" x14ac:dyDescent="0.2">
      <c r="F279" s="155"/>
      <c r="G279" s="155"/>
      <c r="H279" s="33"/>
      <c r="L279" s="33"/>
      <c r="M279" s="33"/>
      <c r="S279" s="441"/>
      <c r="T279" s="441"/>
      <c r="U279" s="441"/>
      <c r="V279" s="441"/>
      <c r="W279" s="441"/>
      <c r="X279" s="441"/>
      <c r="Y279" s="442"/>
      <c r="Z279" s="443"/>
      <c r="AE279" s="33"/>
      <c r="AF279" s="33"/>
    </row>
    <row r="280" spans="6:32" ht="11.25" customHeight="1" x14ac:dyDescent="0.2">
      <c r="F280" s="155"/>
      <c r="G280" s="155"/>
      <c r="H280" s="33"/>
      <c r="L280" s="33"/>
      <c r="M280" s="33"/>
      <c r="S280" s="441"/>
      <c r="T280" s="441"/>
      <c r="U280" s="441"/>
      <c r="V280" s="441"/>
      <c r="W280" s="441"/>
      <c r="X280" s="441"/>
      <c r="Y280" s="442"/>
      <c r="Z280" s="443"/>
      <c r="AE280" s="33"/>
      <c r="AF280" s="33"/>
    </row>
    <row r="281" spans="6:32" ht="11.25" customHeight="1" x14ac:dyDescent="0.2">
      <c r="F281" s="155"/>
      <c r="G281" s="155"/>
      <c r="H281" s="33"/>
      <c r="L281" s="33"/>
      <c r="M281" s="33"/>
      <c r="S281" s="441"/>
      <c r="T281" s="441"/>
      <c r="U281" s="441"/>
      <c r="V281" s="441"/>
      <c r="W281" s="441"/>
      <c r="X281" s="441"/>
      <c r="Y281" s="442"/>
      <c r="Z281" s="443"/>
      <c r="AE281" s="33"/>
      <c r="AF281" s="33"/>
    </row>
    <row r="282" spans="6:32" ht="11.25" customHeight="1" x14ac:dyDescent="0.2">
      <c r="F282" s="155"/>
      <c r="G282" s="155"/>
      <c r="H282" s="33"/>
      <c r="L282" s="33"/>
      <c r="M282" s="33"/>
      <c r="S282" s="441"/>
      <c r="T282" s="441"/>
      <c r="U282" s="441"/>
      <c r="V282" s="441"/>
      <c r="W282" s="441"/>
      <c r="X282" s="441"/>
      <c r="Y282" s="442"/>
      <c r="Z282" s="443"/>
      <c r="AE282" s="33"/>
      <c r="AF282" s="33"/>
    </row>
    <row r="283" spans="6:32" ht="11.25" customHeight="1" x14ac:dyDescent="0.2">
      <c r="F283" s="155"/>
      <c r="G283" s="155"/>
      <c r="H283" s="33"/>
      <c r="L283" s="33"/>
      <c r="M283" s="33"/>
      <c r="S283" s="441"/>
      <c r="T283" s="441"/>
      <c r="U283" s="441"/>
      <c r="V283" s="441"/>
      <c r="W283" s="441"/>
      <c r="X283" s="441"/>
      <c r="Y283" s="442"/>
      <c r="Z283" s="443"/>
      <c r="AE283" s="33"/>
      <c r="AF283" s="33"/>
    </row>
    <row r="284" spans="6:32" ht="11.25" customHeight="1" x14ac:dyDescent="0.2">
      <c r="F284" s="155"/>
      <c r="G284" s="155"/>
      <c r="H284" s="33"/>
      <c r="L284" s="33"/>
      <c r="M284" s="33"/>
      <c r="S284" s="441"/>
      <c r="T284" s="441"/>
      <c r="U284" s="441"/>
      <c r="V284" s="441"/>
      <c r="W284" s="441"/>
      <c r="X284" s="441"/>
      <c r="Y284" s="442"/>
      <c r="Z284" s="443"/>
      <c r="AE284" s="33"/>
      <c r="AF284" s="33"/>
    </row>
    <row r="285" spans="6:32" ht="11.25" customHeight="1" x14ac:dyDescent="0.2">
      <c r="F285" s="155"/>
      <c r="G285" s="155"/>
      <c r="H285" s="33"/>
      <c r="L285" s="33"/>
      <c r="M285" s="33"/>
      <c r="S285" s="441"/>
      <c r="T285" s="441"/>
      <c r="U285" s="441"/>
      <c r="V285" s="441"/>
      <c r="W285" s="441"/>
      <c r="X285" s="441"/>
      <c r="Y285" s="442"/>
      <c r="Z285" s="443"/>
      <c r="AE285" s="33"/>
      <c r="AF285" s="33"/>
    </row>
    <row r="286" spans="6:32" ht="11.25" customHeight="1" x14ac:dyDescent="0.2">
      <c r="F286" s="155"/>
      <c r="G286" s="155"/>
      <c r="H286" s="33"/>
      <c r="L286" s="33"/>
      <c r="M286" s="33"/>
      <c r="S286" s="441"/>
      <c r="T286" s="441"/>
      <c r="U286" s="441"/>
      <c r="V286" s="441"/>
      <c r="W286" s="441"/>
      <c r="X286" s="441"/>
      <c r="Y286" s="442"/>
      <c r="Z286" s="443"/>
      <c r="AE286" s="33"/>
      <c r="AF286" s="33"/>
    </row>
    <row r="287" spans="6:32" ht="11.25" customHeight="1" x14ac:dyDescent="0.2">
      <c r="F287" s="155"/>
      <c r="G287" s="155"/>
      <c r="H287" s="33"/>
      <c r="L287" s="33"/>
      <c r="M287" s="33"/>
      <c r="S287" s="441"/>
      <c r="T287" s="441"/>
      <c r="U287" s="441"/>
      <c r="V287" s="441"/>
      <c r="W287" s="441"/>
      <c r="X287" s="441"/>
      <c r="Y287" s="442"/>
      <c r="Z287" s="443"/>
      <c r="AE287" s="33"/>
      <c r="AF287" s="33"/>
    </row>
    <row r="288" spans="6:32" ht="11.25" customHeight="1" x14ac:dyDescent="0.2">
      <c r="F288" s="155"/>
      <c r="G288" s="155"/>
      <c r="H288" s="33"/>
      <c r="L288" s="33"/>
      <c r="M288" s="33"/>
      <c r="S288" s="441"/>
      <c r="T288" s="441"/>
      <c r="U288" s="441"/>
      <c r="V288" s="441"/>
      <c r="W288" s="441"/>
      <c r="X288" s="441"/>
      <c r="Y288" s="442"/>
      <c r="Z288" s="443"/>
      <c r="AE288" s="33"/>
      <c r="AF288" s="33"/>
    </row>
    <row r="289" spans="6:32" ht="11.25" customHeight="1" x14ac:dyDescent="0.2">
      <c r="F289" s="155"/>
      <c r="G289" s="155"/>
      <c r="H289" s="33"/>
      <c r="L289" s="33"/>
      <c r="M289" s="33"/>
      <c r="S289" s="441"/>
      <c r="T289" s="441"/>
      <c r="U289" s="441"/>
      <c r="V289" s="441"/>
      <c r="W289" s="441"/>
      <c r="X289" s="441"/>
      <c r="Y289" s="442"/>
      <c r="Z289" s="443"/>
      <c r="AE289" s="33"/>
      <c r="AF289" s="33"/>
    </row>
    <row r="290" spans="6:32" ht="11.25" customHeight="1" x14ac:dyDescent="0.2">
      <c r="F290" s="155"/>
      <c r="G290" s="155"/>
      <c r="H290" s="33"/>
      <c r="L290" s="33"/>
      <c r="M290" s="33"/>
      <c r="S290" s="441"/>
      <c r="T290" s="441"/>
      <c r="U290" s="441"/>
      <c r="V290" s="441"/>
      <c r="W290" s="441"/>
      <c r="X290" s="441"/>
      <c r="Y290" s="442"/>
      <c r="Z290" s="443"/>
      <c r="AE290" s="33"/>
      <c r="AF290" s="33"/>
    </row>
    <row r="291" spans="6:32" ht="11.25" customHeight="1" x14ac:dyDescent="0.2">
      <c r="F291" s="155"/>
      <c r="G291" s="155"/>
      <c r="H291" s="33"/>
      <c r="L291" s="33"/>
      <c r="M291" s="33"/>
      <c r="S291" s="441"/>
      <c r="T291" s="441"/>
      <c r="U291" s="441"/>
      <c r="V291" s="441"/>
      <c r="W291" s="441"/>
      <c r="X291" s="441"/>
      <c r="Y291" s="442"/>
      <c r="Z291" s="443"/>
      <c r="AE291" s="33"/>
      <c r="AF291" s="33"/>
    </row>
    <row r="292" spans="6:32" ht="11.25" customHeight="1" x14ac:dyDescent="0.2">
      <c r="F292" s="155"/>
      <c r="G292" s="155"/>
      <c r="H292" s="33"/>
      <c r="L292" s="33"/>
      <c r="M292" s="33"/>
      <c r="S292" s="441"/>
      <c r="T292" s="441"/>
      <c r="U292" s="441"/>
      <c r="V292" s="441"/>
      <c r="W292" s="441"/>
      <c r="X292" s="441"/>
      <c r="Y292" s="442"/>
      <c r="Z292" s="443"/>
      <c r="AE292" s="33"/>
      <c r="AF292" s="33"/>
    </row>
    <row r="293" spans="6:32" ht="11.25" customHeight="1" x14ac:dyDescent="0.2">
      <c r="F293" s="155"/>
      <c r="G293" s="155"/>
      <c r="H293" s="33"/>
      <c r="L293" s="33"/>
      <c r="M293" s="33"/>
      <c r="S293" s="441"/>
      <c r="T293" s="441"/>
      <c r="U293" s="441"/>
      <c r="V293" s="441"/>
      <c r="W293" s="441"/>
      <c r="X293" s="441"/>
      <c r="Y293" s="442"/>
      <c r="Z293" s="443"/>
      <c r="AE293" s="33"/>
      <c r="AF293" s="33"/>
    </row>
    <row r="294" spans="6:32" ht="11.25" customHeight="1" x14ac:dyDescent="0.2">
      <c r="F294" s="155"/>
      <c r="G294" s="155"/>
      <c r="H294" s="33"/>
      <c r="L294" s="33"/>
      <c r="M294" s="33"/>
      <c r="S294" s="441"/>
      <c r="T294" s="441"/>
      <c r="U294" s="441"/>
      <c r="V294" s="441"/>
      <c r="W294" s="441"/>
      <c r="X294" s="441"/>
      <c r="Y294" s="442"/>
      <c r="Z294" s="443"/>
      <c r="AE294" s="33"/>
      <c r="AF294" s="33"/>
    </row>
    <row r="295" spans="6:32" ht="11.25" customHeight="1" x14ac:dyDescent="0.2">
      <c r="F295" s="155"/>
      <c r="G295" s="155"/>
      <c r="H295" s="33"/>
      <c r="L295" s="33"/>
      <c r="M295" s="33"/>
      <c r="S295" s="441"/>
      <c r="T295" s="441"/>
      <c r="U295" s="441"/>
      <c r="V295" s="441"/>
      <c r="W295" s="441"/>
      <c r="X295" s="441"/>
      <c r="Y295" s="442"/>
      <c r="Z295" s="443"/>
      <c r="AE295" s="33"/>
      <c r="AF295" s="33"/>
    </row>
    <row r="296" spans="6:32" ht="11.25" customHeight="1" x14ac:dyDescent="0.2">
      <c r="F296" s="155"/>
      <c r="G296" s="155"/>
      <c r="H296" s="33"/>
      <c r="L296" s="33"/>
      <c r="M296" s="33"/>
      <c r="S296" s="441"/>
      <c r="T296" s="441"/>
      <c r="U296" s="441"/>
      <c r="V296" s="441"/>
      <c r="W296" s="441"/>
      <c r="X296" s="441"/>
      <c r="Y296" s="442"/>
      <c r="Z296" s="443"/>
      <c r="AE296" s="33"/>
      <c r="AF296" s="33"/>
    </row>
    <row r="297" spans="6:32" ht="11.25" customHeight="1" x14ac:dyDescent="0.2">
      <c r="F297" s="155"/>
      <c r="G297" s="155"/>
      <c r="H297" s="33"/>
      <c r="L297" s="33"/>
      <c r="M297" s="33"/>
      <c r="S297" s="441"/>
      <c r="T297" s="441"/>
      <c r="U297" s="441"/>
      <c r="V297" s="441"/>
      <c r="W297" s="441"/>
      <c r="X297" s="441"/>
      <c r="Y297" s="442"/>
      <c r="Z297" s="443"/>
      <c r="AE297" s="33"/>
      <c r="AF297" s="33"/>
    </row>
    <row r="298" spans="6:32" ht="11.25" customHeight="1" x14ac:dyDescent="0.2">
      <c r="F298" s="155"/>
      <c r="G298" s="155"/>
      <c r="H298" s="33"/>
      <c r="L298" s="33"/>
      <c r="M298" s="33"/>
      <c r="S298" s="441"/>
      <c r="T298" s="441"/>
      <c r="U298" s="441"/>
      <c r="V298" s="441"/>
      <c r="W298" s="441"/>
      <c r="X298" s="441"/>
      <c r="Y298" s="442"/>
      <c r="Z298" s="443"/>
      <c r="AE298" s="33"/>
      <c r="AF298" s="33"/>
    </row>
    <row r="299" spans="6:32" ht="11.25" customHeight="1" x14ac:dyDescent="0.2">
      <c r="F299" s="155"/>
      <c r="G299" s="155"/>
      <c r="H299" s="33"/>
      <c r="L299" s="33"/>
      <c r="M299" s="33"/>
      <c r="S299" s="441"/>
      <c r="T299" s="441"/>
      <c r="U299" s="441"/>
      <c r="V299" s="441"/>
      <c r="W299" s="441"/>
      <c r="X299" s="441"/>
      <c r="Y299" s="442"/>
      <c r="Z299" s="443"/>
      <c r="AE299" s="33"/>
      <c r="AF299" s="33"/>
    </row>
    <row r="300" spans="6:32" ht="11.25" customHeight="1" x14ac:dyDescent="0.2">
      <c r="F300" s="155"/>
      <c r="G300" s="155"/>
      <c r="H300" s="33"/>
      <c r="L300" s="33"/>
      <c r="M300" s="33"/>
      <c r="S300" s="441"/>
      <c r="T300" s="441"/>
      <c r="U300" s="441"/>
      <c r="V300" s="441"/>
      <c r="W300" s="441"/>
      <c r="X300" s="441"/>
      <c r="Y300" s="442"/>
      <c r="Z300" s="443"/>
      <c r="AE300" s="33"/>
      <c r="AF300" s="33"/>
    </row>
    <row r="301" spans="6:32" ht="11.25" customHeight="1" x14ac:dyDescent="0.2">
      <c r="F301" s="155"/>
      <c r="G301" s="155"/>
      <c r="H301" s="33"/>
      <c r="L301" s="33"/>
      <c r="M301" s="33"/>
      <c r="S301" s="441"/>
      <c r="T301" s="441"/>
      <c r="U301" s="441"/>
      <c r="V301" s="441"/>
      <c r="W301" s="441"/>
      <c r="X301" s="441"/>
      <c r="Y301" s="442"/>
      <c r="Z301" s="443"/>
      <c r="AE301" s="33"/>
      <c r="AF301" s="33"/>
    </row>
    <row r="302" spans="6:32" ht="11.25" customHeight="1" x14ac:dyDescent="0.2">
      <c r="F302" s="155"/>
      <c r="G302" s="155"/>
      <c r="H302" s="33"/>
      <c r="L302" s="33"/>
      <c r="M302" s="33"/>
      <c r="S302" s="441"/>
      <c r="T302" s="441"/>
      <c r="U302" s="441"/>
      <c r="V302" s="441"/>
      <c r="W302" s="441"/>
      <c r="X302" s="441"/>
      <c r="Y302" s="442"/>
      <c r="Z302" s="443"/>
      <c r="AE302" s="33"/>
      <c r="AF302" s="33"/>
    </row>
    <row r="303" spans="6:32" ht="11.25" customHeight="1" x14ac:dyDescent="0.2">
      <c r="F303" s="155"/>
      <c r="G303" s="155"/>
      <c r="H303" s="33"/>
      <c r="L303" s="33"/>
      <c r="M303" s="33"/>
      <c r="S303" s="441"/>
      <c r="T303" s="441"/>
      <c r="U303" s="441"/>
      <c r="V303" s="441"/>
      <c r="W303" s="441"/>
      <c r="X303" s="441"/>
      <c r="Y303" s="442"/>
      <c r="Z303" s="443"/>
      <c r="AE303" s="33"/>
      <c r="AF303" s="33"/>
    </row>
    <row r="304" spans="6:32" ht="11.25" customHeight="1" x14ac:dyDescent="0.2">
      <c r="F304" s="155"/>
      <c r="G304" s="155"/>
      <c r="H304" s="33"/>
      <c r="L304" s="33"/>
      <c r="M304" s="33"/>
      <c r="S304" s="441"/>
      <c r="T304" s="441"/>
      <c r="U304" s="441"/>
      <c r="V304" s="441"/>
      <c r="W304" s="441"/>
      <c r="X304" s="441"/>
      <c r="Y304" s="442"/>
      <c r="Z304" s="443"/>
      <c r="AE304" s="33"/>
      <c r="AF304" s="33"/>
    </row>
    <row r="305" spans="6:32" ht="11.25" customHeight="1" x14ac:dyDescent="0.2">
      <c r="F305" s="155"/>
      <c r="G305" s="155"/>
      <c r="H305" s="33"/>
      <c r="L305" s="33"/>
      <c r="M305" s="33"/>
      <c r="S305" s="441"/>
      <c r="T305" s="441"/>
      <c r="U305" s="441"/>
      <c r="V305" s="441"/>
      <c r="W305" s="441"/>
      <c r="X305" s="441"/>
      <c r="Y305" s="442"/>
      <c r="Z305" s="443"/>
      <c r="AE305" s="33"/>
      <c r="AF305" s="33"/>
    </row>
    <row r="306" spans="6:32" ht="11.25" customHeight="1" x14ac:dyDescent="0.2">
      <c r="F306" s="155"/>
      <c r="G306" s="155"/>
      <c r="H306" s="33"/>
      <c r="L306" s="33"/>
      <c r="M306" s="33"/>
      <c r="S306" s="441"/>
      <c r="T306" s="441"/>
      <c r="U306" s="441"/>
      <c r="V306" s="441"/>
      <c r="W306" s="441"/>
      <c r="X306" s="441"/>
      <c r="Y306" s="442"/>
      <c r="Z306" s="443"/>
      <c r="AE306" s="33"/>
      <c r="AF306" s="33"/>
    </row>
    <row r="307" spans="6:32" ht="11.25" customHeight="1" x14ac:dyDescent="0.2">
      <c r="F307" s="155"/>
      <c r="G307" s="155"/>
      <c r="H307" s="33"/>
      <c r="L307" s="33"/>
      <c r="M307" s="33"/>
      <c r="S307" s="441"/>
      <c r="T307" s="441"/>
      <c r="U307" s="441"/>
      <c r="V307" s="441"/>
      <c r="W307" s="441"/>
      <c r="X307" s="441"/>
      <c r="Y307" s="442"/>
      <c r="Z307" s="443"/>
      <c r="AE307" s="33"/>
      <c r="AF307" s="33"/>
    </row>
    <row r="308" spans="6:32" ht="11.25" customHeight="1" x14ac:dyDescent="0.2">
      <c r="F308" s="155"/>
      <c r="G308" s="155"/>
      <c r="H308" s="33"/>
      <c r="L308" s="33"/>
      <c r="M308" s="33"/>
      <c r="S308" s="441"/>
      <c r="T308" s="441"/>
      <c r="U308" s="441"/>
      <c r="V308" s="441"/>
      <c r="W308" s="441"/>
      <c r="X308" s="441"/>
      <c r="Y308" s="442"/>
      <c r="Z308" s="443"/>
      <c r="AE308" s="33"/>
      <c r="AF308" s="33"/>
    </row>
    <row r="309" spans="6:32" ht="11.25" customHeight="1" x14ac:dyDescent="0.2">
      <c r="F309" s="155"/>
      <c r="G309" s="155"/>
      <c r="H309" s="33"/>
      <c r="L309" s="33"/>
      <c r="M309" s="33"/>
      <c r="S309" s="441"/>
      <c r="T309" s="441"/>
      <c r="U309" s="441"/>
      <c r="V309" s="441"/>
      <c r="W309" s="441"/>
      <c r="X309" s="441"/>
      <c r="Y309" s="442"/>
      <c r="Z309" s="443"/>
      <c r="AE309" s="33"/>
      <c r="AF309" s="33"/>
    </row>
    <row r="310" spans="6:32" ht="11.25" customHeight="1" x14ac:dyDescent="0.2">
      <c r="F310" s="155"/>
      <c r="G310" s="155"/>
      <c r="H310" s="33"/>
      <c r="L310" s="33"/>
      <c r="M310" s="33"/>
      <c r="S310" s="441"/>
      <c r="T310" s="441"/>
      <c r="U310" s="441"/>
      <c r="V310" s="441"/>
      <c r="W310" s="441"/>
      <c r="X310" s="441"/>
      <c r="Y310" s="442"/>
      <c r="Z310" s="443"/>
      <c r="AE310" s="33"/>
      <c r="AF310" s="33"/>
    </row>
    <row r="311" spans="6:32" ht="11.25" customHeight="1" x14ac:dyDescent="0.2">
      <c r="F311" s="155"/>
      <c r="G311" s="155"/>
      <c r="H311" s="33"/>
      <c r="L311" s="33"/>
      <c r="M311" s="33"/>
      <c r="S311" s="441"/>
      <c r="T311" s="441"/>
      <c r="U311" s="441"/>
      <c r="V311" s="441"/>
      <c r="W311" s="441"/>
      <c r="X311" s="441"/>
      <c r="Y311" s="442"/>
      <c r="Z311" s="443"/>
      <c r="AE311" s="33"/>
      <c r="AF311" s="33"/>
    </row>
    <row r="312" spans="6:32" ht="11.25" customHeight="1" x14ac:dyDescent="0.2">
      <c r="F312" s="155"/>
      <c r="G312" s="155"/>
      <c r="H312" s="33"/>
      <c r="L312" s="33"/>
      <c r="M312" s="33"/>
      <c r="S312" s="441"/>
      <c r="T312" s="441"/>
      <c r="U312" s="441"/>
      <c r="V312" s="441"/>
      <c r="W312" s="441"/>
      <c r="X312" s="441"/>
      <c r="Y312" s="442"/>
      <c r="Z312" s="443"/>
      <c r="AE312" s="33"/>
      <c r="AF312" s="33"/>
    </row>
    <row r="313" spans="6:32" ht="11.25" customHeight="1" x14ac:dyDescent="0.2">
      <c r="F313" s="155"/>
      <c r="G313" s="155"/>
      <c r="H313" s="33"/>
      <c r="L313" s="33"/>
      <c r="M313" s="33"/>
      <c r="S313" s="441"/>
      <c r="T313" s="441"/>
      <c r="U313" s="441"/>
      <c r="V313" s="441"/>
      <c r="W313" s="441"/>
      <c r="X313" s="441"/>
      <c r="Y313" s="442"/>
      <c r="Z313" s="443"/>
      <c r="AE313" s="33"/>
      <c r="AF313" s="33"/>
    </row>
    <row r="314" spans="6:32" ht="11.25" customHeight="1" x14ac:dyDescent="0.2">
      <c r="F314" s="155"/>
      <c r="G314" s="155"/>
      <c r="H314" s="33"/>
      <c r="L314" s="33"/>
      <c r="M314" s="33"/>
      <c r="S314" s="441"/>
      <c r="T314" s="441"/>
      <c r="U314" s="441"/>
      <c r="V314" s="441"/>
      <c r="W314" s="441"/>
      <c r="X314" s="441"/>
      <c r="Y314" s="442"/>
      <c r="Z314" s="443"/>
      <c r="AE314" s="33"/>
      <c r="AF314" s="33"/>
    </row>
    <row r="315" spans="6:32" ht="11.25" customHeight="1" x14ac:dyDescent="0.2">
      <c r="F315" s="155"/>
      <c r="G315" s="155"/>
      <c r="H315" s="33"/>
      <c r="L315" s="33"/>
      <c r="M315" s="33"/>
      <c r="S315" s="441"/>
      <c r="T315" s="441"/>
      <c r="U315" s="441"/>
      <c r="V315" s="441"/>
      <c r="W315" s="441"/>
      <c r="X315" s="441"/>
      <c r="Y315" s="442"/>
      <c r="Z315" s="443"/>
      <c r="AE315" s="33"/>
      <c r="AF315" s="33"/>
    </row>
    <row r="316" spans="6:32" ht="11.25" customHeight="1" x14ac:dyDescent="0.2">
      <c r="F316" s="155"/>
      <c r="G316" s="155"/>
      <c r="H316" s="33"/>
      <c r="L316" s="33"/>
      <c r="M316" s="33"/>
      <c r="S316" s="441"/>
      <c r="T316" s="441"/>
      <c r="U316" s="441"/>
      <c r="V316" s="441"/>
      <c r="W316" s="441"/>
      <c r="X316" s="441"/>
      <c r="Y316" s="442"/>
      <c r="Z316" s="443"/>
      <c r="AE316" s="33"/>
      <c r="AF316" s="33"/>
    </row>
    <row r="317" spans="6:32" ht="11.25" customHeight="1" x14ac:dyDescent="0.2">
      <c r="F317" s="155"/>
      <c r="G317" s="155"/>
      <c r="H317" s="33"/>
      <c r="L317" s="33"/>
      <c r="M317" s="33"/>
      <c r="S317" s="441"/>
      <c r="T317" s="441"/>
      <c r="U317" s="441"/>
      <c r="V317" s="441"/>
      <c r="W317" s="441"/>
      <c r="X317" s="441"/>
      <c r="Y317" s="442"/>
      <c r="Z317" s="443"/>
      <c r="AE317" s="33"/>
      <c r="AF317" s="33"/>
    </row>
    <row r="318" spans="6:32" ht="11.25" customHeight="1" x14ac:dyDescent="0.2">
      <c r="F318" s="155"/>
      <c r="G318" s="155"/>
      <c r="H318" s="33"/>
      <c r="L318" s="33"/>
      <c r="M318" s="33"/>
      <c r="S318" s="441"/>
      <c r="T318" s="441"/>
      <c r="U318" s="441"/>
      <c r="V318" s="441"/>
      <c r="W318" s="441"/>
      <c r="X318" s="441"/>
      <c r="Y318" s="442"/>
      <c r="Z318" s="443"/>
      <c r="AE318" s="33"/>
      <c r="AF318" s="33"/>
    </row>
    <row r="319" spans="6:32" ht="11.25" customHeight="1" x14ac:dyDescent="0.2">
      <c r="F319" s="155"/>
      <c r="G319" s="155"/>
      <c r="H319" s="33"/>
      <c r="L319" s="33"/>
      <c r="M319" s="33"/>
      <c r="S319" s="441"/>
      <c r="T319" s="441"/>
      <c r="U319" s="441"/>
      <c r="V319" s="441"/>
      <c r="W319" s="441"/>
      <c r="X319" s="441"/>
      <c r="Y319" s="442"/>
      <c r="Z319" s="443"/>
      <c r="AE319" s="33"/>
      <c r="AF319" s="33"/>
    </row>
    <row r="320" spans="6:32" ht="11.25" customHeight="1" x14ac:dyDescent="0.2">
      <c r="F320" s="155"/>
      <c r="G320" s="155"/>
      <c r="H320" s="33"/>
      <c r="L320" s="33"/>
      <c r="M320" s="33"/>
      <c r="S320" s="441"/>
      <c r="T320" s="441"/>
      <c r="U320" s="441"/>
      <c r="V320" s="441"/>
      <c r="W320" s="441"/>
      <c r="X320" s="441"/>
      <c r="Y320" s="442"/>
      <c r="Z320" s="443"/>
      <c r="AE320" s="33"/>
      <c r="AF320" s="33"/>
    </row>
    <row r="321" spans="6:32" ht="11.25" customHeight="1" x14ac:dyDescent="0.2">
      <c r="F321" s="155"/>
      <c r="G321" s="155"/>
      <c r="H321" s="33"/>
      <c r="L321" s="33"/>
      <c r="M321" s="33"/>
      <c r="S321" s="441"/>
      <c r="T321" s="441"/>
      <c r="U321" s="441"/>
      <c r="V321" s="441"/>
      <c r="W321" s="441"/>
      <c r="X321" s="441"/>
      <c r="Y321" s="442"/>
      <c r="Z321" s="443"/>
      <c r="AE321" s="33"/>
      <c r="AF321" s="33"/>
    </row>
    <row r="322" spans="6:32" ht="11.25" customHeight="1" x14ac:dyDescent="0.2">
      <c r="F322" s="155"/>
      <c r="G322" s="155"/>
      <c r="H322" s="33"/>
      <c r="L322" s="33"/>
      <c r="M322" s="33"/>
      <c r="S322" s="441"/>
      <c r="T322" s="441"/>
      <c r="U322" s="441"/>
      <c r="V322" s="441"/>
      <c r="W322" s="441"/>
      <c r="X322" s="441"/>
      <c r="Y322" s="442"/>
      <c r="Z322" s="443"/>
      <c r="AE322" s="33"/>
      <c r="AF322" s="33"/>
    </row>
    <row r="323" spans="6:32" ht="11.25" customHeight="1" x14ac:dyDescent="0.2">
      <c r="F323" s="155"/>
      <c r="G323" s="155"/>
      <c r="H323" s="33"/>
      <c r="L323" s="33"/>
      <c r="M323" s="33"/>
      <c r="S323" s="441"/>
      <c r="T323" s="441"/>
      <c r="U323" s="441"/>
      <c r="V323" s="441"/>
      <c r="W323" s="441"/>
      <c r="X323" s="441"/>
      <c r="Y323" s="442"/>
      <c r="Z323" s="443"/>
      <c r="AE323" s="33"/>
      <c r="AF323" s="33"/>
    </row>
    <row r="324" spans="6:32" ht="11.25" customHeight="1" x14ac:dyDescent="0.2">
      <c r="F324" s="155"/>
      <c r="G324" s="155"/>
      <c r="H324" s="33"/>
      <c r="L324" s="33"/>
      <c r="M324" s="33"/>
      <c r="S324" s="441"/>
      <c r="T324" s="441"/>
      <c r="U324" s="441"/>
      <c r="V324" s="441"/>
      <c r="W324" s="441"/>
      <c r="X324" s="441"/>
      <c r="Y324" s="442"/>
      <c r="Z324" s="443"/>
      <c r="AE324" s="33"/>
      <c r="AF324" s="33"/>
    </row>
    <row r="325" spans="6:32" ht="11.25" customHeight="1" x14ac:dyDescent="0.2">
      <c r="F325" s="155"/>
      <c r="G325" s="155"/>
      <c r="H325" s="33"/>
      <c r="L325" s="33"/>
      <c r="M325" s="33"/>
      <c r="S325" s="441"/>
      <c r="T325" s="441"/>
      <c r="U325" s="441"/>
      <c r="V325" s="441"/>
      <c r="W325" s="441"/>
      <c r="X325" s="441"/>
      <c r="Y325" s="442"/>
      <c r="Z325" s="443"/>
      <c r="AE325" s="33"/>
      <c r="AF325" s="33"/>
    </row>
    <row r="326" spans="6:32" ht="11.25" customHeight="1" x14ac:dyDescent="0.2">
      <c r="F326" s="155"/>
      <c r="G326" s="155"/>
      <c r="H326" s="33"/>
      <c r="L326" s="33"/>
      <c r="M326" s="33"/>
      <c r="S326" s="441"/>
      <c r="T326" s="441"/>
      <c r="U326" s="441"/>
      <c r="V326" s="441"/>
      <c r="W326" s="441"/>
      <c r="X326" s="441"/>
      <c r="Y326" s="442"/>
      <c r="Z326" s="443"/>
      <c r="AE326" s="33"/>
      <c r="AF326" s="33"/>
    </row>
    <row r="327" spans="6:32" ht="11.25" customHeight="1" x14ac:dyDescent="0.2">
      <c r="F327" s="155"/>
      <c r="G327" s="155"/>
      <c r="H327" s="33"/>
      <c r="L327" s="33"/>
      <c r="M327" s="33"/>
      <c r="S327" s="441"/>
      <c r="T327" s="441"/>
      <c r="U327" s="441"/>
      <c r="V327" s="441"/>
      <c r="W327" s="441"/>
      <c r="X327" s="441"/>
      <c r="Y327" s="442"/>
      <c r="Z327" s="443"/>
      <c r="AE327" s="33"/>
      <c r="AF327" s="33"/>
    </row>
    <row r="328" spans="6:32" ht="11.25" customHeight="1" x14ac:dyDescent="0.2">
      <c r="F328" s="155"/>
      <c r="G328" s="155"/>
      <c r="H328" s="33"/>
      <c r="L328" s="33"/>
      <c r="M328" s="33"/>
      <c r="S328" s="441"/>
      <c r="T328" s="441"/>
      <c r="U328" s="441"/>
      <c r="V328" s="441"/>
      <c r="W328" s="441"/>
      <c r="X328" s="441"/>
      <c r="Y328" s="442"/>
      <c r="Z328" s="443"/>
      <c r="AE328" s="33"/>
      <c r="AF328" s="33"/>
    </row>
    <row r="329" spans="6:32" ht="11.25" customHeight="1" x14ac:dyDescent="0.2">
      <c r="F329" s="155"/>
      <c r="G329" s="155"/>
      <c r="H329" s="33"/>
      <c r="L329" s="33"/>
      <c r="M329" s="33"/>
      <c r="S329" s="441"/>
      <c r="T329" s="441"/>
      <c r="U329" s="441"/>
      <c r="V329" s="441"/>
      <c r="W329" s="441"/>
      <c r="X329" s="441"/>
      <c r="Y329" s="442"/>
      <c r="Z329" s="443"/>
      <c r="AE329" s="33"/>
      <c r="AF329" s="33"/>
    </row>
    <row r="330" spans="6:32" ht="11.25" customHeight="1" x14ac:dyDescent="0.2">
      <c r="F330" s="155"/>
      <c r="G330" s="155"/>
      <c r="H330" s="33"/>
      <c r="L330" s="33"/>
      <c r="M330" s="33"/>
      <c r="S330" s="441"/>
      <c r="T330" s="441"/>
      <c r="U330" s="441"/>
      <c r="V330" s="441"/>
      <c r="W330" s="441"/>
      <c r="X330" s="441"/>
      <c r="Y330" s="442"/>
      <c r="Z330" s="443"/>
      <c r="AE330" s="33"/>
      <c r="AF330" s="33"/>
    </row>
    <row r="331" spans="6:32" ht="11.25" customHeight="1" x14ac:dyDescent="0.2">
      <c r="F331" s="155"/>
      <c r="G331" s="155"/>
      <c r="H331" s="33"/>
      <c r="L331" s="33"/>
      <c r="M331" s="33"/>
      <c r="S331" s="441"/>
      <c r="T331" s="441"/>
      <c r="U331" s="441"/>
      <c r="V331" s="441"/>
      <c r="W331" s="441"/>
      <c r="X331" s="441"/>
      <c r="Y331" s="442"/>
      <c r="Z331" s="443"/>
      <c r="AE331" s="33"/>
      <c r="AF331" s="33"/>
    </row>
    <row r="332" spans="6:32" ht="11.25" customHeight="1" x14ac:dyDescent="0.2">
      <c r="F332" s="155"/>
      <c r="G332" s="155"/>
      <c r="H332" s="33"/>
      <c r="L332" s="33"/>
      <c r="M332" s="33"/>
      <c r="S332" s="441"/>
      <c r="T332" s="441"/>
      <c r="U332" s="441"/>
      <c r="V332" s="441"/>
      <c r="W332" s="441"/>
      <c r="X332" s="441"/>
      <c r="Y332" s="442"/>
      <c r="Z332" s="443"/>
      <c r="AE332" s="33"/>
      <c r="AF332" s="33"/>
    </row>
    <row r="333" spans="6:32" ht="11.25" customHeight="1" x14ac:dyDescent="0.2">
      <c r="F333" s="155"/>
      <c r="G333" s="155"/>
      <c r="H333" s="33"/>
      <c r="L333" s="33"/>
      <c r="M333" s="33"/>
      <c r="S333" s="441"/>
      <c r="T333" s="441"/>
      <c r="U333" s="441"/>
      <c r="V333" s="441"/>
      <c r="W333" s="441"/>
      <c r="X333" s="441"/>
      <c r="Y333" s="442"/>
      <c r="Z333" s="443"/>
      <c r="AE333" s="33"/>
      <c r="AF333" s="33"/>
    </row>
    <row r="334" spans="6:32" ht="11.25" customHeight="1" x14ac:dyDescent="0.2">
      <c r="F334" s="155"/>
      <c r="G334" s="155"/>
      <c r="H334" s="33"/>
      <c r="L334" s="33"/>
      <c r="M334" s="33"/>
      <c r="S334" s="441"/>
      <c r="T334" s="441"/>
      <c r="U334" s="441"/>
      <c r="V334" s="441"/>
      <c r="W334" s="441"/>
      <c r="X334" s="441"/>
      <c r="Y334" s="442"/>
      <c r="Z334" s="443"/>
      <c r="AE334" s="33"/>
      <c r="AF334" s="33"/>
    </row>
    <row r="335" spans="6:32" ht="11.25" customHeight="1" x14ac:dyDescent="0.2">
      <c r="F335" s="155"/>
      <c r="G335" s="155"/>
      <c r="H335" s="33"/>
      <c r="L335" s="33"/>
      <c r="M335" s="33"/>
      <c r="S335" s="441"/>
      <c r="T335" s="441"/>
      <c r="U335" s="441"/>
      <c r="V335" s="441"/>
      <c r="W335" s="441"/>
      <c r="X335" s="441"/>
      <c r="Y335" s="442"/>
      <c r="Z335" s="443"/>
      <c r="AE335" s="33"/>
      <c r="AF335" s="33"/>
    </row>
    <row r="336" spans="6:32" ht="11.25" customHeight="1" x14ac:dyDescent="0.2">
      <c r="F336" s="155"/>
      <c r="G336" s="155"/>
      <c r="H336" s="33"/>
      <c r="L336" s="33"/>
      <c r="M336" s="33"/>
      <c r="S336" s="441"/>
      <c r="T336" s="441"/>
      <c r="U336" s="441"/>
      <c r="V336" s="441"/>
      <c r="W336" s="441"/>
      <c r="X336" s="441"/>
      <c r="Y336" s="442"/>
      <c r="Z336" s="443"/>
      <c r="AE336" s="33"/>
      <c r="AF336" s="33"/>
    </row>
    <row r="337" spans="6:32" ht="11.25" customHeight="1" x14ac:dyDescent="0.2">
      <c r="F337" s="155"/>
      <c r="G337" s="155"/>
      <c r="H337" s="33"/>
      <c r="L337" s="33"/>
      <c r="M337" s="33"/>
      <c r="S337" s="441"/>
      <c r="T337" s="441"/>
      <c r="U337" s="441"/>
      <c r="V337" s="441"/>
      <c r="W337" s="441"/>
      <c r="X337" s="441"/>
      <c r="Y337" s="442"/>
      <c r="Z337" s="443"/>
      <c r="AE337" s="33"/>
      <c r="AF337" s="33"/>
    </row>
    <row r="338" spans="6:32" ht="11.25" customHeight="1" x14ac:dyDescent="0.2">
      <c r="F338" s="155"/>
      <c r="G338" s="155"/>
      <c r="H338" s="33"/>
      <c r="L338" s="33"/>
      <c r="M338" s="33"/>
      <c r="S338" s="441"/>
      <c r="T338" s="441"/>
      <c r="U338" s="441"/>
      <c r="V338" s="441"/>
      <c r="W338" s="441"/>
      <c r="X338" s="441"/>
      <c r="Y338" s="442"/>
      <c r="Z338" s="443"/>
      <c r="AE338" s="33"/>
      <c r="AF338" s="33"/>
    </row>
    <row r="339" spans="6:32" ht="11.25" customHeight="1" x14ac:dyDescent="0.2">
      <c r="F339" s="155"/>
      <c r="G339" s="155"/>
      <c r="H339" s="33"/>
      <c r="L339" s="33"/>
      <c r="M339" s="33"/>
      <c r="S339" s="441"/>
      <c r="T339" s="441"/>
      <c r="U339" s="441"/>
      <c r="V339" s="441"/>
      <c r="W339" s="441"/>
      <c r="X339" s="441"/>
      <c r="Y339" s="442"/>
      <c r="Z339" s="443"/>
      <c r="AE339" s="33"/>
      <c r="AF339" s="33"/>
    </row>
    <row r="340" spans="6:32" ht="11.25" customHeight="1" x14ac:dyDescent="0.2">
      <c r="F340" s="155"/>
      <c r="G340" s="155"/>
      <c r="H340" s="33"/>
      <c r="L340" s="33"/>
      <c r="M340" s="33"/>
      <c r="S340" s="441"/>
      <c r="T340" s="441"/>
      <c r="U340" s="441"/>
      <c r="V340" s="441"/>
      <c r="W340" s="441"/>
      <c r="X340" s="441"/>
      <c r="Y340" s="442"/>
      <c r="Z340" s="443"/>
      <c r="AE340" s="33"/>
      <c r="AF340" s="33"/>
    </row>
    <row r="341" spans="6:32" ht="11.25" customHeight="1" x14ac:dyDescent="0.2">
      <c r="F341" s="155"/>
      <c r="G341" s="155"/>
      <c r="H341" s="33"/>
      <c r="L341" s="33"/>
      <c r="M341" s="33"/>
      <c r="S341" s="441"/>
      <c r="T341" s="441"/>
      <c r="U341" s="441"/>
      <c r="V341" s="441"/>
      <c r="W341" s="441"/>
      <c r="X341" s="441"/>
      <c r="Y341" s="442"/>
      <c r="Z341" s="443"/>
      <c r="AE341" s="33"/>
      <c r="AF341" s="33"/>
    </row>
    <row r="342" spans="6:32" ht="11.25" customHeight="1" x14ac:dyDescent="0.2">
      <c r="F342" s="155"/>
      <c r="G342" s="155"/>
      <c r="H342" s="33"/>
      <c r="L342" s="33"/>
      <c r="M342" s="33"/>
      <c r="S342" s="441"/>
      <c r="T342" s="441"/>
      <c r="U342" s="441"/>
      <c r="V342" s="441"/>
      <c r="W342" s="441"/>
      <c r="X342" s="441"/>
      <c r="Y342" s="442"/>
      <c r="Z342" s="443"/>
      <c r="AE342" s="33"/>
      <c r="AF342" s="33"/>
    </row>
    <row r="343" spans="6:32" ht="11.25" customHeight="1" x14ac:dyDescent="0.2">
      <c r="F343" s="155"/>
      <c r="G343" s="155"/>
      <c r="H343" s="33"/>
      <c r="L343" s="33"/>
      <c r="M343" s="33"/>
      <c r="S343" s="441"/>
      <c r="T343" s="441"/>
      <c r="U343" s="441"/>
      <c r="V343" s="441"/>
      <c r="W343" s="441"/>
      <c r="X343" s="441"/>
      <c r="Y343" s="442"/>
      <c r="Z343" s="443"/>
      <c r="AE343" s="33"/>
      <c r="AF343" s="33"/>
    </row>
    <row r="344" spans="6:32" ht="11.25" customHeight="1" x14ac:dyDescent="0.2">
      <c r="F344" s="155"/>
      <c r="G344" s="155"/>
      <c r="H344" s="33"/>
      <c r="L344" s="33"/>
      <c r="M344" s="33"/>
      <c r="S344" s="441"/>
      <c r="T344" s="441"/>
      <c r="U344" s="441"/>
      <c r="V344" s="441"/>
      <c r="W344" s="441"/>
      <c r="X344" s="441"/>
      <c r="Y344" s="442"/>
      <c r="Z344" s="443"/>
      <c r="AE344" s="33"/>
      <c r="AF344" s="33"/>
    </row>
    <row r="345" spans="6:32" ht="11.25" customHeight="1" x14ac:dyDescent="0.2">
      <c r="F345" s="155"/>
      <c r="G345" s="155"/>
      <c r="H345" s="33"/>
      <c r="L345" s="33"/>
      <c r="M345" s="33"/>
      <c r="S345" s="441"/>
      <c r="T345" s="441"/>
      <c r="U345" s="441"/>
      <c r="V345" s="441"/>
      <c r="W345" s="441"/>
      <c r="X345" s="441"/>
      <c r="Y345" s="442"/>
      <c r="Z345" s="443"/>
      <c r="AE345" s="33"/>
      <c r="AF345" s="33"/>
    </row>
    <row r="346" spans="6:32" ht="11.25" customHeight="1" x14ac:dyDescent="0.2">
      <c r="F346" s="155"/>
      <c r="G346" s="155"/>
      <c r="H346" s="33"/>
      <c r="L346" s="33"/>
      <c r="M346" s="33"/>
      <c r="S346" s="441"/>
      <c r="T346" s="441"/>
      <c r="U346" s="441"/>
      <c r="V346" s="441"/>
      <c r="W346" s="441"/>
      <c r="X346" s="441"/>
      <c r="Y346" s="442"/>
      <c r="Z346" s="443"/>
      <c r="AE346" s="33"/>
      <c r="AF346" s="33"/>
    </row>
    <row r="347" spans="6:32" ht="11.25" customHeight="1" x14ac:dyDescent="0.2">
      <c r="F347" s="155"/>
      <c r="G347" s="155"/>
      <c r="H347" s="33"/>
      <c r="L347" s="33"/>
      <c r="M347" s="33"/>
      <c r="S347" s="441"/>
      <c r="T347" s="441"/>
      <c r="U347" s="441"/>
      <c r="V347" s="441"/>
      <c r="W347" s="441"/>
      <c r="X347" s="441"/>
      <c r="Y347" s="442"/>
      <c r="Z347" s="443"/>
      <c r="AE347" s="33"/>
      <c r="AF347" s="33"/>
    </row>
    <row r="348" spans="6:32" ht="11.25" customHeight="1" x14ac:dyDescent="0.2">
      <c r="F348" s="155"/>
      <c r="G348" s="155"/>
      <c r="H348" s="33"/>
      <c r="L348" s="33"/>
      <c r="M348" s="33"/>
      <c r="S348" s="441"/>
      <c r="T348" s="441"/>
      <c r="U348" s="441"/>
      <c r="V348" s="441"/>
      <c r="W348" s="441"/>
      <c r="X348" s="441"/>
      <c r="Y348" s="442"/>
      <c r="Z348" s="443"/>
      <c r="AE348" s="33"/>
      <c r="AF348" s="33"/>
    </row>
    <row r="349" spans="6:32" ht="11.25" customHeight="1" x14ac:dyDescent="0.2">
      <c r="F349" s="155"/>
      <c r="G349" s="155"/>
      <c r="H349" s="33"/>
      <c r="L349" s="33"/>
      <c r="M349" s="33"/>
      <c r="S349" s="441"/>
      <c r="T349" s="441"/>
      <c r="U349" s="441"/>
      <c r="V349" s="441"/>
      <c r="W349" s="441"/>
      <c r="X349" s="441"/>
      <c r="Y349" s="442"/>
      <c r="Z349" s="443"/>
      <c r="AE349" s="33"/>
      <c r="AF349" s="33"/>
    </row>
    <row r="350" spans="6:32" ht="11.25" customHeight="1" x14ac:dyDescent="0.2">
      <c r="F350" s="155"/>
      <c r="G350" s="155"/>
      <c r="H350" s="33"/>
      <c r="L350" s="33"/>
      <c r="M350" s="33"/>
      <c r="S350" s="441"/>
      <c r="T350" s="441"/>
      <c r="U350" s="441"/>
      <c r="V350" s="441"/>
      <c r="W350" s="441"/>
      <c r="X350" s="441"/>
      <c r="Y350" s="442"/>
      <c r="Z350" s="443"/>
      <c r="AE350" s="33"/>
      <c r="AF350" s="33"/>
    </row>
    <row r="351" spans="6:32" ht="11.25" customHeight="1" x14ac:dyDescent="0.2">
      <c r="F351" s="155"/>
      <c r="G351" s="155"/>
      <c r="H351" s="33"/>
      <c r="L351" s="33"/>
      <c r="M351" s="33"/>
      <c r="S351" s="441"/>
      <c r="T351" s="441"/>
      <c r="U351" s="441"/>
      <c r="V351" s="441"/>
      <c r="W351" s="441"/>
      <c r="X351" s="441"/>
      <c r="Y351" s="442"/>
      <c r="Z351" s="443"/>
      <c r="AE351" s="33"/>
      <c r="AF351" s="33"/>
    </row>
    <row r="352" spans="6:32" ht="11.25" customHeight="1" x14ac:dyDescent="0.2">
      <c r="F352" s="155"/>
      <c r="G352" s="155"/>
      <c r="H352" s="33"/>
      <c r="L352" s="33"/>
      <c r="M352" s="33"/>
      <c r="S352" s="441"/>
      <c r="T352" s="441"/>
      <c r="U352" s="441"/>
      <c r="V352" s="441"/>
      <c r="W352" s="441"/>
      <c r="X352" s="441"/>
      <c r="Y352" s="442"/>
      <c r="Z352" s="443"/>
      <c r="AE352" s="33"/>
      <c r="AF352" s="33"/>
    </row>
    <row r="353" spans="6:32" ht="11.25" customHeight="1" x14ac:dyDescent="0.2">
      <c r="F353" s="155"/>
      <c r="G353" s="155"/>
      <c r="H353" s="33"/>
      <c r="L353" s="33"/>
      <c r="M353" s="33"/>
      <c r="S353" s="441"/>
      <c r="T353" s="441"/>
      <c r="U353" s="441"/>
      <c r="V353" s="441"/>
      <c r="W353" s="441"/>
      <c r="X353" s="441"/>
      <c r="Y353" s="442"/>
      <c r="Z353" s="443"/>
      <c r="AE353" s="33"/>
      <c r="AF353" s="33"/>
    </row>
    <row r="354" spans="6:32" ht="11.25" customHeight="1" x14ac:dyDescent="0.2">
      <c r="F354" s="155"/>
      <c r="G354" s="155"/>
      <c r="H354" s="33"/>
      <c r="L354" s="33"/>
      <c r="M354" s="33"/>
      <c r="S354" s="441"/>
      <c r="T354" s="441"/>
      <c r="U354" s="441"/>
      <c r="V354" s="441"/>
      <c r="W354" s="441"/>
      <c r="X354" s="441"/>
      <c r="Y354" s="442"/>
      <c r="Z354" s="443"/>
      <c r="AE354" s="33"/>
      <c r="AF354" s="33"/>
    </row>
    <row r="355" spans="6:32" ht="11.25" customHeight="1" x14ac:dyDescent="0.2">
      <c r="F355" s="155"/>
      <c r="G355" s="155"/>
      <c r="H355" s="33"/>
      <c r="L355" s="33"/>
      <c r="M355" s="33"/>
      <c r="S355" s="441"/>
      <c r="T355" s="441"/>
      <c r="U355" s="441"/>
      <c r="V355" s="441"/>
      <c r="W355" s="441"/>
      <c r="X355" s="441"/>
      <c r="Y355" s="442"/>
      <c r="Z355" s="443"/>
      <c r="AE355" s="33"/>
      <c r="AF355" s="33"/>
    </row>
    <row r="356" spans="6:32" ht="11.25" customHeight="1" x14ac:dyDescent="0.2">
      <c r="F356" s="155"/>
      <c r="G356" s="155"/>
      <c r="H356" s="33"/>
      <c r="L356" s="33"/>
      <c r="M356" s="33"/>
      <c r="S356" s="441"/>
      <c r="T356" s="441"/>
      <c r="U356" s="441"/>
      <c r="V356" s="441"/>
      <c r="W356" s="441"/>
      <c r="X356" s="441"/>
      <c r="Y356" s="442"/>
      <c r="Z356" s="443"/>
      <c r="AE356" s="33"/>
      <c r="AF356" s="33"/>
    </row>
    <row r="357" spans="6:32" ht="11.25" customHeight="1" x14ac:dyDescent="0.2">
      <c r="F357" s="155"/>
      <c r="G357" s="155"/>
      <c r="H357" s="33"/>
      <c r="L357" s="33"/>
      <c r="M357" s="33"/>
      <c r="S357" s="441"/>
      <c r="T357" s="441"/>
      <c r="U357" s="441"/>
      <c r="V357" s="441"/>
      <c r="W357" s="441"/>
      <c r="X357" s="441"/>
      <c r="Y357" s="442"/>
      <c r="Z357" s="443"/>
      <c r="AE357" s="33"/>
      <c r="AF357" s="33"/>
    </row>
    <row r="358" spans="6:32" ht="11.25" customHeight="1" x14ac:dyDescent="0.2">
      <c r="F358" s="155"/>
      <c r="G358" s="155"/>
      <c r="H358" s="33"/>
      <c r="L358" s="33"/>
      <c r="M358" s="33"/>
      <c r="S358" s="441"/>
      <c r="T358" s="441"/>
      <c r="U358" s="441"/>
      <c r="V358" s="441"/>
      <c r="W358" s="441"/>
      <c r="X358" s="441"/>
      <c r="Y358" s="442"/>
      <c r="Z358" s="443"/>
      <c r="AE358" s="33"/>
      <c r="AF358" s="33"/>
    </row>
    <row r="359" spans="6:32" ht="11.25" customHeight="1" x14ac:dyDescent="0.2">
      <c r="F359" s="155"/>
      <c r="G359" s="155"/>
      <c r="H359" s="33"/>
      <c r="L359" s="33"/>
      <c r="M359" s="33"/>
      <c r="S359" s="441"/>
      <c r="T359" s="441"/>
      <c r="U359" s="441"/>
      <c r="V359" s="441"/>
      <c r="W359" s="441"/>
      <c r="X359" s="441"/>
      <c r="Y359" s="442"/>
      <c r="Z359" s="443"/>
      <c r="AE359" s="33"/>
      <c r="AF359" s="33"/>
    </row>
    <row r="360" spans="6:32" ht="11.25" customHeight="1" x14ac:dyDescent="0.2">
      <c r="F360" s="155"/>
      <c r="G360" s="155"/>
      <c r="H360" s="33"/>
      <c r="L360" s="33"/>
      <c r="M360" s="33"/>
      <c r="S360" s="441"/>
      <c r="T360" s="441"/>
      <c r="U360" s="441"/>
      <c r="V360" s="441"/>
      <c r="W360" s="441"/>
      <c r="X360" s="441"/>
      <c r="Y360" s="442"/>
      <c r="Z360" s="443"/>
      <c r="AE360" s="33"/>
      <c r="AF360" s="33"/>
    </row>
    <row r="361" spans="6:32" ht="11.25" customHeight="1" x14ac:dyDescent="0.2">
      <c r="F361" s="155"/>
      <c r="G361" s="155"/>
      <c r="H361" s="33"/>
      <c r="L361" s="33"/>
      <c r="M361" s="33"/>
      <c r="S361" s="441"/>
      <c r="T361" s="441"/>
      <c r="U361" s="441"/>
      <c r="V361" s="441"/>
      <c r="W361" s="441"/>
      <c r="X361" s="441"/>
      <c r="Y361" s="442"/>
      <c r="Z361" s="443"/>
      <c r="AE361" s="33"/>
      <c r="AF361" s="33"/>
    </row>
    <row r="362" spans="6:32" ht="11.25" customHeight="1" x14ac:dyDescent="0.2">
      <c r="F362" s="155"/>
      <c r="G362" s="155"/>
      <c r="H362" s="33"/>
      <c r="L362" s="33"/>
      <c r="M362" s="33"/>
      <c r="S362" s="441"/>
      <c r="T362" s="441"/>
      <c r="U362" s="441"/>
      <c r="V362" s="441"/>
      <c r="W362" s="441"/>
      <c r="X362" s="441"/>
      <c r="Y362" s="442"/>
      <c r="Z362" s="443"/>
      <c r="AE362" s="33"/>
      <c r="AF362" s="33"/>
    </row>
    <row r="363" spans="6:32" ht="11.25" customHeight="1" x14ac:dyDescent="0.2">
      <c r="F363" s="155"/>
      <c r="G363" s="155"/>
      <c r="H363" s="33"/>
      <c r="L363" s="33"/>
      <c r="M363" s="33"/>
      <c r="S363" s="441"/>
      <c r="T363" s="441"/>
      <c r="U363" s="441"/>
      <c r="V363" s="441"/>
      <c r="W363" s="441"/>
      <c r="X363" s="441"/>
      <c r="Y363" s="442"/>
      <c r="Z363" s="443"/>
      <c r="AE363" s="33"/>
      <c r="AF363" s="33"/>
    </row>
    <row r="364" spans="6:32" ht="11.25" customHeight="1" x14ac:dyDescent="0.2">
      <c r="F364" s="155"/>
      <c r="G364" s="155"/>
      <c r="H364" s="33"/>
      <c r="L364" s="33"/>
      <c r="M364" s="33"/>
      <c r="S364" s="441"/>
      <c r="T364" s="441"/>
      <c r="U364" s="441"/>
      <c r="V364" s="441"/>
      <c r="W364" s="441"/>
      <c r="X364" s="441"/>
      <c r="Y364" s="442"/>
      <c r="Z364" s="443"/>
      <c r="AE364" s="33"/>
      <c r="AF364" s="33"/>
    </row>
    <row r="365" spans="6:32" ht="11.25" customHeight="1" x14ac:dyDescent="0.2">
      <c r="F365" s="155"/>
      <c r="G365" s="155"/>
      <c r="H365" s="33"/>
      <c r="L365" s="33"/>
      <c r="M365" s="33"/>
      <c r="S365" s="441"/>
      <c r="T365" s="441"/>
      <c r="U365" s="441"/>
      <c r="V365" s="441"/>
      <c r="W365" s="441"/>
      <c r="X365" s="441"/>
      <c r="Y365" s="442"/>
      <c r="Z365" s="443"/>
      <c r="AE365" s="33"/>
      <c r="AF365" s="33"/>
    </row>
    <row r="366" spans="6:32" ht="11.25" customHeight="1" x14ac:dyDescent="0.2">
      <c r="F366" s="155"/>
      <c r="G366" s="155"/>
      <c r="H366" s="33"/>
      <c r="L366" s="33"/>
      <c r="M366" s="33"/>
      <c r="S366" s="441"/>
      <c r="T366" s="441"/>
      <c r="U366" s="441"/>
      <c r="V366" s="441"/>
      <c r="W366" s="441"/>
      <c r="X366" s="441"/>
      <c r="Y366" s="442"/>
      <c r="Z366" s="443"/>
      <c r="AE366" s="33"/>
      <c r="AF366" s="33"/>
    </row>
    <row r="367" spans="6:32" ht="11.25" customHeight="1" x14ac:dyDescent="0.2">
      <c r="F367" s="155"/>
      <c r="G367" s="155"/>
      <c r="H367" s="33"/>
      <c r="L367" s="33"/>
      <c r="M367" s="33"/>
      <c r="S367" s="441"/>
      <c r="T367" s="441"/>
      <c r="U367" s="441"/>
      <c r="V367" s="441"/>
      <c r="W367" s="441"/>
      <c r="X367" s="441"/>
      <c r="Y367" s="442"/>
      <c r="Z367" s="443"/>
      <c r="AE367" s="33"/>
      <c r="AF367" s="33"/>
    </row>
    <row r="368" spans="6:32" ht="11.25" customHeight="1" x14ac:dyDescent="0.2">
      <c r="F368" s="155"/>
      <c r="G368" s="155"/>
      <c r="H368" s="33"/>
      <c r="L368" s="33"/>
      <c r="M368" s="33"/>
      <c r="S368" s="441"/>
      <c r="T368" s="441"/>
      <c r="U368" s="441"/>
      <c r="V368" s="441"/>
      <c r="W368" s="441"/>
      <c r="X368" s="441"/>
      <c r="Y368" s="442"/>
      <c r="Z368" s="443"/>
      <c r="AE368" s="33"/>
      <c r="AF368" s="33"/>
    </row>
    <row r="369" spans="6:32" ht="11.25" customHeight="1" x14ac:dyDescent="0.2">
      <c r="F369" s="155"/>
      <c r="G369" s="155"/>
      <c r="H369" s="33"/>
      <c r="L369" s="33"/>
      <c r="M369" s="33"/>
      <c r="S369" s="441"/>
      <c r="T369" s="441"/>
      <c r="U369" s="441"/>
      <c r="V369" s="441"/>
      <c r="W369" s="441"/>
      <c r="X369" s="441"/>
      <c r="Y369" s="442"/>
      <c r="Z369" s="443"/>
      <c r="AE369" s="33"/>
      <c r="AF369" s="33"/>
    </row>
    <row r="370" spans="6:32" ht="11.25" customHeight="1" x14ac:dyDescent="0.2">
      <c r="F370" s="155"/>
      <c r="G370" s="155"/>
      <c r="H370" s="33"/>
      <c r="L370" s="33"/>
      <c r="M370" s="33"/>
      <c r="S370" s="441"/>
      <c r="T370" s="441"/>
      <c r="U370" s="441"/>
      <c r="V370" s="441"/>
      <c r="W370" s="441"/>
      <c r="X370" s="441"/>
      <c r="Y370" s="442"/>
      <c r="Z370" s="443"/>
      <c r="AE370" s="33"/>
      <c r="AF370" s="33"/>
    </row>
    <row r="371" spans="6:32" ht="11.25" customHeight="1" x14ac:dyDescent="0.2">
      <c r="F371" s="155"/>
      <c r="G371" s="155"/>
      <c r="H371" s="33"/>
      <c r="L371" s="33"/>
      <c r="M371" s="33"/>
      <c r="S371" s="441"/>
      <c r="T371" s="441"/>
      <c r="U371" s="441"/>
      <c r="V371" s="441"/>
      <c r="W371" s="441"/>
      <c r="X371" s="441"/>
      <c r="Y371" s="442"/>
      <c r="Z371" s="443"/>
      <c r="AE371" s="33"/>
      <c r="AF371" s="33"/>
    </row>
    <row r="372" spans="6:32" ht="11.25" customHeight="1" x14ac:dyDescent="0.2">
      <c r="F372" s="155"/>
      <c r="G372" s="155"/>
      <c r="H372" s="33"/>
      <c r="L372" s="33"/>
      <c r="M372" s="33"/>
      <c r="S372" s="441"/>
      <c r="T372" s="441"/>
      <c r="U372" s="441"/>
      <c r="V372" s="441"/>
      <c r="W372" s="441"/>
      <c r="X372" s="441"/>
      <c r="Y372" s="442"/>
      <c r="Z372" s="443"/>
      <c r="AE372" s="33"/>
      <c r="AF372" s="33"/>
    </row>
    <row r="373" spans="6:32" ht="11.25" customHeight="1" x14ac:dyDescent="0.2">
      <c r="F373" s="155"/>
      <c r="G373" s="155"/>
      <c r="H373" s="33"/>
      <c r="L373" s="33"/>
      <c r="M373" s="33"/>
      <c r="S373" s="441"/>
      <c r="T373" s="441"/>
      <c r="U373" s="441"/>
      <c r="V373" s="441"/>
      <c r="W373" s="441"/>
      <c r="X373" s="441"/>
      <c r="Y373" s="442"/>
      <c r="Z373" s="443"/>
      <c r="AE373" s="33"/>
      <c r="AF373" s="33"/>
    </row>
    <row r="374" spans="6:32" ht="11.25" customHeight="1" x14ac:dyDescent="0.2">
      <c r="F374" s="155"/>
      <c r="G374" s="155"/>
      <c r="H374" s="33"/>
      <c r="L374" s="33"/>
      <c r="M374" s="33"/>
      <c r="S374" s="441"/>
      <c r="T374" s="441"/>
      <c r="U374" s="441"/>
      <c r="V374" s="441"/>
      <c r="W374" s="441"/>
      <c r="X374" s="441"/>
      <c r="Y374" s="442"/>
      <c r="Z374" s="443"/>
      <c r="AE374" s="33"/>
      <c r="AF374" s="33"/>
    </row>
    <row r="375" spans="6:32" ht="11.25" customHeight="1" x14ac:dyDescent="0.2">
      <c r="F375" s="155"/>
      <c r="G375" s="155"/>
      <c r="H375" s="33"/>
      <c r="L375" s="33"/>
      <c r="M375" s="33"/>
      <c r="S375" s="441"/>
      <c r="T375" s="441"/>
      <c r="U375" s="441"/>
      <c r="V375" s="441"/>
      <c r="W375" s="441"/>
      <c r="X375" s="441"/>
      <c r="Y375" s="442"/>
      <c r="Z375" s="443"/>
      <c r="AE375" s="33"/>
      <c r="AF375" s="33"/>
    </row>
    <row r="376" spans="6:32" ht="11.25" customHeight="1" x14ac:dyDescent="0.2">
      <c r="F376" s="155"/>
      <c r="G376" s="155"/>
      <c r="H376" s="33"/>
      <c r="L376" s="33"/>
      <c r="M376" s="33"/>
      <c r="S376" s="441"/>
      <c r="T376" s="441"/>
      <c r="U376" s="441"/>
      <c r="V376" s="441"/>
      <c r="W376" s="441"/>
      <c r="X376" s="441"/>
      <c r="Y376" s="442"/>
      <c r="Z376" s="443"/>
      <c r="AE376" s="33"/>
      <c r="AF376" s="33"/>
    </row>
    <row r="377" spans="6:32" ht="11.25" customHeight="1" x14ac:dyDescent="0.2">
      <c r="F377" s="155"/>
      <c r="G377" s="155"/>
      <c r="H377" s="33"/>
      <c r="L377" s="33"/>
      <c r="M377" s="33"/>
      <c r="S377" s="441"/>
      <c r="T377" s="441"/>
      <c r="U377" s="441"/>
      <c r="V377" s="441"/>
      <c r="W377" s="441"/>
      <c r="X377" s="441"/>
      <c r="Y377" s="442"/>
      <c r="Z377" s="443"/>
      <c r="AE377" s="33"/>
      <c r="AF377" s="33"/>
    </row>
    <row r="378" spans="6:32" ht="11.25" customHeight="1" x14ac:dyDescent="0.2">
      <c r="F378" s="155"/>
      <c r="G378" s="155"/>
      <c r="H378" s="33"/>
      <c r="L378" s="33"/>
      <c r="M378" s="33"/>
      <c r="S378" s="441"/>
      <c r="T378" s="441"/>
      <c r="U378" s="441"/>
      <c r="V378" s="441"/>
      <c r="W378" s="441"/>
      <c r="X378" s="441"/>
      <c r="Y378" s="442"/>
      <c r="Z378" s="443"/>
      <c r="AE378" s="33"/>
      <c r="AF378" s="33"/>
    </row>
    <row r="379" spans="6:32" ht="11.25" customHeight="1" x14ac:dyDescent="0.2">
      <c r="F379" s="155"/>
      <c r="G379" s="155"/>
      <c r="H379" s="33"/>
      <c r="L379" s="33"/>
      <c r="M379" s="33"/>
      <c r="S379" s="441"/>
      <c r="T379" s="441"/>
      <c r="U379" s="441"/>
      <c r="V379" s="441"/>
      <c r="W379" s="441"/>
      <c r="X379" s="441"/>
      <c r="Y379" s="442"/>
      <c r="Z379" s="443"/>
      <c r="AE379" s="33"/>
      <c r="AF379" s="33"/>
    </row>
    <row r="380" spans="6:32" ht="11.25" customHeight="1" x14ac:dyDescent="0.2">
      <c r="F380" s="155"/>
      <c r="G380" s="155"/>
      <c r="H380" s="33"/>
      <c r="L380" s="33"/>
      <c r="M380" s="33"/>
      <c r="S380" s="441"/>
      <c r="T380" s="441"/>
      <c r="U380" s="441"/>
      <c r="V380" s="441"/>
      <c r="W380" s="441"/>
      <c r="X380" s="441"/>
      <c r="Y380" s="442"/>
      <c r="Z380" s="443"/>
      <c r="AE380" s="33"/>
      <c r="AF380" s="33"/>
    </row>
    <row r="381" spans="6:32" ht="11.25" customHeight="1" x14ac:dyDescent="0.2">
      <c r="F381" s="155"/>
      <c r="G381" s="155"/>
      <c r="H381" s="33"/>
      <c r="L381" s="33"/>
      <c r="M381" s="33"/>
      <c r="S381" s="441"/>
      <c r="T381" s="441"/>
      <c r="U381" s="441"/>
      <c r="V381" s="441"/>
      <c r="W381" s="441"/>
      <c r="X381" s="441"/>
      <c r="Y381" s="442"/>
      <c r="Z381" s="443"/>
      <c r="AE381" s="33"/>
      <c r="AF381" s="33"/>
    </row>
    <row r="382" spans="6:32" ht="11.25" customHeight="1" x14ac:dyDescent="0.2">
      <c r="F382" s="155"/>
      <c r="G382" s="155"/>
      <c r="H382" s="33"/>
      <c r="L382" s="33"/>
      <c r="M382" s="33"/>
      <c r="S382" s="441"/>
      <c r="T382" s="441"/>
      <c r="U382" s="441"/>
      <c r="V382" s="441"/>
      <c r="W382" s="441"/>
      <c r="X382" s="441"/>
      <c r="Y382" s="442"/>
      <c r="Z382" s="443"/>
      <c r="AE382" s="33"/>
      <c r="AF382" s="33"/>
    </row>
    <row r="383" spans="6:32" ht="11.25" customHeight="1" x14ac:dyDescent="0.2">
      <c r="F383" s="155"/>
      <c r="G383" s="155"/>
      <c r="H383" s="33"/>
      <c r="L383" s="33"/>
      <c r="M383" s="33"/>
      <c r="S383" s="441"/>
      <c r="T383" s="441"/>
      <c r="U383" s="441"/>
      <c r="V383" s="441"/>
      <c r="W383" s="441"/>
      <c r="X383" s="441"/>
      <c r="Y383" s="442"/>
      <c r="Z383" s="443"/>
      <c r="AE383" s="33"/>
      <c r="AF383" s="33"/>
    </row>
    <row r="384" spans="6:32" ht="11.25" customHeight="1" x14ac:dyDescent="0.2">
      <c r="F384" s="155"/>
      <c r="G384" s="155"/>
      <c r="H384" s="33"/>
      <c r="L384" s="33"/>
      <c r="M384" s="33"/>
      <c r="S384" s="441"/>
      <c r="T384" s="441"/>
      <c r="U384" s="441"/>
      <c r="V384" s="441"/>
      <c r="W384" s="441"/>
      <c r="X384" s="441"/>
      <c r="Y384" s="442"/>
      <c r="Z384" s="443"/>
      <c r="AE384" s="33"/>
      <c r="AF384" s="33"/>
    </row>
    <row r="385" spans="6:32" ht="11.25" customHeight="1" x14ac:dyDescent="0.2">
      <c r="F385" s="155"/>
      <c r="G385" s="155"/>
      <c r="H385" s="33"/>
      <c r="L385" s="33"/>
      <c r="M385" s="33"/>
      <c r="S385" s="441"/>
      <c r="T385" s="441"/>
      <c r="U385" s="441"/>
      <c r="V385" s="441"/>
      <c r="W385" s="441"/>
      <c r="X385" s="441"/>
      <c r="Y385" s="442"/>
      <c r="Z385" s="443"/>
      <c r="AE385" s="33"/>
      <c r="AF385" s="33"/>
    </row>
    <row r="386" spans="6:32" ht="11.25" customHeight="1" x14ac:dyDescent="0.2">
      <c r="F386" s="155"/>
      <c r="G386" s="155"/>
      <c r="H386" s="33"/>
      <c r="L386" s="33"/>
      <c r="M386" s="33"/>
      <c r="S386" s="441"/>
      <c r="T386" s="441"/>
      <c r="U386" s="441"/>
      <c r="V386" s="441"/>
      <c r="W386" s="441"/>
      <c r="X386" s="441"/>
      <c r="Y386" s="442"/>
      <c r="Z386" s="443"/>
      <c r="AE386" s="33"/>
      <c r="AF386" s="33"/>
    </row>
    <row r="387" spans="6:32" ht="11.25" customHeight="1" x14ac:dyDescent="0.2">
      <c r="F387" s="155"/>
      <c r="G387" s="155"/>
      <c r="H387" s="33"/>
      <c r="L387" s="33"/>
      <c r="M387" s="33"/>
      <c r="S387" s="441"/>
      <c r="T387" s="441"/>
      <c r="U387" s="441"/>
      <c r="V387" s="441"/>
      <c r="W387" s="441"/>
      <c r="X387" s="441"/>
      <c r="Y387" s="442"/>
      <c r="Z387" s="443"/>
      <c r="AE387" s="33"/>
      <c r="AF387" s="33"/>
    </row>
    <row r="388" spans="6:32" ht="11.25" customHeight="1" x14ac:dyDescent="0.2">
      <c r="F388" s="155"/>
      <c r="G388" s="155"/>
      <c r="H388" s="33"/>
      <c r="L388" s="33"/>
      <c r="M388" s="33"/>
      <c r="S388" s="441"/>
      <c r="T388" s="441"/>
      <c r="U388" s="441"/>
      <c r="V388" s="441"/>
      <c r="W388" s="441"/>
      <c r="X388" s="441"/>
      <c r="Y388" s="442"/>
      <c r="Z388" s="443"/>
      <c r="AE388" s="33"/>
      <c r="AF388" s="33"/>
    </row>
    <row r="389" spans="6:32" ht="11.25" customHeight="1" x14ac:dyDescent="0.2">
      <c r="F389" s="155"/>
      <c r="G389" s="155"/>
      <c r="H389" s="33"/>
      <c r="L389" s="33"/>
      <c r="M389" s="33"/>
      <c r="S389" s="441"/>
      <c r="T389" s="441"/>
      <c r="U389" s="441"/>
      <c r="V389" s="441"/>
      <c r="W389" s="441"/>
      <c r="X389" s="441"/>
      <c r="Y389" s="442"/>
      <c r="Z389" s="443"/>
      <c r="AE389" s="33"/>
      <c r="AF389" s="33"/>
    </row>
    <row r="390" spans="6:32" ht="11.25" customHeight="1" x14ac:dyDescent="0.2">
      <c r="F390" s="155"/>
      <c r="G390" s="155"/>
      <c r="H390" s="33"/>
      <c r="L390" s="33"/>
      <c r="M390" s="33"/>
      <c r="S390" s="441"/>
      <c r="T390" s="441"/>
      <c r="U390" s="441"/>
      <c r="V390" s="441"/>
      <c r="W390" s="441"/>
      <c r="X390" s="441"/>
      <c r="Y390" s="442"/>
      <c r="Z390" s="443"/>
      <c r="AE390" s="33"/>
      <c r="AF390" s="33"/>
    </row>
    <row r="391" spans="6:32" ht="11.25" customHeight="1" x14ac:dyDescent="0.2">
      <c r="F391" s="155"/>
      <c r="G391" s="155"/>
      <c r="H391" s="33"/>
      <c r="L391" s="33"/>
      <c r="M391" s="33"/>
      <c r="S391" s="441"/>
      <c r="T391" s="441"/>
      <c r="U391" s="441"/>
      <c r="V391" s="441"/>
      <c r="W391" s="441"/>
      <c r="X391" s="441"/>
      <c r="Y391" s="442"/>
      <c r="Z391" s="443"/>
      <c r="AE391" s="33"/>
      <c r="AF391" s="33"/>
    </row>
    <row r="392" spans="6:32" ht="11.25" customHeight="1" x14ac:dyDescent="0.2">
      <c r="F392" s="155"/>
      <c r="G392" s="155"/>
      <c r="H392" s="33"/>
      <c r="L392" s="33"/>
      <c r="M392" s="33"/>
      <c r="S392" s="441"/>
      <c r="T392" s="441"/>
      <c r="U392" s="441"/>
      <c r="V392" s="441"/>
      <c r="W392" s="441"/>
      <c r="X392" s="441"/>
      <c r="Y392" s="442"/>
      <c r="Z392" s="443"/>
      <c r="AE392" s="33"/>
      <c r="AF392" s="33"/>
    </row>
    <row r="393" spans="6:32" ht="11.25" customHeight="1" x14ac:dyDescent="0.2">
      <c r="F393" s="155"/>
      <c r="G393" s="155"/>
      <c r="H393" s="33"/>
      <c r="L393" s="33"/>
      <c r="M393" s="33"/>
      <c r="S393" s="441"/>
      <c r="T393" s="441"/>
      <c r="U393" s="441"/>
      <c r="V393" s="441"/>
      <c r="W393" s="441"/>
      <c r="X393" s="441"/>
      <c r="Y393" s="442"/>
      <c r="Z393" s="443"/>
      <c r="AE393" s="33"/>
      <c r="AF393" s="33"/>
    </row>
    <row r="394" spans="6:32" ht="11.25" customHeight="1" x14ac:dyDescent="0.2">
      <c r="F394" s="155"/>
      <c r="G394" s="155"/>
      <c r="H394" s="33"/>
      <c r="L394" s="33"/>
      <c r="M394" s="33"/>
      <c r="S394" s="441"/>
      <c r="T394" s="441"/>
      <c r="U394" s="441"/>
      <c r="V394" s="441"/>
      <c r="W394" s="441"/>
      <c r="X394" s="441"/>
      <c r="Y394" s="442"/>
      <c r="Z394" s="443"/>
      <c r="AE394" s="33"/>
      <c r="AF394" s="33"/>
    </row>
    <row r="395" spans="6:32" ht="11.25" customHeight="1" x14ac:dyDescent="0.2">
      <c r="F395" s="155"/>
      <c r="G395" s="155"/>
      <c r="H395" s="33"/>
      <c r="L395" s="33"/>
      <c r="M395" s="33"/>
      <c r="S395" s="441"/>
      <c r="T395" s="441"/>
      <c r="U395" s="441"/>
      <c r="V395" s="441"/>
      <c r="W395" s="441"/>
      <c r="X395" s="441"/>
      <c r="Y395" s="442"/>
      <c r="Z395" s="443"/>
      <c r="AE395" s="33"/>
      <c r="AF395" s="33"/>
    </row>
    <row r="396" spans="6:32" ht="11.25" customHeight="1" x14ac:dyDescent="0.2">
      <c r="F396" s="155"/>
      <c r="G396" s="155"/>
      <c r="H396" s="33"/>
      <c r="L396" s="33"/>
      <c r="M396" s="33"/>
      <c r="S396" s="441"/>
      <c r="T396" s="441"/>
      <c r="U396" s="441"/>
      <c r="V396" s="441"/>
      <c r="W396" s="441"/>
      <c r="X396" s="441"/>
      <c r="Y396" s="442"/>
      <c r="Z396" s="443"/>
      <c r="AE396" s="33"/>
      <c r="AF396" s="33"/>
    </row>
    <row r="397" spans="6:32" ht="11.25" customHeight="1" x14ac:dyDescent="0.2">
      <c r="F397" s="155"/>
      <c r="G397" s="155"/>
      <c r="H397" s="33"/>
      <c r="L397" s="33"/>
      <c r="M397" s="33"/>
      <c r="S397" s="441"/>
      <c r="T397" s="441"/>
      <c r="U397" s="441"/>
      <c r="V397" s="441"/>
      <c r="W397" s="441"/>
      <c r="X397" s="441"/>
      <c r="Y397" s="442"/>
      <c r="Z397" s="443"/>
      <c r="AE397" s="33"/>
      <c r="AF397" s="33"/>
    </row>
    <row r="398" spans="6:32" ht="11.25" customHeight="1" x14ac:dyDescent="0.2">
      <c r="F398" s="155"/>
      <c r="G398" s="155"/>
      <c r="H398" s="33"/>
      <c r="L398" s="33"/>
      <c r="M398" s="33"/>
      <c r="S398" s="441"/>
      <c r="T398" s="441"/>
      <c r="U398" s="441"/>
      <c r="V398" s="441"/>
      <c r="W398" s="441"/>
      <c r="X398" s="441"/>
      <c r="Y398" s="442"/>
      <c r="Z398" s="443"/>
      <c r="AE398" s="33"/>
      <c r="AF398" s="33"/>
    </row>
    <row r="399" spans="6:32" ht="11.25" customHeight="1" x14ac:dyDescent="0.2">
      <c r="F399" s="155"/>
      <c r="G399" s="155"/>
      <c r="H399" s="33"/>
      <c r="L399" s="33"/>
      <c r="M399" s="33"/>
      <c r="S399" s="441"/>
      <c r="T399" s="441"/>
      <c r="U399" s="441"/>
      <c r="V399" s="441"/>
      <c r="W399" s="441"/>
      <c r="X399" s="441"/>
      <c r="Y399" s="442"/>
      <c r="Z399" s="443"/>
      <c r="AE399" s="33"/>
      <c r="AF399" s="33"/>
    </row>
    <row r="400" spans="6:32" ht="11.25" customHeight="1" x14ac:dyDescent="0.2">
      <c r="F400" s="155"/>
      <c r="G400" s="155"/>
      <c r="H400" s="33"/>
      <c r="L400" s="33"/>
      <c r="M400" s="33"/>
      <c r="S400" s="441"/>
      <c r="T400" s="441"/>
      <c r="U400" s="441"/>
      <c r="V400" s="441"/>
      <c r="W400" s="441"/>
      <c r="X400" s="441"/>
      <c r="Y400" s="442"/>
      <c r="Z400" s="443"/>
      <c r="AE400" s="33"/>
      <c r="AF400" s="33"/>
    </row>
    <row r="401" spans="6:32" ht="11.25" customHeight="1" x14ac:dyDescent="0.2">
      <c r="F401" s="155"/>
      <c r="G401" s="155"/>
      <c r="H401" s="33"/>
      <c r="L401" s="33"/>
      <c r="M401" s="33"/>
      <c r="S401" s="441"/>
      <c r="T401" s="441"/>
      <c r="U401" s="441"/>
      <c r="V401" s="441"/>
      <c r="W401" s="441"/>
      <c r="X401" s="441"/>
      <c r="Y401" s="442"/>
      <c r="Z401" s="443"/>
      <c r="AE401" s="33"/>
      <c r="AF401" s="33"/>
    </row>
    <row r="402" spans="6:32" ht="11.25" customHeight="1" x14ac:dyDescent="0.2">
      <c r="F402" s="155"/>
      <c r="G402" s="155"/>
      <c r="H402" s="33"/>
      <c r="L402" s="33"/>
      <c r="M402" s="33"/>
      <c r="S402" s="441"/>
      <c r="T402" s="441"/>
      <c r="U402" s="441"/>
      <c r="V402" s="441"/>
      <c r="W402" s="441"/>
      <c r="X402" s="441"/>
      <c r="Y402" s="442"/>
      <c r="Z402" s="443"/>
      <c r="AE402" s="33"/>
      <c r="AF402" s="33"/>
    </row>
    <row r="403" spans="6:32" ht="11.25" customHeight="1" x14ac:dyDescent="0.2">
      <c r="F403" s="155"/>
      <c r="G403" s="155"/>
      <c r="H403" s="33"/>
      <c r="L403" s="33"/>
      <c r="M403" s="33"/>
      <c r="S403" s="441"/>
      <c r="T403" s="441"/>
      <c r="U403" s="441"/>
      <c r="V403" s="441"/>
      <c r="W403" s="441"/>
      <c r="X403" s="441"/>
      <c r="Y403" s="442"/>
      <c r="Z403" s="443"/>
      <c r="AE403" s="33"/>
      <c r="AF403" s="33"/>
    </row>
    <row r="404" spans="6:32" ht="11.25" customHeight="1" x14ac:dyDescent="0.2">
      <c r="F404" s="155"/>
      <c r="G404" s="155"/>
      <c r="H404" s="33"/>
      <c r="L404" s="33"/>
      <c r="M404" s="33"/>
      <c r="S404" s="441"/>
      <c r="T404" s="441"/>
      <c r="U404" s="441"/>
      <c r="V404" s="441"/>
      <c r="W404" s="441"/>
      <c r="X404" s="441"/>
      <c r="Y404" s="442"/>
      <c r="Z404" s="443"/>
      <c r="AE404" s="33"/>
      <c r="AF404" s="33"/>
    </row>
    <row r="405" spans="6:32" ht="11.25" customHeight="1" x14ac:dyDescent="0.2">
      <c r="F405" s="155"/>
      <c r="G405" s="155"/>
      <c r="H405" s="33"/>
      <c r="L405" s="33"/>
      <c r="M405" s="33"/>
      <c r="S405" s="441"/>
      <c r="T405" s="441"/>
      <c r="U405" s="441"/>
      <c r="V405" s="441"/>
      <c r="W405" s="441"/>
      <c r="X405" s="441"/>
      <c r="Y405" s="442"/>
      <c r="Z405" s="443"/>
      <c r="AE405" s="33"/>
      <c r="AF405" s="33"/>
    </row>
    <row r="406" spans="6:32" ht="11.25" customHeight="1" x14ac:dyDescent="0.2">
      <c r="F406" s="155"/>
      <c r="G406" s="155"/>
      <c r="H406" s="33"/>
      <c r="L406" s="33"/>
      <c r="M406" s="33"/>
      <c r="S406" s="441"/>
      <c r="T406" s="441"/>
      <c r="U406" s="441"/>
      <c r="V406" s="441"/>
      <c r="W406" s="441"/>
      <c r="X406" s="441"/>
      <c r="Y406" s="442"/>
      <c r="Z406" s="443"/>
      <c r="AE406" s="33"/>
      <c r="AF406" s="33"/>
    </row>
    <row r="407" spans="6:32" ht="11.25" customHeight="1" x14ac:dyDescent="0.2">
      <c r="F407" s="155"/>
      <c r="G407" s="155"/>
      <c r="H407" s="33"/>
      <c r="L407" s="33"/>
      <c r="M407" s="33"/>
      <c r="S407" s="441"/>
      <c r="T407" s="441"/>
      <c r="U407" s="441"/>
      <c r="V407" s="441"/>
      <c r="W407" s="441"/>
      <c r="X407" s="441"/>
      <c r="Y407" s="442"/>
      <c r="Z407" s="443"/>
      <c r="AE407" s="33"/>
      <c r="AF407" s="33"/>
    </row>
    <row r="408" spans="6:32" ht="11.25" customHeight="1" x14ac:dyDescent="0.2">
      <c r="F408" s="155"/>
      <c r="G408" s="155"/>
      <c r="H408" s="33"/>
      <c r="L408" s="33"/>
      <c r="M408" s="33"/>
      <c r="S408" s="441"/>
      <c r="T408" s="441"/>
      <c r="U408" s="441"/>
      <c r="V408" s="441"/>
      <c r="W408" s="441"/>
      <c r="X408" s="441"/>
      <c r="Y408" s="442"/>
      <c r="Z408" s="443"/>
      <c r="AE408" s="33"/>
      <c r="AF408" s="33"/>
    </row>
    <row r="409" spans="6:32" ht="11.25" customHeight="1" x14ac:dyDescent="0.2">
      <c r="F409" s="155"/>
      <c r="G409" s="155"/>
      <c r="H409" s="33"/>
      <c r="L409" s="33"/>
      <c r="M409" s="33"/>
      <c r="S409" s="441"/>
      <c r="T409" s="441"/>
      <c r="U409" s="441"/>
      <c r="V409" s="441"/>
      <c r="W409" s="441"/>
      <c r="X409" s="441"/>
      <c r="Y409" s="442"/>
      <c r="Z409" s="443"/>
      <c r="AE409" s="33"/>
      <c r="AF409" s="33"/>
    </row>
    <row r="410" spans="6:32" ht="11.25" customHeight="1" x14ac:dyDescent="0.2">
      <c r="F410" s="155"/>
      <c r="G410" s="155"/>
      <c r="H410" s="33"/>
      <c r="L410" s="33"/>
      <c r="M410" s="33"/>
      <c r="S410" s="441"/>
      <c r="T410" s="441"/>
      <c r="U410" s="441"/>
      <c r="V410" s="441"/>
      <c r="W410" s="441"/>
      <c r="X410" s="441"/>
      <c r="Y410" s="442"/>
      <c r="Z410" s="443"/>
      <c r="AE410" s="33"/>
      <c r="AF410" s="33"/>
    </row>
    <row r="411" spans="6:32" ht="11.25" customHeight="1" x14ac:dyDescent="0.2">
      <c r="F411" s="155"/>
      <c r="G411" s="155"/>
      <c r="H411" s="33"/>
      <c r="L411" s="33"/>
      <c r="M411" s="33"/>
      <c r="S411" s="441"/>
      <c r="T411" s="441"/>
      <c r="U411" s="441"/>
      <c r="V411" s="441"/>
      <c r="W411" s="441"/>
      <c r="X411" s="441"/>
      <c r="Y411" s="442"/>
      <c r="Z411" s="443"/>
      <c r="AE411" s="33"/>
      <c r="AF411" s="33"/>
    </row>
    <row r="412" spans="6:32" ht="11.25" customHeight="1" x14ac:dyDescent="0.2">
      <c r="F412" s="155"/>
      <c r="G412" s="155"/>
      <c r="H412" s="33"/>
      <c r="L412" s="33"/>
      <c r="M412" s="33"/>
      <c r="S412" s="441"/>
      <c r="T412" s="441"/>
      <c r="U412" s="441"/>
      <c r="V412" s="441"/>
      <c r="W412" s="441"/>
      <c r="X412" s="441"/>
      <c r="Y412" s="442"/>
      <c r="Z412" s="443"/>
      <c r="AE412" s="33"/>
      <c r="AF412" s="33"/>
    </row>
    <row r="413" spans="6:32" ht="11.25" customHeight="1" x14ac:dyDescent="0.2">
      <c r="F413" s="155"/>
      <c r="G413" s="155"/>
      <c r="H413" s="33"/>
      <c r="L413" s="33"/>
      <c r="M413" s="33"/>
      <c r="S413" s="441"/>
      <c r="T413" s="441"/>
      <c r="U413" s="441"/>
      <c r="V413" s="441"/>
      <c r="W413" s="441"/>
      <c r="X413" s="441"/>
      <c r="Y413" s="442"/>
      <c r="Z413" s="443"/>
      <c r="AE413" s="33"/>
      <c r="AF413" s="33"/>
    </row>
    <row r="414" spans="6:32" ht="11.25" customHeight="1" x14ac:dyDescent="0.2">
      <c r="F414" s="155"/>
      <c r="G414" s="155"/>
      <c r="H414" s="33"/>
      <c r="L414" s="33"/>
      <c r="M414" s="33"/>
      <c r="S414" s="441"/>
      <c r="T414" s="441"/>
      <c r="U414" s="441"/>
      <c r="V414" s="441"/>
      <c r="W414" s="441"/>
      <c r="X414" s="441"/>
      <c r="Y414" s="442"/>
      <c r="Z414" s="443"/>
      <c r="AE414" s="33"/>
      <c r="AF414" s="33"/>
    </row>
    <row r="415" spans="6:32" ht="11.25" customHeight="1" x14ac:dyDescent="0.2">
      <c r="F415" s="155"/>
      <c r="G415" s="155"/>
      <c r="H415" s="33"/>
      <c r="L415" s="33"/>
      <c r="M415" s="33"/>
      <c r="S415" s="441"/>
      <c r="T415" s="441"/>
      <c r="U415" s="441"/>
      <c r="V415" s="441"/>
      <c r="W415" s="441"/>
      <c r="X415" s="441"/>
      <c r="Y415" s="442"/>
      <c r="Z415" s="443"/>
      <c r="AE415" s="33"/>
      <c r="AF415" s="33"/>
    </row>
    <row r="416" spans="6:32" ht="11.25" customHeight="1" x14ac:dyDescent="0.2">
      <c r="F416" s="155"/>
      <c r="G416" s="155"/>
      <c r="H416" s="33"/>
      <c r="L416" s="33"/>
      <c r="M416" s="33"/>
      <c r="S416" s="441"/>
      <c r="T416" s="441"/>
      <c r="U416" s="441"/>
      <c r="V416" s="441"/>
      <c r="W416" s="441"/>
      <c r="X416" s="441"/>
      <c r="Y416" s="442"/>
      <c r="Z416" s="443"/>
      <c r="AE416" s="33"/>
      <c r="AF416" s="33"/>
    </row>
    <row r="417" spans="6:32" ht="11.25" customHeight="1" x14ac:dyDescent="0.2">
      <c r="F417" s="155"/>
      <c r="G417" s="155"/>
      <c r="H417" s="33"/>
      <c r="L417" s="33"/>
      <c r="M417" s="33"/>
      <c r="S417" s="441"/>
      <c r="T417" s="441"/>
      <c r="U417" s="441"/>
      <c r="V417" s="441"/>
      <c r="W417" s="441"/>
      <c r="X417" s="441"/>
      <c r="Y417" s="442"/>
      <c r="Z417" s="443"/>
      <c r="AE417" s="33"/>
      <c r="AF417" s="33"/>
    </row>
    <row r="418" spans="6:32" ht="11.25" customHeight="1" x14ac:dyDescent="0.2">
      <c r="F418" s="155"/>
      <c r="G418" s="155"/>
      <c r="H418" s="33"/>
      <c r="L418" s="33"/>
      <c r="M418" s="33"/>
      <c r="S418" s="441"/>
      <c r="T418" s="441"/>
      <c r="U418" s="441"/>
      <c r="V418" s="441"/>
      <c r="W418" s="441"/>
      <c r="X418" s="441"/>
      <c r="Y418" s="442"/>
      <c r="Z418" s="443"/>
      <c r="AE418" s="33"/>
      <c r="AF418" s="33"/>
    </row>
    <row r="419" spans="6:32" ht="11.25" customHeight="1" x14ac:dyDescent="0.2">
      <c r="F419" s="155"/>
      <c r="G419" s="155"/>
      <c r="H419" s="33"/>
      <c r="L419" s="33"/>
      <c r="M419" s="33"/>
      <c r="S419" s="441"/>
      <c r="T419" s="441"/>
      <c r="U419" s="441"/>
      <c r="V419" s="441"/>
      <c r="W419" s="441"/>
      <c r="X419" s="441"/>
      <c r="Y419" s="442"/>
      <c r="Z419" s="443"/>
      <c r="AE419" s="33"/>
      <c r="AF419" s="33"/>
    </row>
    <row r="420" spans="6:32" ht="11.25" customHeight="1" x14ac:dyDescent="0.2">
      <c r="F420" s="155"/>
      <c r="G420" s="155"/>
      <c r="H420" s="33"/>
      <c r="L420" s="33"/>
      <c r="M420" s="33"/>
      <c r="S420" s="441"/>
      <c r="T420" s="441"/>
      <c r="U420" s="441"/>
      <c r="V420" s="441"/>
      <c r="W420" s="441"/>
      <c r="X420" s="441"/>
      <c r="Y420" s="442"/>
      <c r="Z420" s="443"/>
      <c r="AE420" s="33"/>
      <c r="AF420" s="33"/>
    </row>
    <row r="421" spans="6:32" ht="11.25" customHeight="1" x14ac:dyDescent="0.2">
      <c r="F421" s="155"/>
      <c r="G421" s="155"/>
      <c r="H421" s="33"/>
      <c r="L421" s="33"/>
      <c r="M421" s="33"/>
      <c r="S421" s="441"/>
      <c r="T421" s="441"/>
      <c r="U421" s="441"/>
      <c r="V421" s="441"/>
      <c r="W421" s="441"/>
      <c r="X421" s="441"/>
      <c r="Y421" s="442"/>
      <c r="Z421" s="443"/>
      <c r="AE421" s="33"/>
      <c r="AF421" s="33"/>
    </row>
    <row r="422" spans="6:32" ht="11.25" customHeight="1" x14ac:dyDescent="0.2">
      <c r="F422" s="155"/>
      <c r="G422" s="155"/>
      <c r="H422" s="33"/>
      <c r="L422" s="33"/>
      <c r="M422" s="33"/>
      <c r="S422" s="441"/>
      <c r="T422" s="441"/>
      <c r="U422" s="441"/>
      <c r="V422" s="441"/>
      <c r="W422" s="441"/>
      <c r="X422" s="441"/>
      <c r="Y422" s="442"/>
      <c r="Z422" s="443"/>
      <c r="AE422" s="33"/>
      <c r="AF422" s="33"/>
    </row>
    <row r="423" spans="6:32" ht="11.25" customHeight="1" x14ac:dyDescent="0.2">
      <c r="F423" s="155"/>
      <c r="G423" s="155"/>
      <c r="H423" s="33"/>
      <c r="L423" s="33"/>
      <c r="M423" s="33"/>
      <c r="S423" s="441"/>
      <c r="T423" s="441"/>
      <c r="U423" s="441"/>
      <c r="V423" s="441"/>
      <c r="W423" s="441"/>
      <c r="X423" s="441"/>
      <c r="Y423" s="442"/>
      <c r="Z423" s="443"/>
      <c r="AE423" s="33"/>
      <c r="AF423" s="33"/>
    </row>
    <row r="424" spans="6:32" ht="11.25" customHeight="1" x14ac:dyDescent="0.2">
      <c r="F424" s="155"/>
      <c r="G424" s="155"/>
      <c r="H424" s="33"/>
      <c r="L424" s="33"/>
      <c r="M424" s="33"/>
      <c r="S424" s="441"/>
      <c r="T424" s="441"/>
      <c r="U424" s="441"/>
      <c r="V424" s="441"/>
      <c r="W424" s="441"/>
      <c r="X424" s="441"/>
      <c r="Y424" s="442"/>
      <c r="Z424" s="443"/>
      <c r="AE424" s="33"/>
      <c r="AF424" s="33"/>
    </row>
    <row r="425" spans="6:32" ht="11.25" customHeight="1" x14ac:dyDescent="0.2">
      <c r="F425" s="155"/>
      <c r="G425" s="155"/>
      <c r="H425" s="33"/>
      <c r="L425" s="33"/>
      <c r="M425" s="33"/>
      <c r="S425" s="441"/>
      <c r="T425" s="441"/>
      <c r="U425" s="441"/>
      <c r="V425" s="441"/>
      <c r="W425" s="441"/>
      <c r="X425" s="441"/>
      <c r="Y425" s="442"/>
      <c r="Z425" s="443"/>
      <c r="AE425" s="33"/>
      <c r="AF425" s="33"/>
    </row>
    <row r="426" spans="6:32" ht="11.25" customHeight="1" x14ac:dyDescent="0.2">
      <c r="F426" s="155"/>
      <c r="G426" s="155"/>
      <c r="H426" s="33"/>
      <c r="L426" s="33"/>
      <c r="M426" s="33"/>
      <c r="S426" s="441"/>
      <c r="T426" s="441"/>
      <c r="U426" s="441"/>
      <c r="V426" s="441"/>
      <c r="W426" s="441"/>
      <c r="X426" s="441"/>
      <c r="Y426" s="442"/>
      <c r="Z426" s="443"/>
      <c r="AE426" s="33"/>
      <c r="AF426" s="33"/>
    </row>
    <row r="427" spans="6:32" ht="11.25" customHeight="1" x14ac:dyDescent="0.2">
      <c r="F427" s="155"/>
      <c r="G427" s="155"/>
      <c r="H427" s="33"/>
      <c r="L427" s="33"/>
      <c r="M427" s="33"/>
      <c r="S427" s="441"/>
      <c r="T427" s="441"/>
      <c r="U427" s="441"/>
      <c r="V427" s="441"/>
      <c r="W427" s="441"/>
      <c r="X427" s="441"/>
      <c r="Y427" s="442"/>
      <c r="Z427" s="443"/>
      <c r="AE427" s="33"/>
      <c r="AF427" s="33"/>
    </row>
    <row r="428" spans="6:32" ht="11.25" customHeight="1" x14ac:dyDescent="0.2">
      <c r="F428" s="155"/>
      <c r="G428" s="155"/>
      <c r="H428" s="33"/>
      <c r="L428" s="33"/>
      <c r="M428" s="33"/>
      <c r="S428" s="441"/>
      <c r="T428" s="441"/>
      <c r="U428" s="441"/>
      <c r="V428" s="441"/>
      <c r="W428" s="441"/>
      <c r="X428" s="441"/>
      <c r="Y428" s="442"/>
      <c r="Z428" s="443"/>
      <c r="AE428" s="33"/>
      <c r="AF428" s="33"/>
    </row>
    <row r="429" spans="6:32" ht="11.25" customHeight="1" x14ac:dyDescent="0.2">
      <c r="F429" s="155"/>
      <c r="G429" s="155"/>
      <c r="H429" s="33"/>
      <c r="L429" s="33"/>
      <c r="M429" s="33"/>
      <c r="S429" s="441"/>
      <c r="T429" s="441"/>
      <c r="U429" s="441"/>
      <c r="V429" s="441"/>
      <c r="W429" s="441"/>
      <c r="X429" s="441"/>
      <c r="Y429" s="442"/>
      <c r="Z429" s="443"/>
      <c r="AE429" s="33"/>
      <c r="AF429" s="33"/>
    </row>
    <row r="430" spans="6:32" ht="11.25" customHeight="1" x14ac:dyDescent="0.2">
      <c r="F430" s="155"/>
      <c r="G430" s="155"/>
      <c r="H430" s="33"/>
      <c r="L430" s="33"/>
      <c r="M430" s="33"/>
      <c r="S430" s="441"/>
      <c r="T430" s="441"/>
      <c r="U430" s="441"/>
      <c r="V430" s="441"/>
      <c r="W430" s="441"/>
      <c r="X430" s="441"/>
      <c r="Y430" s="442"/>
      <c r="Z430" s="443"/>
      <c r="AE430" s="33"/>
      <c r="AF430" s="33"/>
    </row>
    <row r="431" spans="6:32" ht="11.25" customHeight="1" x14ac:dyDescent="0.2">
      <c r="F431" s="155"/>
      <c r="G431" s="155"/>
      <c r="H431" s="33"/>
      <c r="L431" s="33"/>
      <c r="M431" s="33"/>
      <c r="S431" s="441"/>
      <c r="T431" s="441"/>
      <c r="U431" s="441"/>
      <c r="V431" s="441"/>
      <c r="W431" s="441"/>
      <c r="X431" s="441"/>
      <c r="Y431" s="442"/>
      <c r="Z431" s="443"/>
      <c r="AE431" s="33"/>
      <c r="AF431" s="33"/>
    </row>
    <row r="432" spans="6:32" ht="11.25" customHeight="1" x14ac:dyDescent="0.2">
      <c r="F432" s="155"/>
      <c r="G432" s="155"/>
      <c r="H432" s="33"/>
      <c r="L432" s="33"/>
      <c r="M432" s="33"/>
      <c r="S432" s="441"/>
      <c r="T432" s="441"/>
      <c r="U432" s="441"/>
      <c r="V432" s="441"/>
      <c r="W432" s="441"/>
      <c r="X432" s="441"/>
      <c r="Y432" s="442"/>
      <c r="Z432" s="443"/>
      <c r="AE432" s="33"/>
      <c r="AF432" s="33"/>
    </row>
    <row r="433" spans="6:32" ht="11.25" customHeight="1" x14ac:dyDescent="0.2">
      <c r="F433" s="155"/>
      <c r="G433" s="155"/>
      <c r="H433" s="33"/>
      <c r="L433" s="33"/>
      <c r="M433" s="33"/>
      <c r="S433" s="441"/>
      <c r="T433" s="441"/>
      <c r="U433" s="441"/>
      <c r="V433" s="441"/>
      <c r="W433" s="441"/>
      <c r="X433" s="441"/>
      <c r="Y433" s="442"/>
      <c r="Z433" s="443"/>
      <c r="AE433" s="33"/>
      <c r="AF433" s="33"/>
    </row>
    <row r="434" spans="6:32" ht="11.25" customHeight="1" x14ac:dyDescent="0.2">
      <c r="F434" s="155"/>
      <c r="G434" s="155"/>
      <c r="H434" s="33"/>
      <c r="L434" s="33"/>
      <c r="M434" s="33"/>
      <c r="S434" s="441"/>
      <c r="T434" s="441"/>
      <c r="U434" s="441"/>
      <c r="V434" s="441"/>
      <c r="W434" s="441"/>
      <c r="X434" s="441"/>
      <c r="Y434" s="442"/>
      <c r="Z434" s="443"/>
      <c r="AE434" s="33"/>
      <c r="AF434" s="33"/>
    </row>
    <row r="435" spans="6:32" ht="11.25" customHeight="1" x14ac:dyDescent="0.2">
      <c r="F435" s="155"/>
      <c r="G435" s="155"/>
      <c r="H435" s="33"/>
      <c r="L435" s="33"/>
      <c r="M435" s="33"/>
      <c r="S435" s="441"/>
      <c r="T435" s="441"/>
      <c r="U435" s="441"/>
      <c r="V435" s="441"/>
      <c r="W435" s="441"/>
      <c r="X435" s="441"/>
      <c r="Y435" s="442"/>
      <c r="Z435" s="443"/>
      <c r="AE435" s="33"/>
      <c r="AF435" s="33"/>
    </row>
    <row r="436" spans="6:32" ht="11.25" customHeight="1" x14ac:dyDescent="0.2">
      <c r="F436" s="155"/>
      <c r="G436" s="155"/>
      <c r="H436" s="33"/>
      <c r="L436" s="33"/>
      <c r="M436" s="33"/>
      <c r="S436" s="441"/>
      <c r="T436" s="441"/>
      <c r="U436" s="441"/>
      <c r="V436" s="441"/>
      <c r="W436" s="441"/>
      <c r="X436" s="441"/>
      <c r="Y436" s="442"/>
      <c r="Z436" s="443"/>
      <c r="AE436" s="33"/>
      <c r="AF436" s="33"/>
    </row>
    <row r="437" spans="6:32" ht="11.25" customHeight="1" x14ac:dyDescent="0.2">
      <c r="F437" s="155"/>
      <c r="G437" s="155"/>
      <c r="H437" s="33"/>
      <c r="L437" s="33"/>
      <c r="M437" s="33"/>
      <c r="S437" s="441"/>
      <c r="T437" s="441"/>
      <c r="U437" s="441"/>
      <c r="V437" s="441"/>
      <c r="W437" s="441"/>
      <c r="X437" s="441"/>
      <c r="Y437" s="442"/>
      <c r="Z437" s="443"/>
      <c r="AE437" s="33"/>
      <c r="AF437" s="33"/>
    </row>
    <row r="438" spans="6:32" ht="11.25" customHeight="1" x14ac:dyDescent="0.2">
      <c r="F438" s="155"/>
      <c r="G438" s="155"/>
      <c r="H438" s="33"/>
      <c r="L438" s="33"/>
      <c r="M438" s="33"/>
      <c r="S438" s="441"/>
      <c r="T438" s="441"/>
      <c r="U438" s="441"/>
      <c r="V438" s="441"/>
      <c r="W438" s="441"/>
      <c r="X438" s="441"/>
      <c r="Y438" s="442"/>
      <c r="Z438" s="443"/>
      <c r="AE438" s="33"/>
      <c r="AF438" s="33"/>
    </row>
    <row r="439" spans="6:32" ht="11.25" customHeight="1" x14ac:dyDescent="0.2">
      <c r="F439" s="155"/>
      <c r="G439" s="155"/>
      <c r="H439" s="33"/>
      <c r="L439" s="33"/>
      <c r="M439" s="33"/>
      <c r="S439" s="441"/>
      <c r="T439" s="441"/>
      <c r="U439" s="441"/>
      <c r="V439" s="441"/>
      <c r="W439" s="441"/>
      <c r="X439" s="441"/>
      <c r="Y439" s="442"/>
      <c r="Z439" s="443"/>
      <c r="AE439" s="33"/>
      <c r="AF439" s="33"/>
    </row>
    <row r="440" spans="6:32" ht="11.25" customHeight="1" x14ac:dyDescent="0.2">
      <c r="F440" s="155"/>
      <c r="G440" s="155"/>
      <c r="H440" s="33"/>
      <c r="L440" s="33"/>
      <c r="M440" s="33"/>
      <c r="S440" s="441"/>
      <c r="T440" s="441"/>
      <c r="U440" s="441"/>
      <c r="V440" s="441"/>
      <c r="W440" s="441"/>
      <c r="X440" s="441"/>
      <c r="Y440" s="442"/>
      <c r="Z440" s="443"/>
      <c r="AE440" s="33"/>
      <c r="AF440" s="33"/>
    </row>
    <row r="441" spans="6:32" ht="11.25" customHeight="1" x14ac:dyDescent="0.2">
      <c r="F441" s="155"/>
      <c r="G441" s="155"/>
      <c r="H441" s="33"/>
      <c r="L441" s="33"/>
      <c r="M441" s="33"/>
      <c r="S441" s="441"/>
      <c r="T441" s="441"/>
      <c r="U441" s="441"/>
      <c r="V441" s="441"/>
      <c r="W441" s="441"/>
      <c r="X441" s="441"/>
      <c r="Y441" s="442"/>
      <c r="Z441" s="443"/>
      <c r="AE441" s="33"/>
      <c r="AF441" s="33"/>
    </row>
    <row r="442" spans="6:32" ht="11.25" customHeight="1" x14ac:dyDescent="0.2">
      <c r="F442" s="155"/>
      <c r="G442" s="155"/>
      <c r="H442" s="33"/>
      <c r="L442" s="33"/>
      <c r="M442" s="33"/>
      <c r="S442" s="441"/>
      <c r="T442" s="441"/>
      <c r="U442" s="441"/>
      <c r="V442" s="441"/>
      <c r="W442" s="441"/>
      <c r="X442" s="441"/>
      <c r="Y442" s="442"/>
      <c r="Z442" s="443"/>
      <c r="AE442" s="33"/>
      <c r="AF442" s="33"/>
    </row>
    <row r="443" spans="6:32" ht="11.25" customHeight="1" x14ac:dyDescent="0.2">
      <c r="F443" s="155"/>
      <c r="G443" s="155"/>
      <c r="H443" s="33"/>
      <c r="L443" s="33"/>
      <c r="M443" s="33"/>
      <c r="S443" s="441"/>
      <c r="T443" s="441"/>
      <c r="U443" s="441"/>
      <c r="V443" s="441"/>
      <c r="W443" s="441"/>
      <c r="X443" s="441"/>
      <c r="Y443" s="442"/>
      <c r="Z443" s="443"/>
      <c r="AE443" s="33"/>
      <c r="AF443" s="33"/>
    </row>
    <row r="444" spans="6:32" ht="11.25" customHeight="1" x14ac:dyDescent="0.2">
      <c r="F444" s="155"/>
      <c r="G444" s="155"/>
      <c r="H444" s="33"/>
      <c r="L444" s="33"/>
      <c r="M444" s="33"/>
      <c r="S444" s="441"/>
      <c r="T444" s="441"/>
      <c r="U444" s="441"/>
      <c r="V444" s="441"/>
      <c r="W444" s="441"/>
      <c r="X444" s="441"/>
      <c r="Y444" s="442"/>
      <c r="Z444" s="443"/>
      <c r="AE444" s="33"/>
      <c r="AF444" s="33"/>
    </row>
    <row r="445" spans="6:32" ht="11.25" customHeight="1" x14ac:dyDescent="0.2">
      <c r="F445" s="155"/>
      <c r="G445" s="155"/>
      <c r="H445" s="33"/>
      <c r="L445" s="33"/>
      <c r="M445" s="33"/>
      <c r="S445" s="441"/>
      <c r="T445" s="441"/>
      <c r="U445" s="441"/>
      <c r="V445" s="441"/>
      <c r="W445" s="441"/>
      <c r="X445" s="441"/>
      <c r="Y445" s="442"/>
      <c r="Z445" s="443"/>
      <c r="AE445" s="33"/>
      <c r="AF445" s="33"/>
    </row>
    <row r="446" spans="6:32" ht="11.25" customHeight="1" x14ac:dyDescent="0.2">
      <c r="F446" s="155"/>
      <c r="G446" s="155"/>
      <c r="H446" s="33"/>
      <c r="L446" s="33"/>
      <c r="M446" s="33"/>
      <c r="S446" s="441"/>
      <c r="T446" s="441"/>
      <c r="U446" s="441"/>
      <c r="V446" s="441"/>
      <c r="W446" s="441"/>
      <c r="X446" s="441"/>
      <c r="Y446" s="442"/>
      <c r="Z446" s="443"/>
      <c r="AE446" s="33"/>
      <c r="AF446" s="33"/>
    </row>
    <row r="447" spans="6:32" ht="11.25" customHeight="1" x14ac:dyDescent="0.2">
      <c r="F447" s="155"/>
      <c r="G447" s="155"/>
      <c r="H447" s="33"/>
      <c r="L447" s="33"/>
      <c r="M447" s="33"/>
      <c r="S447" s="441"/>
      <c r="T447" s="441"/>
      <c r="U447" s="441"/>
      <c r="V447" s="441"/>
      <c r="W447" s="441"/>
      <c r="X447" s="441"/>
      <c r="Y447" s="442"/>
      <c r="Z447" s="443"/>
      <c r="AE447" s="33"/>
      <c r="AF447" s="33"/>
    </row>
    <row r="448" spans="6:32" ht="11.25" customHeight="1" x14ac:dyDescent="0.2">
      <c r="F448" s="155"/>
      <c r="G448" s="155"/>
      <c r="H448" s="33"/>
      <c r="L448" s="33"/>
      <c r="M448" s="33"/>
      <c r="S448" s="441"/>
      <c r="T448" s="441"/>
      <c r="U448" s="441"/>
      <c r="V448" s="441"/>
      <c r="W448" s="441"/>
      <c r="X448" s="441"/>
      <c r="Y448" s="442"/>
      <c r="Z448" s="443"/>
      <c r="AE448" s="33"/>
      <c r="AF448" s="33"/>
    </row>
    <row r="449" spans="6:32" ht="11.25" customHeight="1" x14ac:dyDescent="0.2">
      <c r="F449" s="155"/>
      <c r="G449" s="155"/>
      <c r="H449" s="33"/>
      <c r="L449" s="33"/>
      <c r="M449" s="33"/>
      <c r="S449" s="441"/>
      <c r="T449" s="441"/>
      <c r="U449" s="441"/>
      <c r="V449" s="441"/>
      <c r="W449" s="441"/>
      <c r="X449" s="441"/>
      <c r="Y449" s="442"/>
      <c r="Z449" s="443"/>
      <c r="AE449" s="33"/>
      <c r="AF449" s="33"/>
    </row>
    <row r="450" spans="6:32" ht="11.25" customHeight="1" x14ac:dyDescent="0.2">
      <c r="F450" s="155"/>
      <c r="G450" s="155"/>
      <c r="H450" s="33"/>
      <c r="L450" s="33"/>
      <c r="M450" s="33"/>
      <c r="S450" s="441"/>
      <c r="T450" s="441"/>
      <c r="U450" s="441"/>
      <c r="V450" s="441"/>
      <c r="W450" s="441"/>
      <c r="X450" s="441"/>
      <c r="Y450" s="442"/>
      <c r="Z450" s="443"/>
      <c r="AE450" s="33"/>
      <c r="AF450" s="33"/>
    </row>
    <row r="451" spans="6:32" ht="11.25" customHeight="1" x14ac:dyDescent="0.2">
      <c r="F451" s="155"/>
      <c r="G451" s="155"/>
      <c r="H451" s="33"/>
      <c r="L451" s="33"/>
      <c r="M451" s="33"/>
      <c r="S451" s="441"/>
      <c r="T451" s="441"/>
      <c r="U451" s="441"/>
      <c r="V451" s="441"/>
      <c r="W451" s="441"/>
      <c r="X451" s="441"/>
      <c r="Y451" s="442"/>
      <c r="Z451" s="443"/>
      <c r="AE451" s="33"/>
      <c r="AF451" s="33"/>
    </row>
    <row r="452" spans="6:32" ht="11.25" customHeight="1" x14ac:dyDescent="0.2">
      <c r="F452" s="155"/>
      <c r="G452" s="155"/>
      <c r="H452" s="33"/>
      <c r="L452" s="33"/>
      <c r="M452" s="33"/>
      <c r="S452" s="441"/>
      <c r="T452" s="441"/>
      <c r="U452" s="441"/>
      <c r="V452" s="441"/>
      <c r="W452" s="441"/>
      <c r="X452" s="441"/>
      <c r="Y452" s="442"/>
      <c r="Z452" s="443"/>
      <c r="AE452" s="33"/>
      <c r="AF452" s="33"/>
    </row>
    <row r="453" spans="6:32" ht="11.25" customHeight="1" x14ac:dyDescent="0.2">
      <c r="F453" s="155"/>
      <c r="G453" s="155"/>
      <c r="H453" s="33"/>
      <c r="L453" s="33"/>
      <c r="M453" s="33"/>
      <c r="S453" s="441"/>
      <c r="T453" s="441"/>
      <c r="U453" s="441"/>
      <c r="V453" s="441"/>
      <c r="W453" s="441"/>
      <c r="X453" s="441"/>
      <c r="Y453" s="442"/>
      <c r="Z453" s="443"/>
      <c r="AE453" s="33"/>
      <c r="AF453" s="33"/>
    </row>
    <row r="454" spans="6:32" ht="11.25" customHeight="1" x14ac:dyDescent="0.2">
      <c r="F454" s="155"/>
      <c r="G454" s="155"/>
      <c r="H454" s="33"/>
      <c r="L454" s="33"/>
      <c r="M454" s="33"/>
      <c r="S454" s="441"/>
      <c r="T454" s="441"/>
      <c r="U454" s="441"/>
      <c r="V454" s="441"/>
      <c r="W454" s="441"/>
      <c r="X454" s="441"/>
      <c r="Y454" s="442"/>
      <c r="Z454" s="443"/>
      <c r="AE454" s="33"/>
      <c r="AF454" s="33"/>
    </row>
    <row r="455" spans="6:32" ht="11.25" customHeight="1" x14ac:dyDescent="0.2">
      <c r="F455" s="155"/>
      <c r="G455" s="155"/>
      <c r="H455" s="33"/>
      <c r="L455" s="33"/>
      <c r="M455" s="33"/>
      <c r="S455" s="441"/>
      <c r="T455" s="441"/>
      <c r="U455" s="441"/>
      <c r="V455" s="441"/>
      <c r="W455" s="441"/>
      <c r="X455" s="441"/>
      <c r="Y455" s="442"/>
      <c r="Z455" s="443"/>
      <c r="AE455" s="33"/>
      <c r="AF455" s="33"/>
    </row>
    <row r="456" spans="6:32" ht="11.25" customHeight="1" x14ac:dyDescent="0.2">
      <c r="F456" s="155"/>
      <c r="G456" s="155"/>
      <c r="H456" s="33"/>
      <c r="L456" s="33"/>
      <c r="M456" s="33"/>
      <c r="S456" s="441"/>
      <c r="T456" s="441"/>
      <c r="U456" s="441"/>
      <c r="V456" s="441"/>
      <c r="W456" s="441"/>
      <c r="X456" s="441"/>
      <c r="Y456" s="442"/>
      <c r="Z456" s="443"/>
      <c r="AE456" s="33"/>
      <c r="AF456" s="33"/>
    </row>
    <row r="457" spans="6:32" ht="11.25" customHeight="1" x14ac:dyDescent="0.2">
      <c r="F457" s="155"/>
      <c r="G457" s="155"/>
      <c r="H457" s="33"/>
      <c r="L457" s="33"/>
      <c r="M457" s="33"/>
      <c r="S457" s="441"/>
      <c r="T457" s="441"/>
      <c r="U457" s="441"/>
      <c r="V457" s="441"/>
      <c r="W457" s="441"/>
      <c r="X457" s="441"/>
      <c r="Y457" s="442"/>
      <c r="Z457" s="443"/>
      <c r="AE457" s="33"/>
      <c r="AF457" s="33"/>
    </row>
    <row r="458" spans="6:32" ht="11.25" customHeight="1" x14ac:dyDescent="0.2">
      <c r="F458" s="155"/>
      <c r="G458" s="155"/>
      <c r="H458" s="33"/>
      <c r="L458" s="33"/>
      <c r="M458" s="33"/>
      <c r="S458" s="441"/>
      <c r="T458" s="441"/>
      <c r="U458" s="441"/>
      <c r="V458" s="441"/>
      <c r="W458" s="441"/>
      <c r="X458" s="441"/>
      <c r="Y458" s="442"/>
      <c r="Z458" s="443"/>
      <c r="AE458" s="33"/>
      <c r="AF458" s="33"/>
    </row>
    <row r="459" spans="6:32" ht="11.25" customHeight="1" x14ac:dyDescent="0.2">
      <c r="F459" s="155"/>
      <c r="G459" s="155"/>
      <c r="H459" s="33"/>
      <c r="L459" s="33"/>
      <c r="M459" s="33"/>
      <c r="S459" s="441"/>
      <c r="T459" s="441"/>
      <c r="U459" s="441"/>
      <c r="V459" s="441"/>
      <c r="W459" s="441"/>
      <c r="X459" s="441"/>
      <c r="Y459" s="442"/>
      <c r="Z459" s="443"/>
      <c r="AE459" s="33"/>
      <c r="AF459" s="33"/>
    </row>
    <row r="460" spans="6:32" ht="11.25" customHeight="1" x14ac:dyDescent="0.2">
      <c r="F460" s="155"/>
      <c r="G460" s="155"/>
      <c r="H460" s="33"/>
      <c r="L460" s="33"/>
      <c r="M460" s="33"/>
      <c r="S460" s="441"/>
      <c r="T460" s="441"/>
      <c r="U460" s="441"/>
      <c r="V460" s="441"/>
      <c r="W460" s="441"/>
      <c r="X460" s="441"/>
      <c r="Y460" s="442"/>
      <c r="Z460" s="443"/>
      <c r="AE460" s="33"/>
      <c r="AF460" s="33"/>
    </row>
    <row r="461" spans="6:32" ht="11.25" customHeight="1" x14ac:dyDescent="0.2">
      <c r="F461" s="155"/>
      <c r="G461" s="155"/>
      <c r="H461" s="33"/>
      <c r="L461" s="33"/>
      <c r="M461" s="33"/>
      <c r="S461" s="441"/>
      <c r="T461" s="441"/>
      <c r="U461" s="441"/>
      <c r="V461" s="441"/>
      <c r="W461" s="441"/>
      <c r="X461" s="441"/>
      <c r="Y461" s="442"/>
      <c r="Z461" s="443"/>
      <c r="AE461" s="33"/>
      <c r="AF461" s="33"/>
    </row>
    <row r="462" spans="6:32" ht="11.25" customHeight="1" x14ac:dyDescent="0.2">
      <c r="F462" s="155"/>
      <c r="G462" s="155"/>
      <c r="H462" s="33"/>
      <c r="L462" s="33"/>
      <c r="M462" s="33"/>
      <c r="S462" s="441"/>
      <c r="T462" s="441"/>
      <c r="U462" s="441"/>
      <c r="V462" s="441"/>
      <c r="W462" s="441"/>
      <c r="X462" s="441"/>
      <c r="Y462" s="442"/>
      <c r="Z462" s="443"/>
      <c r="AE462" s="33"/>
      <c r="AF462" s="33"/>
    </row>
    <row r="463" spans="6:32" ht="11.25" customHeight="1" x14ac:dyDescent="0.2">
      <c r="F463" s="155"/>
      <c r="G463" s="155"/>
      <c r="H463" s="33"/>
      <c r="L463" s="33"/>
      <c r="M463" s="33"/>
      <c r="S463" s="441"/>
      <c r="T463" s="441"/>
      <c r="U463" s="441"/>
      <c r="V463" s="441"/>
      <c r="W463" s="441"/>
      <c r="X463" s="441"/>
      <c r="Y463" s="442"/>
      <c r="Z463" s="443"/>
      <c r="AE463" s="33"/>
      <c r="AF463" s="33"/>
    </row>
    <row r="464" spans="6:32" ht="11.25" customHeight="1" x14ac:dyDescent="0.2">
      <c r="F464" s="155"/>
      <c r="G464" s="155"/>
      <c r="H464" s="33"/>
      <c r="L464" s="33"/>
      <c r="M464" s="33"/>
      <c r="S464" s="441"/>
      <c r="T464" s="441"/>
      <c r="U464" s="441"/>
      <c r="V464" s="441"/>
      <c r="W464" s="441"/>
      <c r="X464" s="441"/>
      <c r="Y464" s="442"/>
      <c r="Z464" s="443"/>
      <c r="AE464" s="33"/>
      <c r="AF464" s="33"/>
    </row>
    <row r="465" spans="6:32" ht="11.25" customHeight="1" x14ac:dyDescent="0.2">
      <c r="F465" s="155"/>
      <c r="G465" s="155"/>
      <c r="H465" s="33"/>
      <c r="L465" s="33"/>
      <c r="M465" s="33"/>
      <c r="S465" s="441"/>
      <c r="T465" s="441"/>
      <c r="U465" s="441"/>
      <c r="V465" s="441"/>
      <c r="W465" s="441"/>
      <c r="X465" s="441"/>
      <c r="Y465" s="442"/>
      <c r="Z465" s="443"/>
      <c r="AE465" s="33"/>
      <c r="AF465" s="33"/>
    </row>
    <row r="466" spans="6:32" ht="11.25" customHeight="1" x14ac:dyDescent="0.2">
      <c r="F466" s="155"/>
      <c r="G466" s="155"/>
      <c r="H466" s="33"/>
      <c r="L466" s="33"/>
      <c r="M466" s="33"/>
      <c r="S466" s="441"/>
      <c r="T466" s="441"/>
      <c r="U466" s="441"/>
      <c r="V466" s="441"/>
      <c r="W466" s="441"/>
      <c r="X466" s="441"/>
      <c r="Y466" s="442"/>
      <c r="Z466" s="443"/>
      <c r="AE466" s="33"/>
      <c r="AF466" s="33"/>
    </row>
    <row r="467" spans="6:32" ht="11.25" customHeight="1" x14ac:dyDescent="0.2">
      <c r="F467" s="155"/>
      <c r="G467" s="155"/>
      <c r="H467" s="33"/>
      <c r="L467" s="33"/>
      <c r="M467" s="33"/>
      <c r="S467" s="441"/>
      <c r="T467" s="441"/>
      <c r="U467" s="441"/>
      <c r="V467" s="441"/>
      <c r="W467" s="441"/>
      <c r="X467" s="441"/>
      <c r="Y467" s="442"/>
      <c r="Z467" s="443"/>
      <c r="AE467" s="33"/>
      <c r="AF467" s="33"/>
    </row>
    <row r="468" spans="6:32" ht="11.25" customHeight="1" x14ac:dyDescent="0.2">
      <c r="F468" s="155"/>
      <c r="G468" s="155"/>
      <c r="H468" s="33"/>
      <c r="L468" s="33"/>
      <c r="M468" s="33"/>
      <c r="S468" s="441"/>
      <c r="T468" s="441"/>
      <c r="U468" s="441"/>
      <c r="V468" s="441"/>
      <c r="W468" s="441"/>
      <c r="X468" s="441"/>
      <c r="Y468" s="442"/>
      <c r="Z468" s="443"/>
      <c r="AE468" s="33"/>
      <c r="AF468" s="33"/>
    </row>
    <row r="469" spans="6:32" ht="11.25" customHeight="1" x14ac:dyDescent="0.2">
      <c r="F469" s="155"/>
      <c r="G469" s="155"/>
      <c r="H469" s="33"/>
      <c r="L469" s="33"/>
      <c r="M469" s="33"/>
      <c r="S469" s="441"/>
      <c r="T469" s="441"/>
      <c r="U469" s="441"/>
      <c r="V469" s="441"/>
      <c r="W469" s="441"/>
      <c r="X469" s="441"/>
      <c r="Y469" s="442"/>
      <c r="Z469" s="443"/>
      <c r="AE469" s="33"/>
      <c r="AF469" s="33"/>
    </row>
    <row r="470" spans="6:32" ht="11.25" customHeight="1" x14ac:dyDescent="0.2">
      <c r="F470" s="155"/>
      <c r="G470" s="155"/>
      <c r="H470" s="33"/>
      <c r="L470" s="33"/>
      <c r="M470" s="33"/>
      <c r="S470" s="441"/>
      <c r="T470" s="441"/>
      <c r="U470" s="441"/>
      <c r="V470" s="441"/>
      <c r="W470" s="441"/>
      <c r="X470" s="441"/>
      <c r="Y470" s="442"/>
      <c r="Z470" s="443"/>
      <c r="AE470" s="33"/>
      <c r="AF470" s="33"/>
    </row>
    <row r="471" spans="6:32" ht="11.25" customHeight="1" x14ac:dyDescent="0.2">
      <c r="F471" s="155"/>
      <c r="G471" s="155"/>
      <c r="H471" s="33"/>
      <c r="L471" s="33"/>
      <c r="M471" s="33"/>
      <c r="S471" s="441"/>
      <c r="T471" s="441"/>
      <c r="U471" s="441"/>
      <c r="V471" s="441"/>
      <c r="W471" s="441"/>
      <c r="X471" s="441"/>
      <c r="Y471" s="442"/>
      <c r="Z471" s="443"/>
      <c r="AE471" s="33"/>
      <c r="AF471" s="33"/>
    </row>
    <row r="472" spans="6:32" ht="11.25" customHeight="1" x14ac:dyDescent="0.2">
      <c r="F472" s="155"/>
      <c r="G472" s="155"/>
      <c r="H472" s="33"/>
      <c r="L472" s="33"/>
      <c r="M472" s="33"/>
      <c r="S472" s="441"/>
      <c r="T472" s="441"/>
      <c r="U472" s="441"/>
      <c r="V472" s="441"/>
      <c r="W472" s="441"/>
      <c r="X472" s="441"/>
      <c r="Y472" s="442"/>
      <c r="Z472" s="443"/>
      <c r="AE472" s="33"/>
      <c r="AF472" s="33"/>
    </row>
    <row r="473" spans="6:32" ht="11.25" customHeight="1" x14ac:dyDescent="0.2">
      <c r="F473" s="155"/>
      <c r="G473" s="155"/>
      <c r="H473" s="33"/>
      <c r="L473" s="33"/>
      <c r="M473" s="33"/>
      <c r="S473" s="441"/>
      <c r="T473" s="441"/>
      <c r="U473" s="441"/>
      <c r="V473" s="441"/>
      <c r="W473" s="441"/>
      <c r="X473" s="441"/>
      <c r="Y473" s="442"/>
      <c r="Z473" s="443"/>
      <c r="AE473" s="33"/>
      <c r="AF473" s="33"/>
    </row>
    <row r="474" spans="6:32" ht="11.25" customHeight="1" x14ac:dyDescent="0.2">
      <c r="F474" s="155"/>
      <c r="G474" s="155"/>
      <c r="H474" s="33"/>
      <c r="L474" s="33"/>
      <c r="M474" s="33"/>
      <c r="S474" s="441"/>
      <c r="T474" s="441"/>
      <c r="U474" s="441"/>
      <c r="V474" s="441"/>
      <c r="W474" s="441"/>
      <c r="X474" s="441"/>
      <c r="Y474" s="442"/>
      <c r="Z474" s="443"/>
      <c r="AE474" s="33"/>
      <c r="AF474" s="33"/>
    </row>
    <row r="475" spans="6:32" ht="11.25" customHeight="1" x14ac:dyDescent="0.2">
      <c r="F475" s="155"/>
      <c r="G475" s="155"/>
      <c r="H475" s="33"/>
      <c r="L475" s="33"/>
      <c r="M475" s="33"/>
      <c r="S475" s="441"/>
      <c r="T475" s="441"/>
      <c r="U475" s="441"/>
      <c r="V475" s="441"/>
      <c r="W475" s="441"/>
      <c r="X475" s="441"/>
      <c r="Y475" s="442"/>
      <c r="Z475" s="443"/>
      <c r="AE475" s="33"/>
      <c r="AF475" s="33"/>
    </row>
    <row r="476" spans="6:32" ht="11.25" customHeight="1" x14ac:dyDescent="0.2">
      <c r="F476" s="155"/>
      <c r="G476" s="155"/>
      <c r="H476" s="33"/>
      <c r="L476" s="33"/>
      <c r="M476" s="33"/>
      <c r="S476" s="441"/>
      <c r="T476" s="441"/>
      <c r="U476" s="441"/>
      <c r="V476" s="441"/>
      <c r="W476" s="441"/>
      <c r="X476" s="441"/>
      <c r="Y476" s="442"/>
      <c r="Z476" s="443"/>
      <c r="AE476" s="33"/>
      <c r="AF476" s="33"/>
    </row>
    <row r="477" spans="6:32" ht="11.25" customHeight="1" x14ac:dyDescent="0.2">
      <c r="F477" s="155"/>
      <c r="G477" s="155"/>
      <c r="H477" s="33"/>
      <c r="L477" s="33"/>
      <c r="M477" s="33"/>
      <c r="S477" s="441"/>
      <c r="T477" s="441"/>
      <c r="U477" s="441"/>
      <c r="V477" s="441"/>
      <c r="W477" s="441"/>
      <c r="X477" s="441"/>
      <c r="Y477" s="442"/>
      <c r="Z477" s="443"/>
      <c r="AE477" s="33"/>
      <c r="AF477" s="33"/>
    </row>
    <row r="478" spans="6:32" ht="11.25" customHeight="1" x14ac:dyDescent="0.2">
      <c r="F478" s="155"/>
      <c r="G478" s="155"/>
      <c r="H478" s="33"/>
      <c r="L478" s="33"/>
      <c r="M478" s="33"/>
      <c r="S478" s="441"/>
      <c r="T478" s="441"/>
      <c r="U478" s="441"/>
      <c r="V478" s="441"/>
      <c r="W478" s="441"/>
      <c r="X478" s="441"/>
      <c r="Y478" s="442"/>
      <c r="Z478" s="443"/>
      <c r="AE478" s="33"/>
      <c r="AF478" s="33"/>
    </row>
    <row r="479" spans="6:32" ht="11.25" customHeight="1" x14ac:dyDescent="0.2">
      <c r="F479" s="155"/>
      <c r="G479" s="155"/>
      <c r="H479" s="33"/>
      <c r="L479" s="33"/>
      <c r="M479" s="33"/>
      <c r="S479" s="441"/>
      <c r="T479" s="441"/>
      <c r="U479" s="441"/>
      <c r="V479" s="441"/>
      <c r="W479" s="441"/>
      <c r="X479" s="441"/>
      <c r="Y479" s="442"/>
      <c r="Z479" s="443"/>
      <c r="AE479" s="33"/>
      <c r="AF479" s="33"/>
    </row>
    <row r="480" spans="6:32" ht="11.25" customHeight="1" x14ac:dyDescent="0.2">
      <c r="F480" s="155"/>
      <c r="G480" s="155"/>
      <c r="H480" s="33"/>
      <c r="L480" s="33"/>
      <c r="M480" s="33"/>
      <c r="S480" s="441"/>
      <c r="T480" s="441"/>
      <c r="U480" s="441"/>
      <c r="V480" s="441"/>
      <c r="W480" s="441"/>
      <c r="X480" s="441"/>
      <c r="Y480" s="442"/>
      <c r="Z480" s="443"/>
      <c r="AC480" s="33"/>
      <c r="AE480" s="33"/>
      <c r="AF480" s="33"/>
    </row>
    <row r="481" spans="6:32" ht="11.25" customHeight="1" x14ac:dyDescent="0.2">
      <c r="F481" s="155"/>
      <c r="G481" s="155"/>
      <c r="H481" s="33"/>
      <c r="L481" s="33"/>
      <c r="M481" s="33"/>
      <c r="S481" s="441"/>
      <c r="T481" s="441"/>
      <c r="U481" s="441"/>
      <c r="V481" s="441"/>
      <c r="W481" s="441"/>
      <c r="X481" s="441"/>
      <c r="Y481" s="442"/>
      <c r="Z481" s="443"/>
      <c r="AC481" s="33"/>
      <c r="AE481" s="33"/>
      <c r="AF481" s="33"/>
    </row>
    <row r="482" spans="6:32" ht="11.25" customHeight="1" x14ac:dyDescent="0.2">
      <c r="F482" s="155"/>
      <c r="G482" s="155"/>
      <c r="H482" s="33"/>
      <c r="L482" s="33"/>
      <c r="M482" s="33"/>
      <c r="S482" s="441"/>
      <c r="T482" s="441"/>
      <c r="U482" s="441"/>
      <c r="V482" s="441"/>
      <c r="W482" s="441"/>
      <c r="X482" s="441"/>
      <c r="Y482" s="442"/>
      <c r="Z482" s="443"/>
      <c r="AC482" s="33"/>
      <c r="AE482" s="33"/>
      <c r="AF482" s="33"/>
    </row>
    <row r="483" spans="6:32" ht="11.25" customHeight="1" x14ac:dyDescent="0.2">
      <c r="F483" s="155"/>
      <c r="G483" s="155"/>
      <c r="H483" s="33"/>
      <c r="L483" s="33"/>
      <c r="M483" s="33"/>
      <c r="S483" s="441"/>
      <c r="T483" s="441"/>
      <c r="U483" s="441"/>
      <c r="V483" s="441"/>
      <c r="W483" s="441"/>
      <c r="X483" s="441"/>
      <c r="Y483" s="442"/>
      <c r="Z483" s="443"/>
      <c r="AC483" s="33"/>
      <c r="AE483" s="33"/>
      <c r="AF483" s="33"/>
    </row>
    <row r="484" spans="6:32" ht="11.25" customHeight="1" x14ac:dyDescent="0.2">
      <c r="F484" s="155"/>
      <c r="G484" s="155"/>
      <c r="H484" s="33"/>
      <c r="L484" s="33"/>
      <c r="M484" s="33"/>
      <c r="S484" s="441"/>
      <c r="T484" s="441"/>
      <c r="U484" s="441"/>
      <c r="V484" s="441"/>
      <c r="W484" s="441"/>
      <c r="X484" s="441"/>
      <c r="Y484" s="442"/>
      <c r="Z484" s="443"/>
      <c r="AC484" s="33"/>
      <c r="AE484" s="33"/>
      <c r="AF484" s="33"/>
    </row>
    <row r="485" spans="6:32" ht="11.25" customHeight="1" x14ac:dyDescent="0.2">
      <c r="F485" s="155"/>
      <c r="G485" s="155"/>
      <c r="H485" s="33"/>
      <c r="L485" s="33"/>
      <c r="M485" s="33"/>
      <c r="S485" s="441"/>
      <c r="T485" s="441"/>
      <c r="U485" s="441"/>
      <c r="V485" s="441"/>
      <c r="W485" s="441"/>
      <c r="X485" s="441"/>
      <c r="Y485" s="442"/>
      <c r="Z485" s="443"/>
      <c r="AC485" s="33"/>
      <c r="AE485" s="33"/>
      <c r="AF485" s="33"/>
    </row>
    <row r="486" spans="6:32" ht="11.25" customHeight="1" x14ac:dyDescent="0.2">
      <c r="F486" s="155"/>
      <c r="G486" s="155"/>
      <c r="H486" s="33"/>
      <c r="L486" s="33"/>
      <c r="M486" s="33"/>
      <c r="S486" s="441"/>
      <c r="T486" s="441"/>
      <c r="U486" s="441"/>
      <c r="V486" s="441"/>
      <c r="W486" s="441"/>
      <c r="X486" s="441"/>
      <c r="Y486" s="442"/>
      <c r="Z486" s="443"/>
      <c r="AC486" s="33"/>
      <c r="AE486" s="33"/>
      <c r="AF486" s="33"/>
    </row>
    <row r="487" spans="6:32" ht="11.25" customHeight="1" x14ac:dyDescent="0.2">
      <c r="F487" s="155"/>
      <c r="G487" s="155"/>
      <c r="H487" s="33"/>
      <c r="L487" s="33"/>
      <c r="M487" s="33"/>
      <c r="S487" s="441"/>
      <c r="T487" s="441"/>
      <c r="U487" s="441"/>
      <c r="V487" s="441"/>
      <c r="W487" s="441"/>
      <c r="X487" s="441"/>
      <c r="Y487" s="442"/>
      <c r="Z487" s="443"/>
      <c r="AC487" s="33"/>
      <c r="AE487" s="33"/>
      <c r="AF487" s="33"/>
    </row>
    <row r="488" spans="6:32" ht="11.25" customHeight="1" x14ac:dyDescent="0.2">
      <c r="F488" s="155"/>
      <c r="G488" s="155"/>
      <c r="H488" s="33"/>
      <c r="L488" s="33"/>
      <c r="M488" s="33"/>
      <c r="S488" s="441"/>
      <c r="T488" s="441"/>
      <c r="U488" s="441"/>
      <c r="V488" s="441"/>
      <c r="W488" s="441"/>
      <c r="X488" s="441"/>
      <c r="Y488" s="442"/>
      <c r="Z488" s="443"/>
      <c r="AC488" s="33"/>
      <c r="AE488" s="33"/>
      <c r="AF488" s="33"/>
    </row>
    <row r="489" spans="6:32" ht="11.25" customHeight="1" x14ac:dyDescent="0.2">
      <c r="F489" s="155"/>
      <c r="G489" s="155"/>
      <c r="H489" s="33"/>
      <c r="L489" s="33"/>
      <c r="M489" s="33"/>
      <c r="S489" s="441"/>
      <c r="T489" s="441"/>
      <c r="U489" s="441"/>
      <c r="V489" s="441"/>
      <c r="W489" s="441"/>
      <c r="X489" s="441"/>
      <c r="Y489" s="442"/>
      <c r="Z489" s="443"/>
      <c r="AC489" s="33"/>
      <c r="AE489" s="33"/>
      <c r="AF489" s="33"/>
    </row>
    <row r="490" spans="6:32" ht="11.25" customHeight="1" x14ac:dyDescent="0.2">
      <c r="F490" s="155"/>
      <c r="G490" s="155"/>
      <c r="H490" s="33"/>
      <c r="L490" s="33"/>
      <c r="M490" s="33"/>
      <c r="S490" s="441"/>
      <c r="T490" s="441"/>
      <c r="U490" s="441"/>
      <c r="V490" s="441"/>
      <c r="W490" s="441"/>
      <c r="X490" s="441"/>
      <c r="Y490" s="442"/>
      <c r="Z490" s="443"/>
      <c r="AC490" s="33"/>
      <c r="AE490" s="33"/>
      <c r="AF490" s="33"/>
    </row>
    <row r="491" spans="6:32" ht="11.25" customHeight="1" x14ac:dyDescent="0.2">
      <c r="F491" s="155"/>
      <c r="G491" s="155"/>
      <c r="H491" s="33"/>
      <c r="L491" s="33"/>
      <c r="M491" s="33"/>
      <c r="S491" s="441"/>
      <c r="T491" s="441"/>
      <c r="U491" s="441"/>
      <c r="V491" s="441"/>
      <c r="W491" s="441"/>
      <c r="X491" s="441"/>
      <c r="Y491" s="442"/>
      <c r="Z491" s="443"/>
      <c r="AC491" s="33"/>
      <c r="AE491" s="33"/>
      <c r="AF491" s="33"/>
    </row>
    <row r="492" spans="6:32" ht="11.25" customHeight="1" x14ac:dyDescent="0.2">
      <c r="F492" s="155"/>
      <c r="G492" s="155"/>
      <c r="H492" s="33"/>
      <c r="L492" s="33"/>
      <c r="M492" s="33"/>
      <c r="S492" s="441"/>
      <c r="T492" s="441"/>
      <c r="U492" s="441"/>
      <c r="V492" s="441"/>
      <c r="W492" s="441"/>
      <c r="X492" s="441"/>
      <c r="Y492" s="442"/>
      <c r="Z492" s="443"/>
      <c r="AC492" s="33"/>
      <c r="AE492" s="33"/>
      <c r="AF492" s="33"/>
    </row>
    <row r="493" spans="6:32" ht="11.25" customHeight="1" x14ac:dyDescent="0.2">
      <c r="F493" s="155"/>
      <c r="G493" s="155"/>
      <c r="H493" s="33"/>
      <c r="L493" s="33"/>
      <c r="M493" s="33"/>
      <c r="S493" s="441"/>
      <c r="T493" s="441"/>
      <c r="U493" s="441"/>
      <c r="V493" s="441"/>
      <c r="W493" s="441"/>
      <c r="X493" s="441"/>
      <c r="Y493" s="442"/>
      <c r="Z493" s="443"/>
      <c r="AC493" s="33"/>
      <c r="AE493" s="33"/>
      <c r="AF493" s="33"/>
    </row>
    <row r="494" spans="6:32" ht="11.25" customHeight="1" x14ac:dyDescent="0.2">
      <c r="F494" s="155"/>
      <c r="G494" s="155"/>
      <c r="H494" s="33"/>
      <c r="L494" s="33"/>
      <c r="M494" s="33"/>
      <c r="S494" s="441"/>
      <c r="T494" s="441"/>
      <c r="U494" s="441"/>
      <c r="V494" s="441"/>
      <c r="W494" s="441"/>
      <c r="X494" s="441"/>
      <c r="Y494" s="442"/>
      <c r="Z494" s="443"/>
      <c r="AC494" s="33"/>
      <c r="AE494" s="33"/>
      <c r="AF494" s="33"/>
    </row>
    <row r="495" spans="6:32" ht="11.25" customHeight="1" x14ac:dyDescent="0.2">
      <c r="F495" s="155"/>
      <c r="G495" s="155"/>
      <c r="H495" s="33"/>
      <c r="L495" s="33"/>
      <c r="M495" s="33"/>
      <c r="S495" s="441"/>
      <c r="T495" s="441"/>
      <c r="U495" s="441"/>
      <c r="V495" s="441"/>
      <c r="W495" s="441"/>
      <c r="X495" s="441"/>
      <c r="Y495" s="442"/>
      <c r="Z495" s="443"/>
      <c r="AC495" s="33"/>
      <c r="AE495" s="33"/>
      <c r="AF495" s="33"/>
    </row>
    <row r="496" spans="6:32" ht="11.25" customHeight="1" x14ac:dyDescent="0.2">
      <c r="F496" s="155"/>
      <c r="G496" s="155"/>
      <c r="H496" s="33"/>
      <c r="L496" s="33"/>
      <c r="M496" s="33"/>
      <c r="S496" s="441"/>
      <c r="T496" s="441"/>
      <c r="U496" s="441"/>
      <c r="V496" s="441"/>
      <c r="W496" s="441"/>
      <c r="X496" s="441"/>
      <c r="Y496" s="442"/>
      <c r="Z496" s="443"/>
      <c r="AC496" s="33"/>
      <c r="AE496" s="33"/>
      <c r="AF496" s="33"/>
    </row>
    <row r="497" spans="6:32" ht="11.25" customHeight="1" x14ac:dyDescent="0.2">
      <c r="F497" s="155"/>
      <c r="G497" s="155"/>
      <c r="H497" s="33"/>
      <c r="L497" s="33"/>
      <c r="M497" s="33"/>
      <c r="S497" s="441"/>
      <c r="T497" s="441"/>
      <c r="U497" s="441"/>
      <c r="V497" s="441"/>
      <c r="W497" s="441"/>
      <c r="X497" s="441"/>
      <c r="Y497" s="442"/>
      <c r="Z497" s="443"/>
      <c r="AC497" s="33"/>
      <c r="AE497" s="33"/>
      <c r="AF497" s="33"/>
    </row>
    <row r="498" spans="6:32" ht="11.25" customHeight="1" x14ac:dyDescent="0.2">
      <c r="F498" s="155"/>
      <c r="G498" s="155"/>
      <c r="H498" s="33"/>
      <c r="L498" s="33"/>
      <c r="M498" s="33"/>
      <c r="S498" s="441"/>
      <c r="T498" s="441"/>
      <c r="U498" s="441"/>
      <c r="V498" s="441"/>
      <c r="W498" s="441"/>
      <c r="X498" s="441"/>
      <c r="Y498" s="442"/>
      <c r="Z498" s="443"/>
      <c r="AC498" s="33"/>
      <c r="AE498" s="33"/>
      <c r="AF498" s="33"/>
    </row>
    <row r="499" spans="6:32" ht="11.25" customHeight="1" x14ac:dyDescent="0.2">
      <c r="F499" s="155"/>
      <c r="G499" s="155"/>
      <c r="H499" s="33"/>
      <c r="L499" s="33"/>
      <c r="M499" s="33"/>
      <c r="S499" s="441"/>
      <c r="T499" s="441"/>
      <c r="U499" s="441"/>
      <c r="V499" s="441"/>
      <c r="W499" s="441"/>
      <c r="X499" s="441"/>
      <c r="Y499" s="442"/>
      <c r="Z499" s="443"/>
      <c r="AC499" s="33"/>
      <c r="AE499" s="33"/>
      <c r="AF499" s="33"/>
    </row>
    <row r="500" spans="6:32" ht="11.25" customHeight="1" x14ac:dyDescent="0.2">
      <c r="F500" s="155"/>
      <c r="G500" s="155"/>
      <c r="H500" s="33"/>
      <c r="L500" s="33"/>
      <c r="M500" s="33"/>
      <c r="S500" s="441"/>
      <c r="T500" s="441"/>
      <c r="U500" s="441"/>
      <c r="V500" s="441"/>
      <c r="W500" s="441"/>
      <c r="X500" s="441"/>
      <c r="Y500" s="442"/>
      <c r="Z500" s="443"/>
      <c r="AC500" s="33"/>
      <c r="AE500" s="33"/>
      <c r="AF500" s="33"/>
    </row>
    <row r="501" spans="6:32" ht="11.25" customHeight="1" x14ac:dyDescent="0.2">
      <c r="F501" s="155"/>
      <c r="G501" s="155"/>
      <c r="H501" s="33"/>
      <c r="L501" s="33"/>
      <c r="M501" s="33"/>
      <c r="S501" s="441"/>
      <c r="T501" s="441"/>
      <c r="U501" s="441"/>
      <c r="V501" s="441"/>
      <c r="W501" s="441"/>
      <c r="X501" s="441"/>
      <c r="Y501" s="442"/>
      <c r="Z501" s="443"/>
      <c r="AC501" s="33"/>
      <c r="AE501" s="33"/>
      <c r="AF501" s="33"/>
    </row>
    <row r="502" spans="6:32" ht="11.25" customHeight="1" x14ac:dyDescent="0.2">
      <c r="F502" s="155"/>
      <c r="G502" s="155"/>
      <c r="H502" s="33"/>
      <c r="L502" s="33"/>
      <c r="M502" s="33"/>
      <c r="S502" s="441"/>
      <c r="T502" s="441"/>
      <c r="U502" s="441"/>
      <c r="V502" s="441"/>
      <c r="W502" s="441"/>
      <c r="X502" s="441"/>
      <c r="Y502" s="442"/>
      <c r="Z502" s="443"/>
      <c r="AC502" s="33"/>
      <c r="AE502" s="33"/>
      <c r="AF502" s="33"/>
    </row>
    <row r="503" spans="6:32" ht="11.25" customHeight="1" x14ac:dyDescent="0.2">
      <c r="F503" s="155"/>
      <c r="G503" s="155"/>
      <c r="H503" s="33"/>
      <c r="L503" s="33"/>
      <c r="M503" s="33"/>
      <c r="S503" s="441"/>
      <c r="T503" s="441"/>
      <c r="U503" s="441"/>
      <c r="V503" s="441"/>
      <c r="W503" s="441"/>
      <c r="X503" s="441"/>
      <c r="Y503" s="442"/>
      <c r="Z503" s="443"/>
      <c r="AC503" s="33"/>
      <c r="AE503" s="33"/>
      <c r="AF503" s="33"/>
    </row>
    <row r="504" spans="6:32" ht="11.25" customHeight="1" x14ac:dyDescent="0.2">
      <c r="F504" s="155"/>
      <c r="G504" s="155"/>
      <c r="H504" s="33"/>
      <c r="L504" s="33"/>
      <c r="M504" s="33"/>
      <c r="S504" s="441"/>
      <c r="T504" s="441"/>
      <c r="U504" s="441"/>
      <c r="V504" s="441"/>
      <c r="W504" s="441"/>
      <c r="X504" s="441"/>
      <c r="Y504" s="442"/>
      <c r="Z504" s="443"/>
      <c r="AC504" s="33"/>
      <c r="AE504" s="33"/>
      <c r="AF504" s="33"/>
    </row>
    <row r="505" spans="6:32" ht="11.25" customHeight="1" x14ac:dyDescent="0.2">
      <c r="F505" s="155"/>
      <c r="G505" s="155"/>
      <c r="H505" s="33"/>
      <c r="L505" s="33"/>
      <c r="M505" s="33"/>
      <c r="S505" s="441"/>
      <c r="T505" s="441"/>
      <c r="U505" s="441"/>
      <c r="V505" s="441"/>
      <c r="W505" s="441"/>
      <c r="X505" s="441"/>
      <c r="Y505" s="442"/>
      <c r="Z505" s="443"/>
      <c r="AC505" s="33"/>
      <c r="AE505" s="33"/>
      <c r="AF505" s="33"/>
    </row>
    <row r="506" spans="6:32" ht="11.25" customHeight="1" x14ac:dyDescent="0.2">
      <c r="F506" s="155"/>
      <c r="G506" s="155"/>
      <c r="H506" s="33"/>
      <c r="L506" s="33"/>
      <c r="M506" s="33"/>
      <c r="S506" s="441"/>
      <c r="T506" s="441"/>
      <c r="U506" s="441"/>
      <c r="V506" s="441"/>
      <c r="W506" s="441"/>
      <c r="X506" s="441"/>
      <c r="Y506" s="442"/>
      <c r="Z506" s="443"/>
      <c r="AC506" s="33"/>
      <c r="AE506" s="33"/>
      <c r="AF506" s="33"/>
    </row>
    <row r="507" spans="6:32" ht="11.25" customHeight="1" x14ac:dyDescent="0.2">
      <c r="F507" s="155"/>
      <c r="G507" s="155"/>
      <c r="H507" s="33"/>
      <c r="L507" s="33"/>
      <c r="M507" s="33"/>
      <c r="S507" s="441"/>
      <c r="T507" s="441"/>
      <c r="U507" s="441"/>
      <c r="V507" s="441"/>
      <c r="W507" s="441"/>
      <c r="X507" s="441"/>
      <c r="Y507" s="442"/>
      <c r="Z507" s="443"/>
      <c r="AC507" s="33"/>
      <c r="AE507" s="33"/>
      <c r="AF507" s="33"/>
    </row>
    <row r="508" spans="6:32" ht="11.25" customHeight="1" x14ac:dyDescent="0.2">
      <c r="F508" s="155"/>
      <c r="G508" s="155"/>
      <c r="H508" s="33"/>
      <c r="L508" s="33"/>
      <c r="M508" s="33"/>
      <c r="S508" s="441"/>
      <c r="T508" s="441"/>
      <c r="U508" s="441"/>
      <c r="V508" s="441"/>
      <c r="W508" s="441"/>
      <c r="X508" s="441"/>
      <c r="Y508" s="442"/>
      <c r="Z508" s="443"/>
      <c r="AC508" s="33"/>
      <c r="AE508" s="33"/>
      <c r="AF508" s="33"/>
    </row>
    <row r="509" spans="6:32" ht="11.25" customHeight="1" x14ac:dyDescent="0.2">
      <c r="F509" s="155"/>
      <c r="G509" s="155"/>
      <c r="H509" s="33"/>
      <c r="L509" s="33"/>
      <c r="M509" s="33"/>
      <c r="S509" s="441"/>
      <c r="T509" s="441"/>
      <c r="U509" s="441"/>
      <c r="V509" s="441"/>
      <c r="W509" s="441"/>
      <c r="X509" s="441"/>
      <c r="Y509" s="442"/>
      <c r="Z509" s="443"/>
      <c r="AC509" s="33"/>
      <c r="AE509" s="33"/>
      <c r="AF509" s="33"/>
    </row>
    <row r="510" spans="6:32" ht="11.25" customHeight="1" x14ac:dyDescent="0.2">
      <c r="F510" s="155"/>
      <c r="G510" s="155"/>
      <c r="H510" s="33"/>
      <c r="L510" s="33"/>
      <c r="M510" s="33"/>
      <c r="S510" s="441"/>
      <c r="T510" s="441"/>
      <c r="U510" s="441"/>
      <c r="V510" s="441"/>
      <c r="W510" s="441"/>
      <c r="X510" s="441"/>
      <c r="Y510" s="442"/>
      <c r="Z510" s="443"/>
      <c r="AC510" s="33"/>
      <c r="AE510" s="33"/>
      <c r="AF510" s="33"/>
    </row>
    <row r="511" spans="6:32" ht="11.25" customHeight="1" x14ac:dyDescent="0.2">
      <c r="F511" s="155"/>
      <c r="G511" s="155"/>
      <c r="H511" s="33"/>
      <c r="L511" s="33"/>
      <c r="M511" s="33"/>
      <c r="S511" s="441"/>
      <c r="T511" s="441"/>
      <c r="U511" s="441"/>
      <c r="V511" s="441"/>
      <c r="W511" s="441"/>
      <c r="X511" s="441"/>
      <c r="Y511" s="442"/>
      <c r="Z511" s="443"/>
      <c r="AC511" s="33"/>
      <c r="AE511" s="33"/>
      <c r="AF511" s="33"/>
    </row>
    <row r="512" spans="6:32" ht="11.25" customHeight="1" x14ac:dyDescent="0.2">
      <c r="F512" s="155"/>
      <c r="G512" s="155"/>
      <c r="H512" s="33"/>
      <c r="L512" s="33"/>
      <c r="M512" s="33"/>
      <c r="S512" s="441"/>
      <c r="T512" s="441"/>
      <c r="U512" s="441"/>
      <c r="V512" s="441"/>
      <c r="W512" s="441"/>
      <c r="X512" s="441"/>
      <c r="Y512" s="442"/>
      <c r="Z512" s="443"/>
      <c r="AC512" s="33"/>
      <c r="AE512" s="33"/>
      <c r="AF512" s="33"/>
    </row>
    <row r="513" spans="6:32" ht="11.25" customHeight="1" x14ac:dyDescent="0.2">
      <c r="F513" s="155"/>
      <c r="G513" s="155"/>
      <c r="H513" s="33"/>
      <c r="L513" s="33"/>
      <c r="M513" s="33"/>
      <c r="S513" s="441"/>
      <c r="T513" s="441"/>
      <c r="U513" s="441"/>
      <c r="V513" s="441"/>
      <c r="W513" s="441"/>
      <c r="X513" s="441"/>
      <c r="Y513" s="442"/>
      <c r="Z513" s="443"/>
      <c r="AC513" s="33"/>
      <c r="AE513" s="33"/>
      <c r="AF513" s="33"/>
    </row>
    <row r="514" spans="6:32" ht="11.25" customHeight="1" x14ac:dyDescent="0.2">
      <c r="F514" s="155"/>
      <c r="G514" s="155"/>
      <c r="H514" s="33"/>
      <c r="L514" s="33"/>
      <c r="M514" s="33"/>
      <c r="S514" s="441"/>
      <c r="T514" s="441"/>
      <c r="U514" s="441"/>
      <c r="V514" s="441"/>
      <c r="W514" s="441"/>
      <c r="X514" s="441"/>
      <c r="Y514" s="442"/>
      <c r="Z514" s="443"/>
      <c r="AC514" s="33"/>
      <c r="AE514" s="33"/>
      <c r="AF514" s="33"/>
    </row>
    <row r="515" spans="6:32" ht="11.25" customHeight="1" x14ac:dyDescent="0.2">
      <c r="F515" s="155"/>
      <c r="G515" s="155"/>
      <c r="H515" s="33"/>
      <c r="L515" s="33"/>
      <c r="M515" s="33"/>
      <c r="S515" s="441"/>
      <c r="T515" s="441"/>
      <c r="U515" s="441"/>
      <c r="V515" s="441"/>
      <c r="W515" s="441"/>
      <c r="X515" s="441"/>
      <c r="Y515" s="442"/>
      <c r="Z515" s="443"/>
      <c r="AC515" s="33"/>
      <c r="AE515" s="33"/>
      <c r="AF515" s="33"/>
    </row>
    <row r="516" spans="6:32" ht="11.25" customHeight="1" x14ac:dyDescent="0.2">
      <c r="F516" s="155"/>
      <c r="G516" s="155"/>
      <c r="H516" s="33"/>
      <c r="L516" s="33"/>
      <c r="M516" s="33"/>
      <c r="S516" s="441"/>
      <c r="T516" s="441"/>
      <c r="U516" s="441"/>
      <c r="V516" s="441"/>
      <c r="W516" s="441"/>
      <c r="X516" s="441"/>
      <c r="Y516" s="442"/>
      <c r="Z516" s="443"/>
      <c r="AC516" s="33"/>
      <c r="AE516" s="33"/>
      <c r="AF516" s="33"/>
    </row>
    <row r="517" spans="6:32" ht="11.25" customHeight="1" x14ac:dyDescent="0.2">
      <c r="F517" s="155"/>
      <c r="G517" s="155"/>
      <c r="H517" s="33"/>
      <c r="L517" s="33"/>
      <c r="M517" s="33"/>
      <c r="S517" s="441"/>
      <c r="T517" s="441"/>
      <c r="U517" s="441"/>
      <c r="V517" s="441"/>
      <c r="W517" s="441"/>
      <c r="X517" s="441"/>
      <c r="Y517" s="442"/>
      <c r="Z517" s="443"/>
      <c r="AC517" s="33"/>
      <c r="AE517" s="33"/>
      <c r="AF517" s="33"/>
    </row>
    <row r="518" spans="6:32" ht="11.25" customHeight="1" x14ac:dyDescent="0.2">
      <c r="F518" s="155"/>
      <c r="G518" s="155"/>
      <c r="H518" s="33"/>
      <c r="L518" s="33"/>
      <c r="M518" s="33"/>
      <c r="S518" s="441"/>
      <c r="T518" s="441"/>
      <c r="U518" s="441"/>
      <c r="V518" s="441"/>
      <c r="W518" s="441"/>
      <c r="X518" s="441"/>
      <c r="Y518" s="442"/>
      <c r="Z518" s="443"/>
      <c r="AC518" s="33"/>
      <c r="AE518" s="33"/>
      <c r="AF518" s="33"/>
    </row>
    <row r="519" spans="6:32" ht="11.25" customHeight="1" x14ac:dyDescent="0.2">
      <c r="F519" s="155"/>
      <c r="G519" s="155"/>
      <c r="H519" s="33"/>
      <c r="L519" s="33"/>
      <c r="M519" s="33"/>
      <c r="S519" s="441"/>
      <c r="T519" s="441"/>
      <c r="U519" s="441"/>
      <c r="V519" s="441"/>
      <c r="W519" s="441"/>
      <c r="X519" s="441"/>
      <c r="Y519" s="442"/>
      <c r="Z519" s="443"/>
      <c r="AC519" s="33"/>
      <c r="AE519" s="33"/>
      <c r="AF519" s="33"/>
    </row>
    <row r="520" spans="6:32" ht="11.25" customHeight="1" x14ac:dyDescent="0.2">
      <c r="F520" s="155"/>
      <c r="G520" s="155"/>
      <c r="H520" s="33"/>
      <c r="L520" s="33"/>
      <c r="M520" s="33"/>
      <c r="S520" s="441"/>
      <c r="T520" s="441"/>
      <c r="U520" s="441"/>
      <c r="V520" s="441"/>
      <c r="W520" s="441"/>
      <c r="X520" s="441"/>
      <c r="Y520" s="442"/>
      <c r="Z520" s="443"/>
      <c r="AC520" s="33"/>
      <c r="AE520" s="33"/>
      <c r="AF520" s="33"/>
    </row>
    <row r="521" spans="6:32" ht="11.25" customHeight="1" x14ac:dyDescent="0.2">
      <c r="F521" s="155"/>
      <c r="G521" s="155"/>
      <c r="H521" s="33"/>
      <c r="L521" s="33"/>
      <c r="M521" s="33"/>
      <c r="S521" s="441"/>
      <c r="T521" s="441"/>
      <c r="U521" s="441"/>
      <c r="V521" s="441"/>
      <c r="W521" s="441"/>
      <c r="X521" s="441"/>
      <c r="Y521" s="442"/>
      <c r="Z521" s="443"/>
      <c r="AC521" s="33"/>
      <c r="AE521" s="33"/>
      <c r="AF521" s="33"/>
    </row>
    <row r="522" spans="6:32" ht="11.25" customHeight="1" x14ac:dyDescent="0.2">
      <c r="F522" s="155"/>
      <c r="G522" s="155"/>
      <c r="H522" s="33"/>
      <c r="L522" s="33"/>
      <c r="M522" s="33"/>
      <c r="S522" s="441"/>
      <c r="T522" s="441"/>
      <c r="U522" s="441"/>
      <c r="V522" s="441"/>
      <c r="W522" s="441"/>
      <c r="X522" s="441"/>
      <c r="Y522" s="442"/>
      <c r="Z522" s="443"/>
      <c r="AC522" s="33"/>
      <c r="AE522" s="33"/>
      <c r="AF522" s="33"/>
    </row>
    <row r="523" spans="6:32" ht="11.25" customHeight="1" x14ac:dyDescent="0.2">
      <c r="F523" s="155"/>
      <c r="G523" s="155"/>
      <c r="H523" s="33"/>
      <c r="L523" s="33"/>
      <c r="M523" s="33"/>
      <c r="S523" s="441"/>
      <c r="T523" s="441"/>
      <c r="U523" s="441"/>
      <c r="V523" s="441"/>
      <c r="W523" s="441"/>
      <c r="X523" s="441"/>
      <c r="Y523" s="442"/>
      <c r="Z523" s="443"/>
      <c r="AC523" s="33"/>
      <c r="AE523" s="33"/>
      <c r="AF523" s="33"/>
    </row>
    <row r="524" spans="6:32" ht="11.25" customHeight="1" x14ac:dyDescent="0.2">
      <c r="F524" s="155"/>
      <c r="G524" s="155"/>
      <c r="H524" s="33"/>
      <c r="L524" s="33"/>
      <c r="M524" s="33"/>
      <c r="S524" s="441"/>
      <c r="T524" s="441"/>
      <c r="U524" s="441"/>
      <c r="V524" s="441"/>
      <c r="W524" s="441"/>
      <c r="X524" s="441"/>
      <c r="Y524" s="442"/>
      <c r="Z524" s="443"/>
      <c r="AC524" s="33"/>
      <c r="AE524" s="33"/>
      <c r="AF524" s="33"/>
    </row>
    <row r="525" spans="6:32" ht="11.25" customHeight="1" x14ac:dyDescent="0.2">
      <c r="F525" s="155"/>
      <c r="G525" s="155"/>
      <c r="H525" s="33"/>
      <c r="L525" s="33"/>
      <c r="M525" s="33"/>
      <c r="S525" s="441"/>
      <c r="T525" s="441"/>
      <c r="U525" s="441"/>
      <c r="V525" s="441"/>
      <c r="W525" s="441"/>
      <c r="X525" s="441"/>
      <c r="Y525" s="442"/>
      <c r="Z525" s="443"/>
      <c r="AC525" s="33"/>
      <c r="AE525" s="33"/>
      <c r="AF525" s="33"/>
    </row>
    <row r="526" spans="6:32" ht="11.25" customHeight="1" x14ac:dyDescent="0.2">
      <c r="F526" s="155"/>
      <c r="G526" s="155"/>
      <c r="H526" s="33"/>
      <c r="L526" s="33"/>
      <c r="M526" s="33"/>
      <c r="S526" s="441"/>
      <c r="T526" s="441"/>
      <c r="U526" s="441"/>
      <c r="V526" s="441"/>
      <c r="W526" s="441"/>
      <c r="X526" s="441"/>
      <c r="Y526" s="442"/>
      <c r="Z526" s="443"/>
      <c r="AC526" s="33"/>
      <c r="AE526" s="33"/>
      <c r="AF526" s="33"/>
    </row>
    <row r="527" spans="6:32" ht="11.25" customHeight="1" x14ac:dyDescent="0.2">
      <c r="F527" s="155"/>
      <c r="G527" s="155"/>
      <c r="H527" s="33"/>
      <c r="L527" s="33"/>
      <c r="M527" s="33"/>
      <c r="S527" s="441"/>
      <c r="T527" s="441"/>
      <c r="U527" s="441"/>
      <c r="V527" s="441"/>
      <c r="W527" s="441"/>
      <c r="X527" s="441"/>
      <c r="Y527" s="442"/>
      <c r="Z527" s="443"/>
      <c r="AC527" s="33"/>
      <c r="AE527" s="33"/>
      <c r="AF527" s="33"/>
    </row>
    <row r="528" spans="6:32" ht="11.25" customHeight="1" x14ac:dyDescent="0.2">
      <c r="F528" s="155"/>
      <c r="G528" s="155"/>
      <c r="H528" s="33"/>
      <c r="L528" s="33"/>
      <c r="M528" s="33"/>
      <c r="S528" s="441"/>
      <c r="T528" s="441"/>
      <c r="U528" s="441"/>
      <c r="V528" s="441"/>
      <c r="W528" s="441"/>
      <c r="X528" s="441"/>
      <c r="Y528" s="442"/>
      <c r="Z528" s="443"/>
      <c r="AC528" s="33"/>
      <c r="AE528" s="33"/>
      <c r="AF528" s="33"/>
    </row>
    <row r="529" spans="6:32" ht="11.25" customHeight="1" x14ac:dyDescent="0.2">
      <c r="F529" s="155"/>
      <c r="G529" s="155"/>
      <c r="H529" s="33"/>
      <c r="L529" s="33"/>
      <c r="M529" s="33"/>
      <c r="S529" s="441"/>
      <c r="T529" s="441"/>
      <c r="U529" s="441"/>
      <c r="V529" s="441"/>
      <c r="W529" s="441"/>
      <c r="X529" s="441"/>
      <c r="Y529" s="442"/>
      <c r="Z529" s="443"/>
      <c r="AC529" s="33"/>
      <c r="AE529" s="33"/>
      <c r="AF529" s="33"/>
    </row>
    <row r="530" spans="6:32" ht="11.25" customHeight="1" x14ac:dyDescent="0.2">
      <c r="F530" s="155"/>
      <c r="G530" s="155"/>
      <c r="H530" s="33"/>
      <c r="L530" s="33"/>
      <c r="M530" s="33"/>
      <c r="S530" s="441"/>
      <c r="T530" s="441"/>
      <c r="U530" s="441"/>
      <c r="V530" s="441"/>
      <c r="W530" s="441"/>
      <c r="X530" s="441"/>
      <c r="Y530" s="442"/>
      <c r="Z530" s="443"/>
      <c r="AC530" s="33"/>
      <c r="AE530" s="33"/>
      <c r="AF530" s="33"/>
    </row>
    <row r="531" spans="6:32" ht="11.25" customHeight="1" x14ac:dyDescent="0.2">
      <c r="F531" s="155"/>
      <c r="G531" s="155"/>
      <c r="H531" s="33"/>
      <c r="L531" s="33"/>
      <c r="M531" s="33"/>
      <c r="S531" s="441"/>
      <c r="T531" s="441"/>
      <c r="U531" s="441"/>
      <c r="V531" s="441"/>
      <c r="W531" s="441"/>
      <c r="X531" s="441"/>
      <c r="Y531" s="442"/>
      <c r="Z531" s="443"/>
      <c r="AC531" s="33"/>
      <c r="AE531" s="33"/>
      <c r="AF531" s="33"/>
    </row>
    <row r="532" spans="6:32" ht="11.25" customHeight="1" x14ac:dyDescent="0.2">
      <c r="F532" s="155"/>
      <c r="G532" s="155"/>
      <c r="H532" s="33"/>
      <c r="L532" s="33"/>
      <c r="M532" s="33"/>
      <c r="S532" s="441"/>
      <c r="T532" s="441"/>
      <c r="U532" s="441"/>
      <c r="V532" s="441"/>
      <c r="W532" s="441"/>
      <c r="X532" s="441"/>
      <c r="Y532" s="442"/>
      <c r="Z532" s="443"/>
      <c r="AC532" s="33"/>
      <c r="AE532" s="33"/>
      <c r="AF532" s="33"/>
    </row>
    <row r="533" spans="6:32" ht="11.25" customHeight="1" x14ac:dyDescent="0.2">
      <c r="F533" s="155"/>
      <c r="G533" s="155"/>
      <c r="H533" s="33"/>
      <c r="L533" s="33"/>
      <c r="M533" s="33"/>
      <c r="S533" s="441"/>
      <c r="T533" s="441"/>
      <c r="U533" s="441"/>
      <c r="V533" s="441"/>
      <c r="W533" s="441"/>
      <c r="X533" s="441"/>
      <c r="Y533" s="442"/>
      <c r="Z533" s="443"/>
      <c r="AC533" s="33"/>
      <c r="AE533" s="33"/>
      <c r="AF533" s="33"/>
    </row>
    <row r="534" spans="6:32" ht="11.25" customHeight="1" x14ac:dyDescent="0.2">
      <c r="F534" s="155"/>
      <c r="G534" s="155"/>
      <c r="H534" s="33"/>
      <c r="L534" s="33"/>
      <c r="M534" s="33"/>
      <c r="S534" s="441"/>
      <c r="T534" s="441"/>
      <c r="U534" s="441"/>
      <c r="V534" s="441"/>
      <c r="W534" s="441"/>
      <c r="X534" s="441"/>
      <c r="Y534" s="442"/>
      <c r="Z534" s="443"/>
      <c r="AC534" s="33"/>
      <c r="AE534" s="33"/>
      <c r="AF534" s="33"/>
    </row>
    <row r="535" spans="6:32" ht="11.25" customHeight="1" x14ac:dyDescent="0.2">
      <c r="F535" s="155"/>
      <c r="G535" s="155"/>
      <c r="H535" s="33"/>
      <c r="L535" s="33"/>
      <c r="M535" s="33"/>
      <c r="AC535" s="33"/>
      <c r="AE535" s="33"/>
      <c r="AF535" s="33"/>
    </row>
    <row r="536" spans="6:32" ht="11.25" customHeight="1" x14ac:dyDescent="0.2">
      <c r="F536" s="155"/>
      <c r="G536" s="155"/>
      <c r="H536" s="33"/>
      <c r="L536" s="33"/>
      <c r="M536" s="33"/>
      <c r="AC536" s="33"/>
      <c r="AE536" s="33"/>
      <c r="AF536" s="33"/>
    </row>
    <row r="537" spans="6:32" ht="11.25" customHeight="1" x14ac:dyDescent="0.2">
      <c r="F537" s="155"/>
      <c r="G537" s="155"/>
      <c r="H537" s="33"/>
      <c r="L537" s="33"/>
      <c r="M537" s="33"/>
      <c r="AC537" s="33"/>
      <c r="AE537" s="33"/>
      <c r="AF537" s="33"/>
    </row>
    <row r="538" spans="6:32" ht="11.25" customHeight="1" x14ac:dyDescent="0.2">
      <c r="F538" s="155"/>
      <c r="G538" s="155"/>
      <c r="H538" s="33"/>
      <c r="L538" s="33"/>
      <c r="M538" s="33"/>
      <c r="AC538" s="33"/>
      <c r="AE538" s="33"/>
      <c r="AF538" s="33"/>
    </row>
    <row r="539" spans="6:32" ht="11.25" customHeight="1" x14ac:dyDescent="0.2">
      <c r="F539" s="155"/>
      <c r="G539" s="155"/>
      <c r="H539" s="33"/>
      <c r="L539" s="33"/>
      <c r="M539" s="33"/>
      <c r="AC539" s="33"/>
      <c r="AE539" s="33"/>
      <c r="AF539" s="33"/>
    </row>
    <row r="540" spans="6:32" ht="11.25" customHeight="1" x14ac:dyDescent="0.2">
      <c r="F540" s="155"/>
      <c r="G540" s="155"/>
      <c r="H540" s="33"/>
      <c r="L540" s="33"/>
      <c r="M540" s="33"/>
      <c r="AC540" s="33"/>
      <c r="AE540" s="33"/>
      <c r="AF540" s="33"/>
    </row>
    <row r="541" spans="6:32" ht="11.25" customHeight="1" x14ac:dyDescent="0.2">
      <c r="F541" s="155"/>
      <c r="G541" s="155"/>
      <c r="H541" s="33"/>
      <c r="L541" s="33"/>
      <c r="M541" s="33"/>
      <c r="AC541" s="33"/>
      <c r="AE541" s="33"/>
      <c r="AF541" s="33"/>
    </row>
    <row r="542" spans="6:32" ht="11.25" customHeight="1" x14ac:dyDescent="0.2">
      <c r="F542" s="155"/>
      <c r="G542" s="155"/>
      <c r="H542" s="33"/>
      <c r="L542" s="33"/>
      <c r="M542" s="33"/>
      <c r="AC542" s="33"/>
      <c r="AE542" s="33"/>
      <c r="AF542" s="33"/>
    </row>
    <row r="543" spans="6:32" ht="11.25" customHeight="1" x14ac:dyDescent="0.2">
      <c r="F543" s="155"/>
      <c r="G543" s="155"/>
      <c r="H543" s="33"/>
      <c r="L543" s="33"/>
      <c r="M543" s="33"/>
      <c r="AC543" s="33"/>
      <c r="AE543" s="33"/>
      <c r="AF543" s="33"/>
    </row>
    <row r="544" spans="6:32" ht="11.25" customHeight="1" x14ac:dyDescent="0.2">
      <c r="F544" s="155"/>
      <c r="G544" s="155"/>
      <c r="H544" s="33"/>
      <c r="L544" s="33"/>
      <c r="M544" s="33"/>
      <c r="AC544" s="33"/>
      <c r="AE544" s="33"/>
      <c r="AF544" s="33"/>
    </row>
    <row r="545" spans="6:32" ht="11.25" customHeight="1" x14ac:dyDescent="0.2">
      <c r="F545" s="155"/>
      <c r="G545" s="155"/>
      <c r="H545" s="33"/>
      <c r="L545" s="33"/>
      <c r="M545" s="33"/>
      <c r="AC545" s="33"/>
      <c r="AE545" s="33"/>
      <c r="AF545" s="33"/>
    </row>
    <row r="546" spans="6:32" ht="11.25" customHeight="1" x14ac:dyDescent="0.2">
      <c r="F546" s="155"/>
      <c r="G546" s="155"/>
      <c r="H546" s="33"/>
      <c r="L546" s="33"/>
      <c r="M546" s="33"/>
      <c r="AC546" s="33"/>
      <c r="AE546" s="33"/>
      <c r="AF546" s="33"/>
    </row>
    <row r="547" spans="6:32" ht="11.25" customHeight="1" x14ac:dyDescent="0.2">
      <c r="F547" s="155"/>
      <c r="G547" s="155"/>
      <c r="H547" s="33"/>
      <c r="L547" s="33"/>
      <c r="M547" s="33"/>
      <c r="AC547" s="33"/>
      <c r="AE547" s="33"/>
      <c r="AF547" s="33"/>
    </row>
    <row r="548" spans="6:32" ht="11.25" customHeight="1" x14ac:dyDescent="0.2">
      <c r="F548" s="155"/>
      <c r="G548" s="155"/>
      <c r="H548" s="33"/>
      <c r="L548" s="33"/>
      <c r="M548" s="33"/>
      <c r="AC548" s="33"/>
      <c r="AE548" s="33"/>
      <c r="AF548" s="33"/>
    </row>
    <row r="549" spans="6:32" ht="11.25" customHeight="1" x14ac:dyDescent="0.2">
      <c r="F549" s="155"/>
      <c r="G549" s="155"/>
      <c r="H549" s="33"/>
      <c r="L549" s="33"/>
      <c r="M549" s="33"/>
      <c r="AC549" s="33"/>
      <c r="AE549" s="33"/>
      <c r="AF549" s="33"/>
    </row>
    <row r="550" spans="6:32" ht="11.25" customHeight="1" x14ac:dyDescent="0.2">
      <c r="F550" s="155"/>
      <c r="G550" s="155"/>
      <c r="H550" s="33"/>
      <c r="L550" s="33"/>
      <c r="M550" s="33"/>
      <c r="AC550" s="33"/>
      <c r="AE550" s="33"/>
      <c r="AF550" s="33"/>
    </row>
    <row r="551" spans="6:32" ht="11.25" customHeight="1" x14ac:dyDescent="0.2">
      <c r="F551" s="155"/>
      <c r="G551" s="155"/>
      <c r="H551" s="33"/>
      <c r="L551" s="33"/>
      <c r="M551" s="33"/>
      <c r="AC551" s="33"/>
      <c r="AE551" s="33"/>
      <c r="AF551" s="33"/>
    </row>
    <row r="552" spans="6:32" ht="11.25" customHeight="1" x14ac:dyDescent="0.2">
      <c r="F552" s="155"/>
      <c r="G552" s="155"/>
      <c r="H552" s="33"/>
      <c r="L552" s="33"/>
      <c r="M552" s="33"/>
      <c r="AC552" s="33"/>
      <c r="AE552" s="33"/>
      <c r="AF552" s="33"/>
    </row>
    <row r="553" spans="6:32" ht="11.25" customHeight="1" x14ac:dyDescent="0.2">
      <c r="F553" s="155"/>
      <c r="G553" s="155"/>
      <c r="H553" s="33"/>
      <c r="L553" s="33"/>
      <c r="M553" s="33"/>
      <c r="AC553" s="33"/>
      <c r="AE553" s="33"/>
      <c r="AF553" s="33"/>
    </row>
    <row r="554" spans="6:32" ht="11.25" customHeight="1" x14ac:dyDescent="0.2">
      <c r="F554" s="155"/>
      <c r="G554" s="155"/>
      <c r="H554" s="33"/>
      <c r="L554" s="33"/>
      <c r="M554" s="33"/>
      <c r="AC554" s="33"/>
      <c r="AE554" s="33"/>
      <c r="AF554" s="33"/>
    </row>
    <row r="555" spans="6:32" ht="11.25" customHeight="1" x14ac:dyDescent="0.2">
      <c r="F555" s="155"/>
      <c r="G555" s="155"/>
      <c r="H555" s="33"/>
      <c r="L555" s="33"/>
      <c r="M555" s="33"/>
      <c r="AC555" s="33"/>
      <c r="AE555" s="33"/>
      <c r="AF555" s="33"/>
    </row>
    <row r="556" spans="6:32" ht="11.25" customHeight="1" x14ac:dyDescent="0.2">
      <c r="F556" s="155"/>
      <c r="G556" s="155"/>
      <c r="H556" s="33"/>
      <c r="L556" s="33"/>
      <c r="M556" s="33"/>
      <c r="AC556" s="33"/>
      <c r="AE556" s="33"/>
      <c r="AF556" s="33"/>
    </row>
    <row r="557" spans="6:32" ht="11.25" customHeight="1" x14ac:dyDescent="0.2">
      <c r="F557" s="155"/>
      <c r="G557" s="155"/>
      <c r="H557" s="33"/>
      <c r="L557" s="33"/>
      <c r="M557" s="33"/>
      <c r="AC557" s="33"/>
      <c r="AE557" s="33"/>
      <c r="AF557" s="33"/>
    </row>
    <row r="558" spans="6:32" ht="11.25" customHeight="1" x14ac:dyDescent="0.2">
      <c r="F558" s="155"/>
      <c r="G558" s="155"/>
      <c r="H558" s="33"/>
      <c r="L558" s="33"/>
      <c r="M558" s="33"/>
      <c r="AC558" s="33"/>
      <c r="AE558" s="33"/>
      <c r="AF558" s="33"/>
    </row>
    <row r="559" spans="6:32" ht="11.25" customHeight="1" x14ac:dyDescent="0.2">
      <c r="F559" s="155"/>
      <c r="G559" s="155"/>
      <c r="H559" s="33"/>
      <c r="L559" s="33"/>
      <c r="M559" s="33"/>
      <c r="AC559" s="33"/>
      <c r="AE559" s="33"/>
      <c r="AF559" s="33"/>
    </row>
    <row r="560" spans="6:32" ht="11.25" customHeight="1" x14ac:dyDescent="0.2">
      <c r="F560" s="155"/>
      <c r="G560" s="155"/>
      <c r="H560" s="33"/>
      <c r="L560" s="33"/>
      <c r="M560" s="33"/>
      <c r="AC560" s="33"/>
      <c r="AE560" s="33"/>
      <c r="AF560" s="33"/>
    </row>
    <row r="561" spans="6:32" ht="11.25" customHeight="1" x14ac:dyDescent="0.2">
      <c r="F561" s="155"/>
      <c r="G561" s="155"/>
      <c r="H561" s="33"/>
      <c r="L561" s="33"/>
      <c r="M561" s="33"/>
      <c r="AC561" s="33"/>
      <c r="AE561" s="33"/>
      <c r="AF561" s="33"/>
    </row>
    <row r="562" spans="6:32" ht="11.25" customHeight="1" x14ac:dyDescent="0.2">
      <c r="F562" s="155"/>
      <c r="G562" s="155"/>
      <c r="H562" s="33"/>
      <c r="L562" s="33"/>
      <c r="M562" s="33"/>
      <c r="AC562" s="33"/>
      <c r="AE562" s="33"/>
      <c r="AF562" s="33"/>
    </row>
    <row r="563" spans="6:32" ht="11.25" customHeight="1" x14ac:dyDescent="0.2">
      <c r="F563" s="155"/>
      <c r="G563" s="155"/>
      <c r="H563" s="33"/>
      <c r="L563" s="33"/>
      <c r="M563" s="33"/>
      <c r="AC563" s="33"/>
      <c r="AE563" s="33"/>
      <c r="AF563" s="33"/>
    </row>
    <row r="564" spans="6:32" ht="11.25" customHeight="1" x14ac:dyDescent="0.2">
      <c r="F564" s="155"/>
      <c r="G564" s="155"/>
      <c r="H564" s="33"/>
      <c r="L564" s="33"/>
      <c r="M564" s="33"/>
      <c r="AC564" s="33"/>
      <c r="AE564" s="33"/>
      <c r="AF564" s="33"/>
    </row>
    <row r="565" spans="6:32" ht="11.25" customHeight="1" x14ac:dyDescent="0.2">
      <c r="F565" s="155"/>
      <c r="G565" s="155"/>
      <c r="H565" s="33"/>
      <c r="L565" s="33"/>
      <c r="M565" s="33"/>
      <c r="AC565" s="33"/>
      <c r="AE565" s="33"/>
      <c r="AF565" s="33"/>
    </row>
    <row r="566" spans="6:32" ht="11.25" customHeight="1" x14ac:dyDescent="0.2">
      <c r="F566" s="155"/>
      <c r="G566" s="155"/>
      <c r="H566" s="33"/>
      <c r="L566" s="33"/>
      <c r="M566" s="33"/>
      <c r="AC566" s="33"/>
      <c r="AE566" s="33"/>
      <c r="AF566" s="33"/>
    </row>
    <row r="567" spans="6:32" ht="11.25" customHeight="1" x14ac:dyDescent="0.2">
      <c r="F567" s="155"/>
      <c r="G567" s="155"/>
      <c r="H567" s="33"/>
      <c r="L567" s="33"/>
      <c r="M567" s="33"/>
      <c r="AC567" s="33"/>
      <c r="AE567" s="33"/>
      <c r="AF567" s="33"/>
    </row>
    <row r="568" spans="6:32" ht="11.25" customHeight="1" x14ac:dyDescent="0.2">
      <c r="F568" s="155"/>
      <c r="G568" s="155"/>
      <c r="H568" s="33"/>
      <c r="L568" s="33"/>
      <c r="M568" s="33"/>
      <c r="AC568" s="33"/>
      <c r="AE568" s="33"/>
      <c r="AF568" s="33"/>
    </row>
    <row r="569" spans="6:32" ht="11.25" customHeight="1" x14ac:dyDescent="0.2">
      <c r="F569" s="155"/>
      <c r="G569" s="155"/>
      <c r="H569" s="33"/>
      <c r="L569" s="33"/>
      <c r="M569" s="33"/>
      <c r="AC569" s="33"/>
      <c r="AE569" s="33"/>
      <c r="AF569" s="33"/>
    </row>
    <row r="570" spans="6:32" ht="11.25" customHeight="1" x14ac:dyDescent="0.2">
      <c r="F570" s="155"/>
      <c r="G570" s="155"/>
      <c r="H570" s="33"/>
      <c r="L570" s="33"/>
      <c r="M570" s="33"/>
      <c r="AC570" s="33"/>
      <c r="AE570" s="33"/>
      <c r="AF570" s="33"/>
    </row>
    <row r="571" spans="6:32" ht="11.25" customHeight="1" x14ac:dyDescent="0.2">
      <c r="F571" s="155"/>
      <c r="G571" s="155"/>
      <c r="H571" s="33"/>
      <c r="L571" s="33"/>
      <c r="M571" s="33"/>
      <c r="AC571" s="33"/>
      <c r="AE571" s="33"/>
      <c r="AF571" s="33"/>
    </row>
    <row r="572" spans="6:32" ht="11.25" customHeight="1" x14ac:dyDescent="0.2">
      <c r="F572" s="155"/>
      <c r="G572" s="155"/>
      <c r="H572" s="33"/>
      <c r="L572" s="33"/>
      <c r="M572" s="33"/>
      <c r="AC572" s="33"/>
      <c r="AE572" s="33"/>
      <c r="AF572" s="33"/>
    </row>
    <row r="573" spans="6:32" ht="11.25" customHeight="1" x14ac:dyDescent="0.2">
      <c r="F573" s="155"/>
      <c r="G573" s="155"/>
      <c r="H573" s="33"/>
      <c r="L573" s="33"/>
      <c r="M573" s="33"/>
      <c r="AC573" s="33"/>
      <c r="AE573" s="33"/>
      <c r="AF573" s="33"/>
    </row>
    <row r="574" spans="6:32" ht="11.25" customHeight="1" x14ac:dyDescent="0.2">
      <c r="F574" s="155"/>
      <c r="G574" s="155"/>
      <c r="H574" s="33"/>
      <c r="L574" s="33"/>
      <c r="M574" s="33"/>
      <c r="AC574" s="33"/>
      <c r="AE574" s="33"/>
      <c r="AF574" s="33"/>
    </row>
    <row r="575" spans="6:32" ht="11.25" customHeight="1" x14ac:dyDescent="0.2">
      <c r="F575" s="155"/>
      <c r="G575" s="155"/>
      <c r="H575" s="33"/>
      <c r="L575" s="33"/>
      <c r="M575" s="33"/>
      <c r="AC575" s="33"/>
      <c r="AE575" s="33"/>
      <c r="AF575" s="33"/>
    </row>
    <row r="576" spans="6:32" ht="11.25" customHeight="1" x14ac:dyDescent="0.2">
      <c r="F576" s="155"/>
      <c r="G576" s="155"/>
      <c r="H576" s="33"/>
      <c r="L576" s="33"/>
      <c r="M576" s="33"/>
      <c r="AC576" s="33"/>
      <c r="AE576" s="33"/>
      <c r="AF576" s="33"/>
    </row>
    <row r="577" spans="6:32" ht="11.25" customHeight="1" x14ac:dyDescent="0.2">
      <c r="F577" s="155"/>
      <c r="G577" s="155"/>
      <c r="H577" s="33"/>
      <c r="L577" s="33"/>
      <c r="M577" s="33"/>
      <c r="AC577" s="33"/>
      <c r="AE577" s="33"/>
      <c r="AF577" s="33"/>
    </row>
    <row r="578" spans="6:32" ht="11.25" customHeight="1" x14ac:dyDescent="0.2">
      <c r="F578" s="155"/>
      <c r="G578" s="155"/>
      <c r="H578" s="33"/>
      <c r="L578" s="33"/>
      <c r="M578" s="33"/>
      <c r="AC578" s="33"/>
      <c r="AE578" s="33"/>
      <c r="AF578" s="33"/>
    </row>
    <row r="579" spans="6:32" ht="11.25" customHeight="1" x14ac:dyDescent="0.2">
      <c r="F579" s="155"/>
      <c r="G579" s="155"/>
      <c r="H579" s="33"/>
      <c r="L579" s="33"/>
      <c r="M579" s="33"/>
      <c r="AC579" s="33"/>
      <c r="AE579" s="33"/>
      <c r="AF579" s="33"/>
    </row>
    <row r="580" spans="6:32" ht="11.25" customHeight="1" x14ac:dyDescent="0.2">
      <c r="F580" s="155"/>
      <c r="G580" s="155"/>
      <c r="H580" s="33"/>
      <c r="L580" s="33"/>
      <c r="M580" s="33"/>
      <c r="AC580" s="33"/>
      <c r="AE580" s="33"/>
      <c r="AF580" s="33"/>
    </row>
    <row r="581" spans="6:32" ht="11.25" customHeight="1" x14ac:dyDescent="0.2">
      <c r="F581" s="155"/>
      <c r="G581" s="155"/>
      <c r="H581" s="33"/>
      <c r="L581" s="33"/>
      <c r="M581" s="33"/>
      <c r="AC581" s="33"/>
      <c r="AE581" s="33"/>
      <c r="AF581" s="33"/>
    </row>
    <row r="582" spans="6:32" ht="11.25" customHeight="1" x14ac:dyDescent="0.2">
      <c r="F582" s="155"/>
      <c r="G582" s="155"/>
      <c r="H582" s="33"/>
      <c r="L582" s="33"/>
      <c r="M582" s="33"/>
      <c r="AC582" s="33"/>
      <c r="AE582" s="33"/>
      <c r="AF582" s="33"/>
    </row>
    <row r="583" spans="6:32" x14ac:dyDescent="0.2">
      <c r="AC583" s="33"/>
      <c r="AE583" s="33"/>
      <c r="AF583" s="33"/>
    </row>
    <row r="584" spans="6:32" x14ac:dyDescent="0.2">
      <c r="AC584" s="33"/>
      <c r="AE584" s="33"/>
      <c r="AF584" s="33"/>
    </row>
    <row r="585" spans="6:32" x14ac:dyDescent="0.2">
      <c r="AC585" s="33"/>
      <c r="AE585" s="33"/>
      <c r="AF585" s="33"/>
    </row>
    <row r="586" spans="6:32" x14ac:dyDescent="0.2">
      <c r="AC586" s="33"/>
      <c r="AE586" s="33"/>
      <c r="AF586" s="33"/>
    </row>
    <row r="587" spans="6:32" x14ac:dyDescent="0.2">
      <c r="AC587" s="33"/>
      <c r="AE587" s="33"/>
      <c r="AF587" s="33"/>
    </row>
    <row r="588" spans="6:32" x14ac:dyDescent="0.2">
      <c r="AC588" s="33"/>
      <c r="AE588" s="33"/>
      <c r="AF588" s="33"/>
    </row>
    <row r="589" spans="6:32" x14ac:dyDescent="0.2">
      <c r="AC589" s="33"/>
      <c r="AE589" s="33"/>
      <c r="AF589" s="33"/>
    </row>
    <row r="590" spans="6:32" x14ac:dyDescent="0.2">
      <c r="AC590" s="33"/>
      <c r="AE590" s="33"/>
      <c r="AF590" s="33"/>
    </row>
    <row r="591" spans="6:32" x14ac:dyDescent="0.2">
      <c r="AC591" s="33"/>
      <c r="AE591" s="33"/>
      <c r="AF591" s="33"/>
    </row>
    <row r="592" spans="6:32" x14ac:dyDescent="0.2">
      <c r="AC592" s="33"/>
      <c r="AE592" s="33"/>
      <c r="AF592" s="33"/>
    </row>
    <row r="593" spans="29:32" x14ac:dyDescent="0.2">
      <c r="AC593" s="33"/>
      <c r="AE593" s="33"/>
      <c r="AF593" s="33"/>
    </row>
    <row r="594" spans="29:32" x14ac:dyDescent="0.2">
      <c r="AC594" s="33"/>
      <c r="AE594" s="33"/>
      <c r="AF594" s="33"/>
    </row>
    <row r="595" spans="29:32" x14ac:dyDescent="0.2">
      <c r="AC595" s="33"/>
      <c r="AE595" s="33"/>
      <c r="AF595" s="33"/>
    </row>
    <row r="596" spans="29:32" x14ac:dyDescent="0.2">
      <c r="AC596" s="33"/>
      <c r="AE596" s="33"/>
      <c r="AF596" s="33"/>
    </row>
    <row r="597" spans="29:32" x14ac:dyDescent="0.2">
      <c r="AC597" s="33"/>
      <c r="AE597" s="33"/>
      <c r="AF597" s="33"/>
    </row>
    <row r="598" spans="29:32" x14ac:dyDescent="0.2">
      <c r="AC598" s="33"/>
      <c r="AE598" s="33"/>
      <c r="AF598" s="33"/>
    </row>
    <row r="599" spans="29:32" x14ac:dyDescent="0.2">
      <c r="AC599" s="33"/>
      <c r="AE599" s="33"/>
      <c r="AF599" s="33"/>
    </row>
    <row r="600" spans="29:32" x14ac:dyDescent="0.2">
      <c r="AC600" s="33"/>
      <c r="AE600" s="33"/>
      <c r="AF600" s="33"/>
    </row>
    <row r="601" spans="29:32" x14ac:dyDescent="0.2">
      <c r="AC601" s="33"/>
      <c r="AE601" s="33"/>
      <c r="AF601" s="33"/>
    </row>
    <row r="602" spans="29:32" x14ac:dyDescent="0.2">
      <c r="AC602" s="33"/>
      <c r="AE602" s="33"/>
      <c r="AF602" s="33"/>
    </row>
    <row r="603" spans="29:32" x14ac:dyDescent="0.2">
      <c r="AC603" s="33"/>
      <c r="AE603" s="33"/>
      <c r="AF603" s="33"/>
    </row>
    <row r="604" spans="29:32" x14ac:dyDescent="0.2">
      <c r="AC604" s="33"/>
      <c r="AE604" s="33"/>
      <c r="AF604" s="33"/>
    </row>
    <row r="605" spans="29:32" x14ac:dyDescent="0.2">
      <c r="AC605" s="33"/>
      <c r="AE605" s="33"/>
      <c r="AF605" s="33"/>
    </row>
    <row r="606" spans="29:32" x14ac:dyDescent="0.2">
      <c r="AC606" s="33"/>
      <c r="AE606" s="33"/>
      <c r="AF606" s="33"/>
    </row>
    <row r="607" spans="29:32" x14ac:dyDescent="0.2">
      <c r="AC607" s="33"/>
      <c r="AE607" s="33"/>
      <c r="AF607" s="33"/>
    </row>
    <row r="608" spans="29:32" x14ac:dyDescent="0.2">
      <c r="AC608" s="33"/>
      <c r="AE608" s="33"/>
      <c r="AF608" s="33"/>
    </row>
    <row r="609" spans="29:32" x14ac:dyDescent="0.2">
      <c r="AC609" s="33"/>
      <c r="AE609" s="33"/>
      <c r="AF609" s="33"/>
    </row>
    <row r="610" spans="29:32" x14ac:dyDescent="0.2">
      <c r="AC610" s="33"/>
      <c r="AE610" s="33"/>
      <c r="AF610" s="33"/>
    </row>
    <row r="611" spans="29:32" x14ac:dyDescent="0.2">
      <c r="AC611" s="33"/>
      <c r="AE611" s="33"/>
      <c r="AF611" s="33"/>
    </row>
    <row r="612" spans="29:32" x14ac:dyDescent="0.2">
      <c r="AC612" s="33"/>
      <c r="AE612" s="33"/>
      <c r="AF612" s="33"/>
    </row>
    <row r="613" spans="29:32" x14ac:dyDescent="0.2">
      <c r="AC613" s="33"/>
      <c r="AE613" s="33"/>
      <c r="AF613" s="33"/>
    </row>
    <row r="614" spans="29:32" x14ac:dyDescent="0.2">
      <c r="AC614" s="33"/>
      <c r="AE614" s="33"/>
      <c r="AF614" s="33"/>
    </row>
    <row r="615" spans="29:32" x14ac:dyDescent="0.2">
      <c r="AC615" s="33"/>
      <c r="AE615" s="33"/>
      <c r="AF615" s="33"/>
    </row>
    <row r="616" spans="29:32" x14ac:dyDescent="0.2">
      <c r="AC616" s="33"/>
      <c r="AE616" s="33"/>
      <c r="AF616" s="33"/>
    </row>
    <row r="617" spans="29:32" x14ac:dyDescent="0.2">
      <c r="AC617" s="33"/>
      <c r="AE617" s="33"/>
      <c r="AF617" s="33"/>
    </row>
    <row r="618" spans="29:32" x14ac:dyDescent="0.2">
      <c r="AC618" s="33"/>
      <c r="AE618" s="33"/>
      <c r="AF618" s="33"/>
    </row>
    <row r="619" spans="29:32" x14ac:dyDescent="0.2">
      <c r="AC619" s="33"/>
      <c r="AE619" s="33"/>
      <c r="AF619" s="33"/>
    </row>
    <row r="620" spans="29:32" x14ac:dyDescent="0.2">
      <c r="AC620" s="33"/>
      <c r="AE620" s="33"/>
      <c r="AF620" s="33"/>
    </row>
    <row r="621" spans="29:32" x14ac:dyDescent="0.2">
      <c r="AC621" s="33"/>
      <c r="AE621" s="33"/>
      <c r="AF621" s="33"/>
    </row>
    <row r="622" spans="29:32" x14ac:dyDescent="0.2">
      <c r="AC622" s="33"/>
      <c r="AE622" s="33"/>
      <c r="AF622" s="33"/>
    </row>
    <row r="623" spans="29:32" x14ac:dyDescent="0.2">
      <c r="AC623" s="33"/>
      <c r="AE623" s="33"/>
      <c r="AF623" s="33"/>
    </row>
    <row r="624" spans="29:32" x14ac:dyDescent="0.2">
      <c r="AC624" s="33"/>
      <c r="AE624" s="33"/>
      <c r="AF624" s="33"/>
    </row>
    <row r="625" spans="29:32" x14ac:dyDescent="0.2">
      <c r="AC625" s="33"/>
      <c r="AE625" s="33"/>
      <c r="AF625" s="33"/>
    </row>
    <row r="626" spans="29:32" x14ac:dyDescent="0.2">
      <c r="AC626" s="33"/>
      <c r="AE626" s="33"/>
      <c r="AF626" s="33"/>
    </row>
    <row r="627" spans="29:32" x14ac:dyDescent="0.2">
      <c r="AC627" s="33"/>
      <c r="AE627" s="33"/>
      <c r="AF627" s="33"/>
    </row>
    <row r="628" spans="29:32" x14ac:dyDescent="0.2">
      <c r="AC628" s="33"/>
      <c r="AE628" s="33"/>
      <c r="AF628" s="33"/>
    </row>
    <row r="629" spans="29:32" x14ac:dyDescent="0.2">
      <c r="AC629" s="33"/>
      <c r="AE629" s="33"/>
      <c r="AF629" s="33"/>
    </row>
    <row r="630" spans="29:32" x14ac:dyDescent="0.2">
      <c r="AC630" s="33"/>
      <c r="AE630" s="33"/>
      <c r="AF630" s="33"/>
    </row>
    <row r="631" spans="29:32" x14ac:dyDescent="0.2">
      <c r="AC631" s="33"/>
      <c r="AE631" s="33"/>
      <c r="AF631" s="33"/>
    </row>
    <row r="632" spans="29:32" x14ac:dyDescent="0.2">
      <c r="AC632" s="33"/>
      <c r="AE632" s="33"/>
      <c r="AF632" s="33"/>
    </row>
    <row r="633" spans="29:32" x14ac:dyDescent="0.2">
      <c r="AC633" s="33"/>
      <c r="AE633" s="33"/>
      <c r="AF633" s="33"/>
    </row>
    <row r="634" spans="29:32" x14ac:dyDescent="0.2">
      <c r="AC634" s="33"/>
      <c r="AE634" s="33"/>
      <c r="AF634" s="33"/>
    </row>
    <row r="635" spans="29:32" x14ac:dyDescent="0.2">
      <c r="AC635" s="33"/>
      <c r="AE635" s="33"/>
      <c r="AF635" s="33"/>
    </row>
    <row r="636" spans="29:32" x14ac:dyDescent="0.2">
      <c r="AC636" s="33"/>
      <c r="AE636" s="33"/>
      <c r="AF636" s="33"/>
    </row>
    <row r="637" spans="29:32" x14ac:dyDescent="0.2">
      <c r="AC637" s="33"/>
      <c r="AE637" s="33"/>
      <c r="AF637" s="33"/>
    </row>
    <row r="638" spans="29:32" x14ac:dyDescent="0.2">
      <c r="AC638" s="33"/>
      <c r="AE638" s="33"/>
      <c r="AF638" s="33"/>
    </row>
    <row r="639" spans="29:32" x14ac:dyDescent="0.2">
      <c r="AC639" s="33"/>
      <c r="AE639" s="33"/>
      <c r="AF639" s="33"/>
    </row>
    <row r="640" spans="29:32" x14ac:dyDescent="0.2">
      <c r="AC640" s="33"/>
      <c r="AE640" s="33"/>
      <c r="AF640" s="33"/>
    </row>
    <row r="641" spans="29:32" x14ac:dyDescent="0.2">
      <c r="AC641" s="33"/>
      <c r="AE641" s="33"/>
      <c r="AF641" s="33"/>
    </row>
    <row r="642" spans="29:32" x14ac:dyDescent="0.2">
      <c r="AC642" s="33"/>
      <c r="AE642" s="33"/>
      <c r="AF642" s="33"/>
    </row>
    <row r="643" spans="29:32" x14ac:dyDescent="0.2">
      <c r="AC643" s="33"/>
      <c r="AE643" s="33"/>
      <c r="AF643" s="33"/>
    </row>
    <row r="644" spans="29:32" x14ac:dyDescent="0.2">
      <c r="AC644" s="33"/>
      <c r="AE644" s="33"/>
      <c r="AF644" s="33"/>
    </row>
    <row r="645" spans="29:32" x14ac:dyDescent="0.2">
      <c r="AC645" s="33"/>
      <c r="AE645" s="33"/>
      <c r="AF645" s="33"/>
    </row>
    <row r="646" spans="29:32" x14ac:dyDescent="0.2">
      <c r="AC646" s="33"/>
      <c r="AE646" s="33"/>
      <c r="AF646" s="33"/>
    </row>
    <row r="647" spans="29:32" x14ac:dyDescent="0.2">
      <c r="AC647" s="33"/>
      <c r="AE647" s="33"/>
      <c r="AF647" s="33"/>
    </row>
    <row r="648" spans="29:32" x14ac:dyDescent="0.2">
      <c r="AC648" s="33"/>
      <c r="AE648" s="33"/>
      <c r="AF648" s="33"/>
    </row>
    <row r="649" spans="29:32" x14ac:dyDescent="0.2">
      <c r="AC649" s="33"/>
      <c r="AE649" s="33"/>
      <c r="AF649" s="33"/>
    </row>
    <row r="650" spans="29:32" x14ac:dyDescent="0.2">
      <c r="AC650" s="33"/>
      <c r="AE650" s="33"/>
      <c r="AF650" s="33"/>
    </row>
    <row r="651" spans="29:32" x14ac:dyDescent="0.2">
      <c r="AC651" s="33"/>
      <c r="AE651" s="33"/>
      <c r="AF651" s="33"/>
    </row>
    <row r="652" spans="29:32" x14ac:dyDescent="0.2">
      <c r="AC652" s="33"/>
      <c r="AE652" s="33"/>
      <c r="AF652" s="33"/>
    </row>
    <row r="653" spans="29:32" x14ac:dyDescent="0.2">
      <c r="AC653" s="33"/>
      <c r="AE653" s="33"/>
      <c r="AF653" s="33"/>
    </row>
    <row r="654" spans="29:32" x14ac:dyDescent="0.2">
      <c r="AC654" s="33"/>
      <c r="AE654" s="33"/>
      <c r="AF654" s="33"/>
    </row>
    <row r="655" spans="29:32" x14ac:dyDescent="0.2">
      <c r="AC655" s="33"/>
      <c r="AE655" s="33"/>
      <c r="AF655" s="33"/>
    </row>
    <row r="656" spans="29:32" x14ac:dyDescent="0.2">
      <c r="AC656" s="33"/>
      <c r="AE656" s="33"/>
      <c r="AF656" s="33"/>
    </row>
    <row r="657" spans="29:32" x14ac:dyDescent="0.2">
      <c r="AC657" s="33"/>
      <c r="AE657" s="33"/>
      <c r="AF657" s="33"/>
    </row>
    <row r="658" spans="29:32" x14ac:dyDescent="0.2">
      <c r="AC658" s="33"/>
      <c r="AE658" s="33"/>
      <c r="AF658" s="33"/>
    </row>
    <row r="659" spans="29:32" x14ac:dyDescent="0.2">
      <c r="AC659" s="33"/>
      <c r="AE659" s="33"/>
      <c r="AF659" s="33"/>
    </row>
    <row r="660" spans="29:32" x14ac:dyDescent="0.2">
      <c r="AC660" s="33"/>
      <c r="AE660" s="33"/>
      <c r="AF660" s="33"/>
    </row>
    <row r="661" spans="29:32" x14ac:dyDescent="0.2">
      <c r="AC661" s="33"/>
      <c r="AE661" s="33"/>
      <c r="AF661" s="33"/>
    </row>
    <row r="662" spans="29:32" x14ac:dyDescent="0.2">
      <c r="AC662" s="33"/>
      <c r="AE662" s="33"/>
      <c r="AF662" s="33"/>
    </row>
    <row r="663" spans="29:32" x14ac:dyDescent="0.2">
      <c r="AC663" s="33"/>
      <c r="AE663" s="33"/>
      <c r="AF663" s="33"/>
    </row>
    <row r="664" spans="29:32" x14ac:dyDescent="0.2">
      <c r="AC664" s="33"/>
      <c r="AE664" s="33"/>
      <c r="AF664" s="33"/>
    </row>
    <row r="665" spans="29:32" x14ac:dyDescent="0.2">
      <c r="AC665" s="33"/>
      <c r="AE665" s="33"/>
      <c r="AF665" s="33"/>
    </row>
    <row r="666" spans="29:32" x14ac:dyDescent="0.2">
      <c r="AC666" s="33"/>
      <c r="AE666" s="33"/>
      <c r="AF666" s="33"/>
    </row>
    <row r="667" spans="29:32" x14ac:dyDescent="0.2">
      <c r="AC667" s="33"/>
      <c r="AE667" s="33"/>
      <c r="AF667" s="33"/>
    </row>
    <row r="668" spans="29:32" x14ac:dyDescent="0.2">
      <c r="AC668" s="33"/>
      <c r="AE668" s="33"/>
      <c r="AF668" s="33"/>
    </row>
    <row r="669" spans="29:32" x14ac:dyDescent="0.2">
      <c r="AC669" s="33"/>
      <c r="AE669" s="33"/>
      <c r="AF669" s="33"/>
    </row>
    <row r="670" spans="29:32" x14ac:dyDescent="0.2">
      <c r="AC670" s="33"/>
      <c r="AE670" s="33"/>
      <c r="AF670" s="33"/>
    </row>
    <row r="671" spans="29:32" x14ac:dyDescent="0.2">
      <c r="AC671" s="33"/>
      <c r="AE671" s="33"/>
      <c r="AF671" s="33"/>
    </row>
    <row r="672" spans="29:32" x14ac:dyDescent="0.2">
      <c r="AC672" s="33"/>
      <c r="AE672" s="33"/>
      <c r="AF672" s="33"/>
    </row>
    <row r="673" spans="29:32" x14ac:dyDescent="0.2">
      <c r="AC673" s="33"/>
      <c r="AE673" s="33"/>
      <c r="AF673" s="33"/>
    </row>
    <row r="674" spans="29:32" x14ac:dyDescent="0.2">
      <c r="AC674" s="33"/>
      <c r="AE674" s="33"/>
      <c r="AF674" s="33"/>
    </row>
    <row r="675" spans="29:32" x14ac:dyDescent="0.2">
      <c r="AC675" s="33"/>
      <c r="AE675" s="33"/>
      <c r="AF675" s="33"/>
    </row>
    <row r="676" spans="29:32" x14ac:dyDescent="0.2">
      <c r="AC676" s="33"/>
      <c r="AE676" s="33"/>
      <c r="AF676" s="33"/>
    </row>
    <row r="677" spans="29:32" x14ac:dyDescent="0.2">
      <c r="AC677" s="33"/>
      <c r="AE677" s="33"/>
      <c r="AF677" s="33"/>
    </row>
    <row r="678" spans="29:32" x14ac:dyDescent="0.2">
      <c r="AC678" s="33"/>
      <c r="AE678" s="33"/>
      <c r="AF678" s="33"/>
    </row>
    <row r="679" spans="29:32" x14ac:dyDescent="0.2">
      <c r="AC679" s="33"/>
      <c r="AE679" s="33"/>
      <c r="AF679" s="33"/>
    </row>
    <row r="680" spans="29:32" x14ac:dyDescent="0.2">
      <c r="AC680" s="33"/>
      <c r="AE680" s="33"/>
      <c r="AF680" s="33"/>
    </row>
    <row r="681" spans="29:32" x14ac:dyDescent="0.2">
      <c r="AC681" s="33"/>
      <c r="AE681" s="33"/>
      <c r="AF681" s="33"/>
    </row>
    <row r="682" spans="29:32" x14ac:dyDescent="0.2">
      <c r="AC682" s="33"/>
      <c r="AE682" s="33"/>
      <c r="AF682" s="33"/>
    </row>
    <row r="683" spans="29:32" x14ac:dyDescent="0.2">
      <c r="AC683" s="33"/>
      <c r="AE683" s="33"/>
      <c r="AF683" s="33"/>
    </row>
    <row r="684" spans="29:32" x14ac:dyDescent="0.2">
      <c r="AC684" s="33"/>
      <c r="AE684" s="33"/>
      <c r="AF684" s="33"/>
    </row>
    <row r="685" spans="29:32" x14ac:dyDescent="0.2">
      <c r="AC685" s="33"/>
      <c r="AE685" s="33"/>
      <c r="AF685" s="33"/>
    </row>
    <row r="686" spans="29:32" x14ac:dyDescent="0.2">
      <c r="AC686" s="33"/>
      <c r="AE686" s="33"/>
      <c r="AF686" s="33"/>
    </row>
    <row r="687" spans="29:32" x14ac:dyDescent="0.2">
      <c r="AC687" s="33"/>
      <c r="AE687" s="33"/>
      <c r="AF687" s="33"/>
    </row>
    <row r="688" spans="29:32" x14ac:dyDescent="0.2">
      <c r="AC688" s="33"/>
      <c r="AE688" s="33"/>
      <c r="AF688" s="33"/>
    </row>
    <row r="689" spans="29:32" x14ac:dyDescent="0.2">
      <c r="AC689" s="33"/>
      <c r="AE689" s="33"/>
      <c r="AF689" s="33"/>
    </row>
    <row r="690" spans="29:32" x14ac:dyDescent="0.2">
      <c r="AC690" s="33"/>
      <c r="AE690" s="33"/>
      <c r="AF690" s="33"/>
    </row>
    <row r="691" spans="29:32" x14ac:dyDescent="0.2">
      <c r="AC691" s="33"/>
      <c r="AE691" s="33"/>
      <c r="AF691" s="33"/>
    </row>
    <row r="692" spans="29:32" x14ac:dyDescent="0.2">
      <c r="AC692" s="33"/>
      <c r="AE692" s="33"/>
      <c r="AF692" s="33"/>
    </row>
    <row r="693" spans="29:32" x14ac:dyDescent="0.2">
      <c r="AC693" s="33"/>
      <c r="AE693" s="33"/>
      <c r="AF693" s="33"/>
    </row>
    <row r="694" spans="29:32" x14ac:dyDescent="0.2">
      <c r="AC694" s="33"/>
      <c r="AE694" s="33"/>
      <c r="AF694" s="33"/>
    </row>
    <row r="695" spans="29:32" x14ac:dyDescent="0.2">
      <c r="AC695" s="33"/>
      <c r="AE695" s="33"/>
      <c r="AF695" s="33"/>
    </row>
    <row r="696" spans="29:32" x14ac:dyDescent="0.2">
      <c r="AC696" s="33"/>
      <c r="AE696" s="33"/>
      <c r="AF696" s="33"/>
    </row>
    <row r="697" spans="29:32" x14ac:dyDescent="0.2">
      <c r="AC697" s="33"/>
      <c r="AE697" s="33"/>
      <c r="AF697" s="33"/>
    </row>
    <row r="698" spans="29:32" x14ac:dyDescent="0.2">
      <c r="AC698" s="33"/>
      <c r="AE698" s="33"/>
      <c r="AF698" s="33"/>
    </row>
    <row r="699" spans="29:32" x14ac:dyDescent="0.2">
      <c r="AC699" s="33"/>
      <c r="AE699" s="33"/>
      <c r="AF699" s="33"/>
    </row>
    <row r="700" spans="29:32" x14ac:dyDescent="0.2">
      <c r="AC700" s="33"/>
      <c r="AE700" s="33"/>
      <c r="AF700" s="33"/>
    </row>
    <row r="701" spans="29:32" x14ac:dyDescent="0.2">
      <c r="AC701" s="33"/>
      <c r="AE701" s="33"/>
      <c r="AF701" s="33"/>
    </row>
    <row r="702" spans="29:32" x14ac:dyDescent="0.2">
      <c r="AC702" s="33"/>
      <c r="AE702" s="33"/>
      <c r="AF702" s="33"/>
    </row>
    <row r="703" spans="29:32" x14ac:dyDescent="0.2">
      <c r="AC703" s="33"/>
      <c r="AE703" s="33"/>
      <c r="AF703" s="33"/>
    </row>
    <row r="704" spans="29:32" x14ac:dyDescent="0.2">
      <c r="AC704" s="33"/>
      <c r="AE704" s="33"/>
      <c r="AF704" s="33"/>
    </row>
    <row r="705" spans="29:32" x14ac:dyDescent="0.2">
      <c r="AC705" s="33"/>
      <c r="AE705" s="33"/>
      <c r="AF705" s="33"/>
    </row>
    <row r="706" spans="29:32" x14ac:dyDescent="0.2">
      <c r="AC706" s="33"/>
      <c r="AE706" s="33"/>
      <c r="AF706" s="33"/>
    </row>
    <row r="707" spans="29:32" x14ac:dyDescent="0.2">
      <c r="AC707" s="33"/>
      <c r="AE707" s="33"/>
      <c r="AF707" s="33"/>
    </row>
    <row r="708" spans="29:32" x14ac:dyDescent="0.2">
      <c r="AC708" s="33"/>
      <c r="AE708" s="33"/>
      <c r="AF708" s="33"/>
    </row>
    <row r="709" spans="29:32" x14ac:dyDescent="0.2">
      <c r="AC709" s="33"/>
      <c r="AE709" s="33"/>
      <c r="AF709" s="33"/>
    </row>
    <row r="710" spans="29:32" x14ac:dyDescent="0.2">
      <c r="AC710" s="33"/>
      <c r="AE710" s="33"/>
      <c r="AF710" s="33"/>
    </row>
    <row r="711" spans="29:32" x14ac:dyDescent="0.2">
      <c r="AC711" s="33"/>
      <c r="AE711" s="33"/>
      <c r="AF711" s="33"/>
    </row>
    <row r="712" spans="29:32" x14ac:dyDescent="0.2">
      <c r="AC712" s="33"/>
      <c r="AE712" s="33"/>
      <c r="AF712" s="33"/>
    </row>
    <row r="713" spans="29:32" x14ac:dyDescent="0.2">
      <c r="AC713" s="33"/>
      <c r="AE713" s="33"/>
      <c r="AF713" s="33"/>
    </row>
    <row r="714" spans="29:32" x14ac:dyDescent="0.2">
      <c r="AC714" s="33"/>
      <c r="AE714" s="33"/>
      <c r="AF714" s="33"/>
    </row>
    <row r="715" spans="29:32" x14ac:dyDescent="0.2">
      <c r="AC715" s="33"/>
      <c r="AE715" s="33"/>
      <c r="AF715" s="33"/>
    </row>
    <row r="716" spans="29:32" x14ac:dyDescent="0.2">
      <c r="AC716" s="33"/>
      <c r="AE716" s="33"/>
      <c r="AF716" s="33"/>
    </row>
    <row r="717" spans="29:32" x14ac:dyDescent="0.2">
      <c r="AC717" s="33"/>
      <c r="AE717" s="33"/>
      <c r="AF717" s="33"/>
    </row>
    <row r="718" spans="29:32" x14ac:dyDescent="0.2">
      <c r="AC718" s="33"/>
      <c r="AE718" s="33"/>
      <c r="AF718" s="33"/>
    </row>
    <row r="719" spans="29:32" x14ac:dyDescent="0.2">
      <c r="AC719" s="33"/>
      <c r="AE719" s="33"/>
      <c r="AF719" s="33"/>
    </row>
    <row r="720" spans="29:32" x14ac:dyDescent="0.2">
      <c r="AC720" s="33"/>
      <c r="AE720" s="33"/>
      <c r="AF720" s="33"/>
    </row>
    <row r="721" spans="29:32" x14ac:dyDescent="0.2">
      <c r="AC721" s="33"/>
      <c r="AE721" s="33"/>
      <c r="AF721" s="33"/>
    </row>
    <row r="722" spans="29:32" x14ac:dyDescent="0.2">
      <c r="AC722" s="33"/>
      <c r="AE722" s="33"/>
      <c r="AF722" s="33"/>
    </row>
    <row r="723" spans="29:32" x14ac:dyDescent="0.2">
      <c r="AC723" s="33"/>
      <c r="AE723" s="33"/>
      <c r="AF723" s="33"/>
    </row>
    <row r="724" spans="29:32" x14ac:dyDescent="0.2">
      <c r="AC724" s="33"/>
      <c r="AE724" s="33"/>
      <c r="AF724" s="33"/>
    </row>
    <row r="725" spans="29:32" x14ac:dyDescent="0.2">
      <c r="AC725" s="33"/>
      <c r="AE725" s="33"/>
      <c r="AF725" s="33"/>
    </row>
    <row r="726" spans="29:32" x14ac:dyDescent="0.2">
      <c r="AC726" s="33"/>
      <c r="AE726" s="33"/>
      <c r="AF726" s="33"/>
    </row>
    <row r="727" spans="29:32" x14ac:dyDescent="0.2">
      <c r="AC727" s="33"/>
      <c r="AE727" s="33"/>
      <c r="AF727" s="33"/>
    </row>
    <row r="728" spans="29:32" x14ac:dyDescent="0.2">
      <c r="AC728" s="33"/>
      <c r="AE728" s="33"/>
      <c r="AF728" s="33"/>
    </row>
    <row r="729" spans="29:32" x14ac:dyDescent="0.2">
      <c r="AC729" s="33"/>
      <c r="AE729" s="33"/>
      <c r="AF729" s="33"/>
    </row>
    <row r="730" spans="29:32" x14ac:dyDescent="0.2">
      <c r="AC730" s="33"/>
      <c r="AE730" s="33"/>
      <c r="AF730" s="33"/>
    </row>
    <row r="731" spans="29:32" x14ac:dyDescent="0.2">
      <c r="AC731" s="33"/>
      <c r="AE731" s="33"/>
      <c r="AF731" s="33"/>
    </row>
    <row r="732" spans="29:32" x14ac:dyDescent="0.2">
      <c r="AC732" s="33"/>
      <c r="AE732" s="33"/>
      <c r="AF732" s="33"/>
    </row>
    <row r="733" spans="29:32" x14ac:dyDescent="0.2">
      <c r="AC733" s="33"/>
      <c r="AE733" s="33"/>
      <c r="AF733" s="33"/>
    </row>
    <row r="734" spans="29:32" x14ac:dyDescent="0.2">
      <c r="AC734" s="33"/>
      <c r="AE734" s="33"/>
      <c r="AF734" s="33"/>
    </row>
    <row r="735" spans="29:32" x14ac:dyDescent="0.2">
      <c r="AC735" s="33"/>
      <c r="AE735" s="33"/>
      <c r="AF735" s="33"/>
    </row>
    <row r="736" spans="29:32" x14ac:dyDescent="0.2">
      <c r="AC736" s="33"/>
      <c r="AE736" s="33"/>
      <c r="AF736" s="33"/>
    </row>
    <row r="737" spans="29:32" x14ac:dyDescent="0.2">
      <c r="AC737" s="33"/>
      <c r="AE737" s="33"/>
      <c r="AF737" s="33"/>
    </row>
    <row r="738" spans="29:32" x14ac:dyDescent="0.2">
      <c r="AC738" s="33"/>
      <c r="AE738" s="33"/>
      <c r="AF738" s="33"/>
    </row>
    <row r="739" spans="29:32" x14ac:dyDescent="0.2">
      <c r="AC739" s="33"/>
      <c r="AE739" s="33"/>
      <c r="AF739" s="33"/>
    </row>
    <row r="740" spans="29:32" x14ac:dyDescent="0.2">
      <c r="AC740" s="33"/>
      <c r="AE740" s="33"/>
      <c r="AF740" s="33"/>
    </row>
    <row r="741" spans="29:32" x14ac:dyDescent="0.2">
      <c r="AC741" s="33"/>
      <c r="AE741" s="33"/>
      <c r="AF741" s="33"/>
    </row>
    <row r="742" spans="29:32" x14ac:dyDescent="0.2">
      <c r="AC742" s="33"/>
      <c r="AE742" s="33"/>
      <c r="AF742" s="33"/>
    </row>
    <row r="743" spans="29:32" x14ac:dyDescent="0.2">
      <c r="AC743" s="33"/>
      <c r="AE743" s="33"/>
      <c r="AF743" s="33"/>
    </row>
    <row r="744" spans="29:32" x14ac:dyDescent="0.2">
      <c r="AC744" s="33"/>
      <c r="AE744" s="33"/>
      <c r="AF744" s="33"/>
    </row>
    <row r="745" spans="29:32" x14ac:dyDescent="0.2">
      <c r="AC745" s="33"/>
      <c r="AE745" s="33"/>
      <c r="AF745" s="33"/>
    </row>
    <row r="746" spans="29:32" x14ac:dyDescent="0.2">
      <c r="AC746" s="33"/>
      <c r="AE746" s="33"/>
      <c r="AF746" s="33"/>
    </row>
    <row r="747" spans="29:32" x14ac:dyDescent="0.2">
      <c r="AC747" s="33"/>
      <c r="AE747" s="33"/>
      <c r="AF747" s="33"/>
    </row>
    <row r="748" spans="29:32" x14ac:dyDescent="0.2">
      <c r="AC748" s="33"/>
      <c r="AE748" s="33"/>
      <c r="AF748" s="33"/>
    </row>
    <row r="749" spans="29:32" x14ac:dyDescent="0.2">
      <c r="AC749" s="33"/>
      <c r="AE749" s="33"/>
      <c r="AF749" s="33"/>
    </row>
    <row r="750" spans="29:32" x14ac:dyDescent="0.2">
      <c r="AC750" s="33"/>
      <c r="AE750" s="33"/>
      <c r="AF750" s="33"/>
    </row>
    <row r="751" spans="29:32" x14ac:dyDescent="0.2">
      <c r="AC751" s="33"/>
      <c r="AE751" s="33"/>
      <c r="AF751" s="33"/>
    </row>
    <row r="752" spans="29:32" x14ac:dyDescent="0.2">
      <c r="AC752" s="33"/>
      <c r="AE752" s="33"/>
      <c r="AF752" s="33"/>
    </row>
    <row r="753" spans="29:32" x14ac:dyDescent="0.2">
      <c r="AC753" s="33"/>
      <c r="AE753" s="33"/>
      <c r="AF753" s="33"/>
    </row>
    <row r="754" spans="29:32" x14ac:dyDescent="0.2">
      <c r="AC754" s="33"/>
      <c r="AE754" s="33"/>
      <c r="AF754" s="33"/>
    </row>
    <row r="755" spans="29:32" x14ac:dyDescent="0.2">
      <c r="AC755" s="33"/>
      <c r="AE755" s="33"/>
      <c r="AF755" s="33"/>
    </row>
    <row r="756" spans="29:32" x14ac:dyDescent="0.2">
      <c r="AC756" s="33"/>
      <c r="AE756" s="33"/>
      <c r="AF756" s="33"/>
    </row>
    <row r="757" spans="29:32" x14ac:dyDescent="0.2">
      <c r="AC757" s="33"/>
      <c r="AE757" s="33"/>
      <c r="AF757" s="33"/>
    </row>
    <row r="758" spans="29:32" x14ac:dyDescent="0.2">
      <c r="AC758" s="33"/>
      <c r="AE758" s="33"/>
      <c r="AF758" s="33"/>
    </row>
    <row r="759" spans="29:32" x14ac:dyDescent="0.2">
      <c r="AC759" s="33"/>
      <c r="AE759" s="33"/>
      <c r="AF759" s="33"/>
    </row>
    <row r="760" spans="29:32" x14ac:dyDescent="0.2">
      <c r="AC760" s="33"/>
      <c r="AE760" s="33"/>
      <c r="AF760" s="33"/>
    </row>
    <row r="761" spans="29:32" x14ac:dyDescent="0.2">
      <c r="AC761" s="33"/>
      <c r="AE761" s="33"/>
      <c r="AF761" s="33"/>
    </row>
    <row r="762" spans="29:32" x14ac:dyDescent="0.2">
      <c r="AC762" s="33"/>
      <c r="AE762" s="33"/>
      <c r="AF762" s="33"/>
    </row>
    <row r="763" spans="29:32" x14ac:dyDescent="0.2">
      <c r="AC763" s="33"/>
      <c r="AE763" s="33"/>
      <c r="AF763" s="33"/>
    </row>
    <row r="764" spans="29:32" x14ac:dyDescent="0.2">
      <c r="AC764" s="33"/>
      <c r="AE764" s="33"/>
      <c r="AF764" s="33"/>
    </row>
    <row r="765" spans="29:32" x14ac:dyDescent="0.2">
      <c r="AC765" s="33"/>
      <c r="AE765" s="33"/>
      <c r="AF765" s="33"/>
    </row>
    <row r="766" spans="29:32" x14ac:dyDescent="0.2">
      <c r="AC766" s="33"/>
      <c r="AE766" s="33"/>
      <c r="AF766" s="33"/>
    </row>
    <row r="767" spans="29:32" x14ac:dyDescent="0.2">
      <c r="AC767" s="33"/>
      <c r="AE767" s="33"/>
      <c r="AF767" s="33"/>
    </row>
    <row r="768" spans="29:32" x14ac:dyDescent="0.2">
      <c r="AC768" s="33"/>
      <c r="AE768" s="33"/>
      <c r="AF768" s="33"/>
    </row>
    <row r="769" spans="29:32" x14ac:dyDescent="0.2">
      <c r="AC769" s="33"/>
      <c r="AE769" s="33"/>
      <c r="AF769" s="33"/>
    </row>
    <row r="770" spans="29:32" x14ac:dyDescent="0.2">
      <c r="AC770" s="33"/>
      <c r="AE770" s="33"/>
      <c r="AF770" s="33"/>
    </row>
    <row r="771" spans="29:32" x14ac:dyDescent="0.2">
      <c r="AC771" s="33"/>
      <c r="AE771" s="33"/>
      <c r="AF771" s="33"/>
    </row>
    <row r="772" spans="29:32" x14ac:dyDescent="0.2">
      <c r="AC772" s="33"/>
      <c r="AE772" s="33"/>
      <c r="AF772" s="33"/>
    </row>
    <row r="773" spans="29:32" x14ac:dyDescent="0.2">
      <c r="AC773" s="33"/>
      <c r="AE773" s="33"/>
      <c r="AF773" s="33"/>
    </row>
    <row r="774" spans="29:32" x14ac:dyDescent="0.2">
      <c r="AC774" s="33"/>
      <c r="AE774" s="33"/>
      <c r="AF774" s="33"/>
    </row>
    <row r="775" spans="29:32" x14ac:dyDescent="0.2">
      <c r="AC775" s="33"/>
      <c r="AE775" s="33"/>
      <c r="AF775" s="33"/>
    </row>
    <row r="776" spans="29:32" x14ac:dyDescent="0.2">
      <c r="AC776" s="33"/>
      <c r="AE776" s="33"/>
      <c r="AF776" s="33"/>
    </row>
    <row r="777" spans="29:32" x14ac:dyDescent="0.2">
      <c r="AC777" s="33"/>
      <c r="AE777" s="33"/>
      <c r="AF777" s="33"/>
    </row>
    <row r="778" spans="29:32" x14ac:dyDescent="0.2">
      <c r="AC778" s="33"/>
      <c r="AE778" s="33"/>
      <c r="AF778" s="33"/>
    </row>
    <row r="779" spans="29:32" x14ac:dyDescent="0.2">
      <c r="AC779" s="33"/>
      <c r="AE779" s="33"/>
      <c r="AF779" s="33"/>
    </row>
    <row r="780" spans="29:32" x14ac:dyDescent="0.2">
      <c r="AC780" s="33"/>
      <c r="AE780" s="33"/>
      <c r="AF780" s="33"/>
    </row>
    <row r="781" spans="29:32" x14ac:dyDescent="0.2">
      <c r="AC781" s="33"/>
      <c r="AE781" s="33"/>
      <c r="AF781" s="33"/>
    </row>
    <row r="782" spans="29:32" x14ac:dyDescent="0.2">
      <c r="AC782" s="33"/>
      <c r="AE782" s="33"/>
      <c r="AF782" s="33"/>
    </row>
    <row r="783" spans="29:32" x14ac:dyDescent="0.2">
      <c r="AC783" s="33"/>
      <c r="AE783" s="33"/>
      <c r="AF783" s="33"/>
    </row>
    <row r="784" spans="29:32" x14ac:dyDescent="0.2">
      <c r="AC784" s="33"/>
      <c r="AE784" s="33"/>
      <c r="AF784" s="33"/>
    </row>
    <row r="785" spans="29:32" x14ac:dyDescent="0.2">
      <c r="AC785" s="33"/>
      <c r="AE785" s="33"/>
      <c r="AF785" s="33"/>
    </row>
    <row r="786" spans="29:32" x14ac:dyDescent="0.2">
      <c r="AC786" s="33"/>
      <c r="AE786" s="33"/>
      <c r="AF786" s="33"/>
    </row>
    <row r="787" spans="29:32" x14ac:dyDescent="0.2">
      <c r="AC787" s="33"/>
      <c r="AE787" s="33"/>
      <c r="AF787" s="33"/>
    </row>
    <row r="788" spans="29:32" x14ac:dyDescent="0.2">
      <c r="AC788" s="33"/>
      <c r="AE788" s="33"/>
      <c r="AF788" s="33"/>
    </row>
    <row r="789" spans="29:32" x14ac:dyDescent="0.2">
      <c r="AC789" s="33"/>
      <c r="AE789" s="33"/>
      <c r="AF789" s="33"/>
    </row>
    <row r="790" spans="29:32" x14ac:dyDescent="0.2">
      <c r="AC790" s="33"/>
      <c r="AE790" s="33"/>
      <c r="AF790" s="33"/>
    </row>
    <row r="791" spans="29:32" x14ac:dyDescent="0.2">
      <c r="AC791" s="33"/>
      <c r="AE791" s="33"/>
      <c r="AF791" s="33"/>
    </row>
    <row r="792" spans="29:32" x14ac:dyDescent="0.2">
      <c r="AC792" s="33"/>
      <c r="AE792" s="33"/>
      <c r="AF792" s="33"/>
    </row>
    <row r="793" spans="29:32" x14ac:dyDescent="0.2">
      <c r="AC793" s="33"/>
      <c r="AE793" s="33"/>
      <c r="AF793" s="33"/>
    </row>
    <row r="794" spans="29:32" x14ac:dyDescent="0.2">
      <c r="AC794" s="33"/>
      <c r="AE794" s="33"/>
      <c r="AF794" s="33"/>
    </row>
    <row r="795" spans="29:32" x14ac:dyDescent="0.2">
      <c r="AC795" s="33"/>
      <c r="AE795" s="33"/>
      <c r="AF795" s="33"/>
    </row>
    <row r="796" spans="29:32" x14ac:dyDescent="0.2">
      <c r="AC796" s="33"/>
      <c r="AE796" s="33"/>
      <c r="AF796" s="33"/>
    </row>
    <row r="797" spans="29:32" x14ac:dyDescent="0.2">
      <c r="AC797" s="33"/>
      <c r="AE797" s="33"/>
      <c r="AF797" s="33"/>
    </row>
    <row r="798" spans="29:32" x14ac:dyDescent="0.2">
      <c r="AC798" s="33"/>
      <c r="AE798" s="33"/>
      <c r="AF798" s="33"/>
    </row>
    <row r="799" spans="29:32" x14ac:dyDescent="0.2">
      <c r="AC799" s="33"/>
      <c r="AE799" s="33"/>
      <c r="AF799" s="33"/>
    </row>
    <row r="800" spans="29:32" x14ac:dyDescent="0.2">
      <c r="AC800" s="33"/>
      <c r="AE800" s="33"/>
      <c r="AF800" s="33"/>
    </row>
    <row r="801" spans="29:32" x14ac:dyDescent="0.2">
      <c r="AC801" s="33"/>
      <c r="AE801" s="33"/>
      <c r="AF801" s="33"/>
    </row>
    <row r="802" spans="29:32" x14ac:dyDescent="0.2">
      <c r="AC802" s="33"/>
      <c r="AE802" s="33"/>
      <c r="AF802" s="33"/>
    </row>
    <row r="803" spans="29:32" x14ac:dyDescent="0.2">
      <c r="AC803" s="33"/>
      <c r="AE803" s="33"/>
      <c r="AF803" s="33"/>
    </row>
    <row r="804" spans="29:32" x14ac:dyDescent="0.2">
      <c r="AC804" s="33"/>
      <c r="AE804" s="33"/>
      <c r="AF804" s="33"/>
    </row>
    <row r="805" spans="29:32" x14ac:dyDescent="0.2">
      <c r="AC805" s="33"/>
      <c r="AE805" s="33"/>
      <c r="AF805" s="33"/>
    </row>
    <row r="806" spans="29:32" x14ac:dyDescent="0.2">
      <c r="AC806" s="33"/>
      <c r="AE806" s="33"/>
      <c r="AF806" s="33"/>
    </row>
    <row r="807" spans="29:32" x14ac:dyDescent="0.2">
      <c r="AC807" s="33"/>
      <c r="AE807" s="33"/>
      <c r="AF807" s="33"/>
    </row>
    <row r="808" spans="29:32" x14ac:dyDescent="0.2">
      <c r="AC808" s="33"/>
      <c r="AE808" s="33"/>
      <c r="AF808" s="33"/>
    </row>
    <row r="809" spans="29:32" x14ac:dyDescent="0.2">
      <c r="AC809" s="33"/>
      <c r="AE809" s="33"/>
      <c r="AF809" s="33"/>
    </row>
    <row r="810" spans="29:32" x14ac:dyDescent="0.2">
      <c r="AC810" s="33"/>
      <c r="AE810" s="33"/>
      <c r="AF810" s="33"/>
    </row>
    <row r="811" spans="29:32" x14ac:dyDescent="0.2">
      <c r="AC811" s="33"/>
      <c r="AE811" s="33"/>
      <c r="AF811" s="33"/>
    </row>
    <row r="812" spans="29:32" x14ac:dyDescent="0.2">
      <c r="AC812" s="33"/>
      <c r="AE812" s="33"/>
      <c r="AF812" s="33"/>
    </row>
    <row r="813" spans="29:32" x14ac:dyDescent="0.2">
      <c r="AC813" s="33"/>
      <c r="AE813" s="33"/>
      <c r="AF813" s="33"/>
    </row>
    <row r="814" spans="29:32" x14ac:dyDescent="0.2">
      <c r="AC814" s="33"/>
      <c r="AE814" s="33"/>
      <c r="AF814" s="33"/>
    </row>
    <row r="815" spans="29:32" x14ac:dyDescent="0.2">
      <c r="AC815" s="33"/>
      <c r="AE815" s="33"/>
      <c r="AF815" s="33"/>
    </row>
    <row r="816" spans="29:32" x14ac:dyDescent="0.2">
      <c r="AC816" s="33"/>
      <c r="AE816" s="33"/>
      <c r="AF816" s="33"/>
    </row>
    <row r="817" spans="29:32" x14ac:dyDescent="0.2">
      <c r="AC817" s="33"/>
      <c r="AE817" s="33"/>
      <c r="AF817" s="33"/>
    </row>
    <row r="818" spans="29:32" x14ac:dyDescent="0.2">
      <c r="AC818" s="33"/>
      <c r="AE818" s="33"/>
      <c r="AF818" s="33"/>
    </row>
    <row r="819" spans="29:32" x14ac:dyDescent="0.2">
      <c r="AC819" s="33"/>
      <c r="AE819" s="33"/>
      <c r="AF819" s="33"/>
    </row>
    <row r="820" spans="29:32" x14ac:dyDescent="0.2">
      <c r="AC820" s="33"/>
      <c r="AE820" s="33"/>
      <c r="AF820" s="33"/>
    </row>
    <row r="821" spans="29:32" x14ac:dyDescent="0.2">
      <c r="AC821" s="33"/>
      <c r="AE821" s="33"/>
      <c r="AF821" s="33"/>
    </row>
    <row r="822" spans="29:32" x14ac:dyDescent="0.2">
      <c r="AC822" s="33"/>
      <c r="AE822" s="33"/>
      <c r="AF822" s="33"/>
    </row>
    <row r="823" spans="29:32" x14ac:dyDescent="0.2">
      <c r="AC823" s="33"/>
      <c r="AE823" s="33"/>
      <c r="AF823" s="33"/>
    </row>
    <row r="824" spans="29:32" x14ac:dyDescent="0.2">
      <c r="AC824" s="33"/>
      <c r="AE824" s="33"/>
      <c r="AF824" s="33"/>
    </row>
    <row r="825" spans="29:32" x14ac:dyDescent="0.2">
      <c r="AC825" s="33"/>
      <c r="AE825" s="33"/>
      <c r="AF825" s="33"/>
    </row>
    <row r="826" spans="29:32" x14ac:dyDescent="0.2">
      <c r="AC826" s="33"/>
      <c r="AE826" s="33"/>
      <c r="AF826" s="33"/>
    </row>
    <row r="827" spans="29:32" x14ac:dyDescent="0.2">
      <c r="AC827" s="33"/>
      <c r="AE827" s="33"/>
      <c r="AF827" s="33"/>
    </row>
    <row r="828" spans="29:32" x14ac:dyDescent="0.2">
      <c r="AC828" s="33"/>
      <c r="AE828" s="33"/>
      <c r="AF828" s="33"/>
    </row>
    <row r="829" spans="29:32" x14ac:dyDescent="0.2">
      <c r="AC829" s="33"/>
      <c r="AE829" s="33"/>
      <c r="AF829" s="33"/>
    </row>
    <row r="830" spans="29:32" x14ac:dyDescent="0.2">
      <c r="AC830" s="33"/>
      <c r="AE830" s="33"/>
      <c r="AF830" s="33"/>
    </row>
    <row r="831" spans="29:32" x14ac:dyDescent="0.2">
      <c r="AC831" s="33"/>
      <c r="AE831" s="33"/>
      <c r="AF831" s="33"/>
    </row>
    <row r="832" spans="29:32" x14ac:dyDescent="0.2">
      <c r="AC832" s="33"/>
      <c r="AE832" s="33"/>
      <c r="AF832" s="33"/>
    </row>
    <row r="833" spans="29:32" x14ac:dyDescent="0.2">
      <c r="AC833" s="33"/>
      <c r="AE833" s="33"/>
      <c r="AF833" s="33"/>
    </row>
    <row r="834" spans="29:32" x14ac:dyDescent="0.2">
      <c r="AC834" s="33"/>
      <c r="AE834" s="33"/>
      <c r="AF834" s="33"/>
    </row>
    <row r="835" spans="29:32" x14ac:dyDescent="0.2">
      <c r="AC835" s="33"/>
      <c r="AE835" s="33"/>
      <c r="AF835" s="33"/>
    </row>
    <row r="836" spans="29:32" x14ac:dyDescent="0.2">
      <c r="AC836" s="33"/>
      <c r="AE836" s="33"/>
      <c r="AF836" s="33"/>
    </row>
    <row r="837" spans="29:32" x14ac:dyDescent="0.2">
      <c r="AC837" s="33"/>
      <c r="AE837" s="33"/>
      <c r="AF837" s="33"/>
    </row>
    <row r="838" spans="29:32" x14ac:dyDescent="0.2">
      <c r="AC838" s="33"/>
      <c r="AE838" s="33"/>
      <c r="AF838" s="33"/>
    </row>
    <row r="839" spans="29:32" x14ac:dyDescent="0.2">
      <c r="AC839" s="33"/>
      <c r="AE839" s="33"/>
      <c r="AF839" s="33"/>
    </row>
    <row r="840" spans="29:32" x14ac:dyDescent="0.2">
      <c r="AC840" s="33"/>
      <c r="AE840" s="33"/>
      <c r="AF840" s="33"/>
    </row>
    <row r="841" spans="29:32" x14ac:dyDescent="0.2">
      <c r="AC841" s="33"/>
      <c r="AE841" s="33"/>
      <c r="AF841" s="33"/>
    </row>
    <row r="842" spans="29:32" x14ac:dyDescent="0.2">
      <c r="AC842" s="33"/>
      <c r="AE842" s="33"/>
      <c r="AF842" s="33"/>
    </row>
    <row r="843" spans="29:32" x14ac:dyDescent="0.2">
      <c r="AC843" s="33"/>
      <c r="AE843" s="33"/>
      <c r="AF843" s="33"/>
    </row>
    <row r="844" spans="29:32" x14ac:dyDescent="0.2">
      <c r="AC844" s="33"/>
      <c r="AE844" s="33"/>
      <c r="AF844" s="33"/>
    </row>
    <row r="845" spans="29:32" x14ac:dyDescent="0.2">
      <c r="AC845" s="33"/>
      <c r="AE845" s="33"/>
      <c r="AF845" s="33"/>
    </row>
    <row r="846" spans="29:32" x14ac:dyDescent="0.2">
      <c r="AC846" s="33"/>
      <c r="AE846" s="33"/>
      <c r="AF846" s="33"/>
    </row>
    <row r="847" spans="29:32" x14ac:dyDescent="0.2">
      <c r="AC847" s="33"/>
      <c r="AE847" s="33"/>
      <c r="AF847" s="33"/>
    </row>
    <row r="848" spans="29:32" x14ac:dyDescent="0.2">
      <c r="AC848" s="33"/>
      <c r="AE848" s="33"/>
      <c r="AF848" s="33"/>
    </row>
    <row r="849" spans="29:32" x14ac:dyDescent="0.2">
      <c r="AC849" s="33"/>
      <c r="AE849" s="33"/>
      <c r="AF849" s="33"/>
    </row>
    <row r="850" spans="29:32" x14ac:dyDescent="0.2">
      <c r="AC850" s="33"/>
      <c r="AE850" s="33"/>
      <c r="AF850" s="33"/>
    </row>
    <row r="851" spans="29:32" x14ac:dyDescent="0.2">
      <c r="AC851" s="33"/>
      <c r="AE851" s="33"/>
      <c r="AF851" s="33"/>
    </row>
    <row r="852" spans="29:32" x14ac:dyDescent="0.2">
      <c r="AC852" s="33"/>
      <c r="AE852" s="33"/>
      <c r="AF852" s="33"/>
    </row>
    <row r="853" spans="29:32" x14ac:dyDescent="0.2">
      <c r="AC853" s="33"/>
      <c r="AE853" s="33"/>
      <c r="AF853" s="33"/>
    </row>
    <row r="854" spans="29:32" x14ac:dyDescent="0.2">
      <c r="AC854" s="33"/>
      <c r="AE854" s="33"/>
      <c r="AF854" s="33"/>
    </row>
    <row r="855" spans="29:32" x14ac:dyDescent="0.2">
      <c r="AC855" s="33"/>
      <c r="AE855" s="33"/>
      <c r="AF855" s="33"/>
    </row>
    <row r="856" spans="29:32" x14ac:dyDescent="0.2">
      <c r="AC856" s="33"/>
      <c r="AE856" s="33"/>
      <c r="AF856" s="33"/>
    </row>
    <row r="857" spans="29:32" x14ac:dyDescent="0.2">
      <c r="AC857" s="33"/>
      <c r="AE857" s="33"/>
      <c r="AF857" s="33"/>
    </row>
    <row r="858" spans="29:32" x14ac:dyDescent="0.2">
      <c r="AC858" s="33"/>
      <c r="AE858" s="33"/>
      <c r="AF858" s="33"/>
    </row>
    <row r="859" spans="29:32" x14ac:dyDescent="0.2">
      <c r="AC859" s="33"/>
      <c r="AE859" s="33"/>
      <c r="AF859" s="33"/>
    </row>
    <row r="860" spans="29:32" x14ac:dyDescent="0.2">
      <c r="AC860" s="33"/>
      <c r="AE860" s="33"/>
      <c r="AF860" s="33"/>
    </row>
    <row r="861" spans="29:32" x14ac:dyDescent="0.2">
      <c r="AC861" s="33"/>
      <c r="AE861" s="33"/>
      <c r="AF861" s="33"/>
    </row>
    <row r="862" spans="29:32" x14ac:dyDescent="0.2">
      <c r="AC862" s="33"/>
      <c r="AE862" s="33"/>
      <c r="AF862" s="33"/>
    </row>
    <row r="863" spans="29:32" x14ac:dyDescent="0.2">
      <c r="AC863" s="33"/>
      <c r="AE863" s="33"/>
      <c r="AF863" s="33"/>
    </row>
    <row r="864" spans="29:32" x14ac:dyDescent="0.2">
      <c r="AC864" s="33"/>
      <c r="AE864" s="33"/>
      <c r="AF864" s="33"/>
    </row>
    <row r="865" spans="29:32" x14ac:dyDescent="0.2">
      <c r="AC865" s="33"/>
      <c r="AE865" s="33"/>
      <c r="AF865" s="33"/>
    </row>
    <row r="866" spans="29:32" x14ac:dyDescent="0.2">
      <c r="AC866" s="33"/>
      <c r="AE866" s="33"/>
      <c r="AF866" s="33"/>
    </row>
    <row r="867" spans="29:32" x14ac:dyDescent="0.2">
      <c r="AC867" s="33"/>
      <c r="AE867" s="33"/>
      <c r="AF867" s="33"/>
    </row>
    <row r="868" spans="29:32" x14ac:dyDescent="0.2">
      <c r="AC868" s="33"/>
      <c r="AE868" s="33"/>
      <c r="AF868" s="33"/>
    </row>
    <row r="869" spans="29:32" x14ac:dyDescent="0.2">
      <c r="AC869" s="33"/>
      <c r="AE869" s="33"/>
      <c r="AF869" s="33"/>
    </row>
    <row r="870" spans="29:32" x14ac:dyDescent="0.2">
      <c r="AC870" s="33"/>
      <c r="AE870" s="33"/>
      <c r="AF870" s="33"/>
    </row>
    <row r="871" spans="29:32" x14ac:dyDescent="0.2">
      <c r="AC871" s="33"/>
      <c r="AE871" s="33"/>
      <c r="AF871" s="33"/>
    </row>
    <row r="872" spans="29:32" x14ac:dyDescent="0.2">
      <c r="AC872" s="33"/>
      <c r="AE872" s="33"/>
      <c r="AF872" s="33"/>
    </row>
    <row r="873" spans="29:32" x14ac:dyDescent="0.2">
      <c r="AC873" s="33"/>
      <c r="AE873" s="33"/>
      <c r="AF873" s="33"/>
    </row>
    <row r="874" spans="29:32" x14ac:dyDescent="0.2">
      <c r="AC874" s="33"/>
      <c r="AE874" s="33"/>
      <c r="AF874" s="33"/>
    </row>
    <row r="875" spans="29:32" x14ac:dyDescent="0.2">
      <c r="AC875" s="33"/>
      <c r="AE875" s="33"/>
      <c r="AF875" s="33"/>
    </row>
    <row r="876" spans="29:32" x14ac:dyDescent="0.2">
      <c r="AC876" s="33"/>
      <c r="AE876" s="33"/>
      <c r="AF876" s="33"/>
    </row>
    <row r="877" spans="29:32" x14ac:dyDescent="0.2">
      <c r="AC877" s="33"/>
      <c r="AE877" s="33"/>
      <c r="AF877" s="33"/>
    </row>
    <row r="878" spans="29:32" x14ac:dyDescent="0.2">
      <c r="AC878" s="33"/>
      <c r="AE878" s="33"/>
      <c r="AF878" s="33"/>
    </row>
    <row r="879" spans="29:32" x14ac:dyDescent="0.2">
      <c r="AC879" s="33"/>
      <c r="AE879" s="33"/>
      <c r="AF879" s="33"/>
    </row>
    <row r="880" spans="29:32" x14ac:dyDescent="0.2">
      <c r="AC880" s="33"/>
      <c r="AE880" s="33"/>
      <c r="AF880" s="33"/>
    </row>
    <row r="881" spans="29:32" x14ac:dyDescent="0.2">
      <c r="AC881" s="33"/>
      <c r="AE881" s="33"/>
      <c r="AF881" s="33"/>
    </row>
    <row r="882" spans="29:32" x14ac:dyDescent="0.2">
      <c r="AC882" s="33"/>
      <c r="AE882" s="33"/>
      <c r="AF882" s="33"/>
    </row>
    <row r="883" spans="29:32" x14ac:dyDescent="0.2">
      <c r="AC883" s="33"/>
      <c r="AE883" s="33"/>
      <c r="AF883" s="33"/>
    </row>
    <row r="884" spans="29:32" x14ac:dyDescent="0.2">
      <c r="AC884" s="33"/>
      <c r="AE884" s="33"/>
      <c r="AF884" s="33"/>
    </row>
    <row r="885" spans="29:32" x14ac:dyDescent="0.2">
      <c r="AC885" s="33"/>
      <c r="AE885" s="33"/>
      <c r="AF885" s="33"/>
    </row>
    <row r="886" spans="29:32" x14ac:dyDescent="0.2">
      <c r="AC886" s="33"/>
      <c r="AE886" s="33"/>
      <c r="AF886" s="33"/>
    </row>
    <row r="887" spans="29:32" x14ac:dyDescent="0.2">
      <c r="AC887" s="33"/>
      <c r="AE887" s="33"/>
      <c r="AF887" s="33"/>
    </row>
    <row r="888" spans="29:32" x14ac:dyDescent="0.2">
      <c r="AC888" s="33"/>
      <c r="AE888" s="33"/>
      <c r="AF888" s="33"/>
    </row>
    <row r="889" spans="29:32" x14ac:dyDescent="0.2">
      <c r="AC889" s="33"/>
      <c r="AE889" s="33"/>
      <c r="AF889" s="33"/>
    </row>
    <row r="890" spans="29:32" x14ac:dyDescent="0.2">
      <c r="AC890" s="33"/>
      <c r="AE890" s="33"/>
      <c r="AF890" s="33"/>
    </row>
    <row r="891" spans="29:32" x14ac:dyDescent="0.2">
      <c r="AC891" s="33"/>
      <c r="AE891" s="33"/>
      <c r="AF891" s="33"/>
    </row>
    <row r="892" spans="29:32" x14ac:dyDescent="0.2">
      <c r="AC892" s="33"/>
      <c r="AE892" s="33"/>
      <c r="AF892" s="33"/>
    </row>
    <row r="893" spans="29:32" x14ac:dyDescent="0.2">
      <c r="AC893" s="33"/>
      <c r="AE893" s="33"/>
      <c r="AF893" s="33"/>
    </row>
    <row r="894" spans="29:32" x14ac:dyDescent="0.2">
      <c r="AC894" s="33"/>
      <c r="AE894" s="33"/>
      <c r="AF894" s="33"/>
    </row>
    <row r="895" spans="29:32" x14ac:dyDescent="0.2">
      <c r="AC895" s="33"/>
      <c r="AE895" s="33"/>
      <c r="AF895" s="33"/>
    </row>
    <row r="896" spans="29:32" x14ac:dyDescent="0.2">
      <c r="AC896" s="33"/>
      <c r="AE896" s="33"/>
      <c r="AF896" s="33"/>
    </row>
    <row r="897" spans="29:32" x14ac:dyDescent="0.2">
      <c r="AC897" s="33"/>
      <c r="AE897" s="33"/>
      <c r="AF897" s="33"/>
    </row>
    <row r="898" spans="29:32" x14ac:dyDescent="0.2">
      <c r="AC898" s="33"/>
      <c r="AE898" s="33"/>
      <c r="AF898" s="33"/>
    </row>
    <row r="899" spans="29:32" x14ac:dyDescent="0.2">
      <c r="AC899" s="33"/>
      <c r="AE899" s="33"/>
      <c r="AF899" s="33"/>
    </row>
    <row r="900" spans="29:32" x14ac:dyDescent="0.2">
      <c r="AC900" s="33"/>
      <c r="AE900" s="33"/>
      <c r="AF900" s="33"/>
    </row>
    <row r="901" spans="29:32" x14ac:dyDescent="0.2">
      <c r="AC901" s="33"/>
      <c r="AE901" s="33"/>
      <c r="AF901" s="33"/>
    </row>
    <row r="902" spans="29:32" x14ac:dyDescent="0.2">
      <c r="AC902" s="33"/>
      <c r="AE902" s="33"/>
      <c r="AF902" s="33"/>
    </row>
    <row r="903" spans="29:32" x14ac:dyDescent="0.2">
      <c r="AC903" s="33"/>
      <c r="AE903" s="33"/>
      <c r="AF903" s="33"/>
    </row>
    <row r="904" spans="29:32" x14ac:dyDescent="0.2">
      <c r="AC904" s="33"/>
      <c r="AE904" s="33"/>
      <c r="AF904" s="33"/>
    </row>
    <row r="905" spans="29:32" x14ac:dyDescent="0.2">
      <c r="AC905" s="33"/>
      <c r="AE905" s="33"/>
      <c r="AF905" s="33"/>
    </row>
    <row r="906" spans="29:32" x14ac:dyDescent="0.2">
      <c r="AC906" s="33"/>
      <c r="AE906" s="33"/>
      <c r="AF906" s="33"/>
    </row>
    <row r="907" spans="29:32" x14ac:dyDescent="0.2">
      <c r="AC907" s="33"/>
      <c r="AE907" s="33"/>
      <c r="AF907" s="33"/>
    </row>
    <row r="908" spans="29:32" x14ac:dyDescent="0.2">
      <c r="AC908" s="33"/>
      <c r="AE908" s="33"/>
      <c r="AF908" s="33"/>
    </row>
    <row r="909" spans="29:32" x14ac:dyDescent="0.2">
      <c r="AC909" s="33"/>
      <c r="AE909" s="33"/>
      <c r="AF909" s="33"/>
    </row>
    <row r="910" spans="29:32" x14ac:dyDescent="0.2">
      <c r="AC910" s="33"/>
      <c r="AE910" s="33"/>
      <c r="AF910" s="33"/>
    </row>
    <row r="911" spans="29:32" x14ac:dyDescent="0.2">
      <c r="AC911" s="33"/>
      <c r="AE911" s="33"/>
      <c r="AF911" s="33"/>
    </row>
    <row r="912" spans="29:32" x14ac:dyDescent="0.2">
      <c r="AC912" s="33"/>
      <c r="AE912" s="33"/>
      <c r="AF912" s="33"/>
    </row>
    <row r="913" spans="29:32" x14ac:dyDescent="0.2">
      <c r="AC913" s="33"/>
      <c r="AE913" s="33"/>
      <c r="AF913" s="33"/>
    </row>
    <row r="914" spans="29:32" x14ac:dyDescent="0.2">
      <c r="AC914" s="33"/>
      <c r="AE914" s="33"/>
      <c r="AF914" s="33"/>
    </row>
    <row r="915" spans="29:32" x14ac:dyDescent="0.2">
      <c r="AC915" s="33"/>
      <c r="AE915" s="33"/>
      <c r="AF915" s="33"/>
    </row>
    <row r="916" spans="29:32" x14ac:dyDescent="0.2">
      <c r="AC916" s="33"/>
      <c r="AE916" s="33"/>
      <c r="AF916" s="33"/>
    </row>
    <row r="917" spans="29:32" x14ac:dyDescent="0.2">
      <c r="AC917" s="33"/>
      <c r="AE917" s="33"/>
      <c r="AF917" s="33"/>
    </row>
    <row r="918" spans="29:32" x14ac:dyDescent="0.2">
      <c r="AC918" s="33"/>
      <c r="AE918" s="33"/>
      <c r="AF918" s="33"/>
    </row>
    <row r="919" spans="29:32" x14ac:dyDescent="0.2">
      <c r="AC919" s="33"/>
      <c r="AE919" s="33"/>
      <c r="AF919" s="33"/>
    </row>
    <row r="920" spans="29:32" x14ac:dyDescent="0.2">
      <c r="AC920" s="33"/>
      <c r="AE920" s="33"/>
      <c r="AF920" s="33"/>
    </row>
    <row r="921" spans="29:32" x14ac:dyDescent="0.2">
      <c r="AC921" s="33"/>
      <c r="AE921" s="33"/>
      <c r="AF921" s="33"/>
    </row>
    <row r="922" spans="29:32" x14ac:dyDescent="0.2">
      <c r="AC922" s="33"/>
      <c r="AE922" s="33"/>
      <c r="AF922" s="33"/>
    </row>
    <row r="923" spans="29:32" x14ac:dyDescent="0.2">
      <c r="AC923" s="33"/>
      <c r="AE923" s="33"/>
      <c r="AF923" s="33"/>
    </row>
    <row r="924" spans="29:32" x14ac:dyDescent="0.2">
      <c r="AC924" s="33"/>
      <c r="AE924" s="33"/>
      <c r="AF924" s="33"/>
    </row>
    <row r="925" spans="29:32" x14ac:dyDescent="0.2">
      <c r="AC925" s="33"/>
      <c r="AE925" s="33"/>
      <c r="AF925" s="33"/>
    </row>
    <row r="926" spans="29:32" x14ac:dyDescent="0.2">
      <c r="AC926" s="33"/>
      <c r="AE926" s="33"/>
      <c r="AF926" s="33"/>
    </row>
    <row r="927" spans="29:32" x14ac:dyDescent="0.2">
      <c r="AC927" s="33"/>
      <c r="AE927" s="33"/>
      <c r="AF927" s="33"/>
    </row>
    <row r="928" spans="29:32" x14ac:dyDescent="0.2">
      <c r="AC928" s="33"/>
      <c r="AE928" s="33"/>
      <c r="AF928" s="33"/>
    </row>
    <row r="929" spans="29:32" x14ac:dyDescent="0.2">
      <c r="AC929" s="33"/>
      <c r="AE929" s="33"/>
      <c r="AF929" s="33"/>
    </row>
    <row r="930" spans="29:32" x14ac:dyDescent="0.2">
      <c r="AC930" s="33"/>
      <c r="AE930" s="33"/>
      <c r="AF930" s="33"/>
    </row>
    <row r="931" spans="29:32" x14ac:dyDescent="0.2">
      <c r="AC931" s="33"/>
      <c r="AE931" s="33"/>
      <c r="AF931" s="33"/>
    </row>
    <row r="932" spans="29:32" x14ac:dyDescent="0.2">
      <c r="AC932" s="33"/>
      <c r="AE932" s="33"/>
      <c r="AF932" s="33"/>
    </row>
    <row r="933" spans="29:32" x14ac:dyDescent="0.2">
      <c r="AC933" s="33"/>
      <c r="AE933" s="33"/>
      <c r="AF933" s="33"/>
    </row>
    <row r="934" spans="29:32" x14ac:dyDescent="0.2">
      <c r="AC934" s="33"/>
      <c r="AE934" s="33"/>
      <c r="AF934" s="33"/>
    </row>
    <row r="935" spans="29:32" x14ac:dyDescent="0.2">
      <c r="AC935" s="33"/>
      <c r="AE935" s="33"/>
      <c r="AF935" s="33"/>
    </row>
    <row r="936" spans="29:32" x14ac:dyDescent="0.2">
      <c r="AC936" s="33"/>
      <c r="AE936" s="33"/>
      <c r="AF936" s="33"/>
    </row>
    <row r="937" spans="29:32" x14ac:dyDescent="0.2">
      <c r="AC937" s="33"/>
      <c r="AE937" s="33"/>
      <c r="AF937" s="33"/>
    </row>
    <row r="938" spans="29:32" x14ac:dyDescent="0.2">
      <c r="AC938" s="33"/>
      <c r="AE938" s="33"/>
      <c r="AF938" s="33"/>
    </row>
    <row r="939" spans="29:32" x14ac:dyDescent="0.2">
      <c r="AC939" s="33"/>
      <c r="AE939" s="33"/>
      <c r="AF939" s="33"/>
    </row>
    <row r="940" spans="29:32" x14ac:dyDescent="0.2">
      <c r="AC940" s="33"/>
      <c r="AE940" s="33"/>
      <c r="AF940" s="33"/>
    </row>
    <row r="941" spans="29:32" x14ac:dyDescent="0.2">
      <c r="AC941" s="33"/>
      <c r="AE941" s="33"/>
      <c r="AF941" s="33"/>
    </row>
    <row r="942" spans="29:32" x14ac:dyDescent="0.2">
      <c r="AC942" s="33"/>
      <c r="AE942" s="33"/>
      <c r="AF942" s="33"/>
    </row>
    <row r="943" spans="29:32" x14ac:dyDescent="0.2">
      <c r="AC943" s="33"/>
      <c r="AE943" s="33"/>
      <c r="AF943" s="33"/>
    </row>
    <row r="944" spans="29:32" x14ac:dyDescent="0.2">
      <c r="AC944" s="33"/>
      <c r="AE944" s="33"/>
      <c r="AF944" s="33"/>
    </row>
    <row r="945" spans="29:32" x14ac:dyDescent="0.2">
      <c r="AC945" s="33"/>
      <c r="AE945" s="33"/>
      <c r="AF945" s="33"/>
    </row>
    <row r="946" spans="29:32" x14ac:dyDescent="0.2">
      <c r="AC946" s="33"/>
      <c r="AE946" s="33"/>
      <c r="AF946" s="33"/>
    </row>
    <row r="947" spans="29:32" x14ac:dyDescent="0.2">
      <c r="AC947" s="33"/>
      <c r="AE947" s="33"/>
      <c r="AF947" s="33"/>
    </row>
    <row r="948" spans="29:32" x14ac:dyDescent="0.2">
      <c r="AC948" s="33"/>
      <c r="AE948" s="33"/>
      <c r="AF948" s="33"/>
    </row>
    <row r="949" spans="29:32" x14ac:dyDescent="0.2">
      <c r="AC949" s="33"/>
      <c r="AE949" s="33"/>
      <c r="AF949" s="33"/>
    </row>
    <row r="950" spans="29:32" x14ac:dyDescent="0.2">
      <c r="AC950" s="33"/>
      <c r="AE950" s="33"/>
      <c r="AF950" s="33"/>
    </row>
    <row r="951" spans="29:32" x14ac:dyDescent="0.2">
      <c r="AC951" s="33"/>
      <c r="AE951" s="33"/>
      <c r="AF951" s="33"/>
    </row>
    <row r="952" spans="29:32" x14ac:dyDescent="0.2">
      <c r="AC952" s="33"/>
      <c r="AE952" s="33"/>
      <c r="AF952" s="33"/>
    </row>
    <row r="953" spans="29:32" x14ac:dyDescent="0.2">
      <c r="AC953" s="33"/>
      <c r="AE953" s="33"/>
      <c r="AF953" s="33"/>
    </row>
    <row r="954" spans="29:32" x14ac:dyDescent="0.2">
      <c r="AC954" s="33"/>
      <c r="AE954" s="33"/>
      <c r="AF954" s="33"/>
    </row>
    <row r="955" spans="29:32" x14ac:dyDescent="0.2">
      <c r="AC955" s="33"/>
      <c r="AE955" s="33"/>
      <c r="AF955" s="33"/>
    </row>
    <row r="956" spans="29:32" x14ac:dyDescent="0.2">
      <c r="AC956" s="33"/>
      <c r="AE956" s="33"/>
      <c r="AF956" s="33"/>
    </row>
    <row r="957" spans="29:32" x14ac:dyDescent="0.2">
      <c r="AC957" s="33"/>
      <c r="AE957" s="33"/>
      <c r="AF957" s="33"/>
    </row>
    <row r="958" spans="29:32" x14ac:dyDescent="0.2">
      <c r="AC958" s="33"/>
      <c r="AE958" s="33"/>
      <c r="AF958" s="33"/>
    </row>
    <row r="959" spans="29:32" x14ac:dyDescent="0.2">
      <c r="AC959" s="33"/>
      <c r="AE959" s="33"/>
      <c r="AF959" s="33"/>
    </row>
    <row r="960" spans="29:32" x14ac:dyDescent="0.2">
      <c r="AC960" s="33"/>
      <c r="AE960" s="33"/>
      <c r="AF960" s="33"/>
    </row>
    <row r="961" spans="29:32" x14ac:dyDescent="0.2">
      <c r="AC961" s="33"/>
      <c r="AE961" s="33"/>
      <c r="AF961" s="33"/>
    </row>
    <row r="962" spans="29:32" x14ac:dyDescent="0.2">
      <c r="AC962" s="33"/>
      <c r="AE962" s="33"/>
      <c r="AF962" s="33"/>
    </row>
    <row r="963" spans="29:32" x14ac:dyDescent="0.2">
      <c r="AC963" s="33"/>
      <c r="AE963" s="33"/>
      <c r="AF963" s="33"/>
    </row>
    <row r="964" spans="29:32" x14ac:dyDescent="0.2">
      <c r="AC964" s="33"/>
      <c r="AE964" s="33"/>
      <c r="AF964" s="33"/>
    </row>
    <row r="965" spans="29:32" x14ac:dyDescent="0.2">
      <c r="AC965" s="33"/>
      <c r="AE965" s="33"/>
      <c r="AF965" s="33"/>
    </row>
    <row r="966" spans="29:32" x14ac:dyDescent="0.2">
      <c r="AC966" s="33"/>
      <c r="AE966" s="33"/>
      <c r="AF966" s="33"/>
    </row>
    <row r="967" spans="29:32" x14ac:dyDescent="0.2">
      <c r="AC967" s="33"/>
      <c r="AE967" s="33"/>
      <c r="AF967" s="33"/>
    </row>
    <row r="968" spans="29:32" x14ac:dyDescent="0.2">
      <c r="AC968" s="33"/>
      <c r="AE968" s="33"/>
      <c r="AF968" s="33"/>
    </row>
    <row r="969" spans="29:32" x14ac:dyDescent="0.2">
      <c r="AC969" s="33"/>
      <c r="AE969" s="33"/>
      <c r="AF969" s="33"/>
    </row>
    <row r="970" spans="29:32" x14ac:dyDescent="0.2">
      <c r="AC970" s="33"/>
      <c r="AE970" s="33"/>
      <c r="AF970" s="33"/>
    </row>
    <row r="971" spans="29:32" x14ac:dyDescent="0.2">
      <c r="AC971" s="33"/>
      <c r="AE971" s="33"/>
      <c r="AF971" s="33"/>
    </row>
    <row r="972" spans="29:32" x14ac:dyDescent="0.2">
      <c r="AC972" s="33"/>
      <c r="AE972" s="33"/>
      <c r="AF972" s="33"/>
    </row>
    <row r="973" spans="29:32" x14ac:dyDescent="0.2">
      <c r="AC973" s="33"/>
      <c r="AE973" s="33"/>
      <c r="AF973" s="33"/>
    </row>
    <row r="974" spans="29:32" x14ac:dyDescent="0.2">
      <c r="AC974" s="33"/>
      <c r="AE974" s="33"/>
      <c r="AF974" s="33"/>
    </row>
    <row r="975" spans="29:32" x14ac:dyDescent="0.2">
      <c r="AC975" s="33"/>
      <c r="AE975" s="33"/>
      <c r="AF975" s="33"/>
    </row>
    <row r="976" spans="29:32" x14ac:dyDescent="0.2">
      <c r="AC976" s="33"/>
      <c r="AE976" s="33"/>
      <c r="AF976" s="33"/>
    </row>
    <row r="977" spans="29:32" x14ac:dyDescent="0.2">
      <c r="AC977" s="33"/>
      <c r="AE977" s="33"/>
      <c r="AF977" s="33"/>
    </row>
    <row r="978" spans="29:32" x14ac:dyDescent="0.2">
      <c r="AC978" s="33"/>
      <c r="AE978" s="33"/>
      <c r="AF978" s="33"/>
    </row>
    <row r="979" spans="29:32" x14ac:dyDescent="0.2">
      <c r="AC979" s="33"/>
      <c r="AE979" s="33"/>
      <c r="AF979" s="33"/>
    </row>
    <row r="980" spans="29:32" x14ac:dyDescent="0.2">
      <c r="AC980" s="33"/>
      <c r="AE980" s="33"/>
      <c r="AF980" s="33"/>
    </row>
    <row r="981" spans="29:32" x14ac:dyDescent="0.2">
      <c r="AC981" s="33"/>
      <c r="AE981" s="33"/>
      <c r="AF981" s="33"/>
    </row>
    <row r="982" spans="29:32" x14ac:dyDescent="0.2">
      <c r="AC982" s="33"/>
      <c r="AE982" s="33"/>
      <c r="AF982" s="33"/>
    </row>
    <row r="983" spans="29:32" x14ac:dyDescent="0.2">
      <c r="AC983" s="33"/>
      <c r="AE983" s="33"/>
      <c r="AF983" s="33"/>
    </row>
    <row r="984" spans="29:32" x14ac:dyDescent="0.2">
      <c r="AC984" s="33"/>
      <c r="AE984" s="33"/>
      <c r="AF984" s="33"/>
    </row>
    <row r="985" spans="29:32" x14ac:dyDescent="0.2">
      <c r="AC985" s="33"/>
      <c r="AE985" s="33"/>
      <c r="AF985" s="33"/>
    </row>
    <row r="986" spans="29:32" x14ac:dyDescent="0.2">
      <c r="AC986" s="33"/>
      <c r="AE986" s="33"/>
      <c r="AF986" s="33"/>
    </row>
    <row r="987" spans="29:32" x14ac:dyDescent="0.2">
      <c r="AC987" s="33"/>
      <c r="AE987" s="33"/>
      <c r="AF987" s="33"/>
    </row>
    <row r="988" spans="29:32" x14ac:dyDescent="0.2">
      <c r="AC988" s="33"/>
      <c r="AE988" s="33"/>
      <c r="AF988" s="33"/>
    </row>
    <row r="989" spans="29:32" x14ac:dyDescent="0.2">
      <c r="AC989" s="33"/>
      <c r="AE989" s="33"/>
      <c r="AF989" s="33"/>
    </row>
    <row r="990" spans="29:32" x14ac:dyDescent="0.2">
      <c r="AC990" s="33"/>
      <c r="AE990" s="33"/>
      <c r="AF990" s="33"/>
    </row>
    <row r="991" spans="29:32" x14ac:dyDescent="0.2">
      <c r="AC991" s="33"/>
      <c r="AE991" s="33"/>
      <c r="AF991" s="33"/>
    </row>
    <row r="992" spans="29:32" x14ac:dyDescent="0.2">
      <c r="AC992" s="33"/>
      <c r="AE992" s="33"/>
      <c r="AF992" s="33"/>
    </row>
    <row r="993" spans="29:32" x14ac:dyDescent="0.2">
      <c r="AC993" s="33"/>
      <c r="AE993" s="33"/>
      <c r="AF993" s="33"/>
    </row>
    <row r="994" spans="29:32" x14ac:dyDescent="0.2">
      <c r="AC994" s="33"/>
      <c r="AE994" s="33"/>
      <c r="AF994" s="33"/>
    </row>
    <row r="995" spans="29:32" x14ac:dyDescent="0.2">
      <c r="AC995" s="33"/>
      <c r="AE995" s="33"/>
      <c r="AF995" s="33"/>
    </row>
    <row r="996" spans="29:32" x14ac:dyDescent="0.2">
      <c r="AC996" s="33"/>
      <c r="AE996" s="33"/>
      <c r="AF996" s="33"/>
    </row>
    <row r="997" spans="29:32" x14ac:dyDescent="0.2">
      <c r="AC997" s="33"/>
      <c r="AE997" s="33"/>
      <c r="AF997" s="33"/>
    </row>
    <row r="998" spans="29:32" x14ac:dyDescent="0.2">
      <c r="AC998" s="33"/>
      <c r="AE998" s="33"/>
      <c r="AF998" s="33"/>
    </row>
    <row r="999" spans="29:32" x14ac:dyDescent="0.2">
      <c r="AC999" s="33"/>
      <c r="AE999" s="33"/>
      <c r="AF999" s="33"/>
    </row>
    <row r="1000" spans="29:32" x14ac:dyDescent="0.2">
      <c r="AC1000" s="33"/>
      <c r="AE1000" s="33"/>
      <c r="AF1000" s="33"/>
    </row>
    <row r="1001" spans="29:32" x14ac:dyDescent="0.2">
      <c r="AC1001" s="33"/>
      <c r="AE1001" s="33"/>
      <c r="AF1001" s="33"/>
    </row>
    <row r="1002" spans="29:32" x14ac:dyDescent="0.2">
      <c r="AC1002" s="33"/>
      <c r="AE1002" s="33"/>
      <c r="AF1002" s="33"/>
    </row>
    <row r="1003" spans="29:32" x14ac:dyDescent="0.2">
      <c r="AC1003" s="33"/>
      <c r="AE1003" s="33"/>
      <c r="AF1003" s="33"/>
    </row>
    <row r="1004" spans="29:32" x14ac:dyDescent="0.2">
      <c r="AC1004" s="33"/>
      <c r="AE1004" s="33"/>
      <c r="AF1004" s="33"/>
    </row>
    <row r="1005" spans="29:32" x14ac:dyDescent="0.2">
      <c r="AC1005" s="33"/>
      <c r="AE1005" s="33"/>
      <c r="AF1005" s="33"/>
    </row>
    <row r="1006" spans="29:32" x14ac:dyDescent="0.2">
      <c r="AC1006" s="33"/>
      <c r="AE1006" s="33"/>
      <c r="AF1006" s="33"/>
    </row>
    <row r="1007" spans="29:32" x14ac:dyDescent="0.2">
      <c r="AC1007" s="33"/>
      <c r="AE1007" s="33"/>
      <c r="AF1007" s="33"/>
    </row>
    <row r="1008" spans="29:32" x14ac:dyDescent="0.2">
      <c r="AC1008" s="33"/>
      <c r="AE1008" s="33"/>
      <c r="AF1008" s="33"/>
    </row>
    <row r="1009" spans="29:32" x14ac:dyDescent="0.2">
      <c r="AC1009" s="33"/>
      <c r="AE1009" s="33"/>
      <c r="AF1009" s="33"/>
    </row>
    <row r="1010" spans="29:32" x14ac:dyDescent="0.2">
      <c r="AC1010" s="33"/>
      <c r="AE1010" s="33"/>
      <c r="AF1010" s="33"/>
    </row>
    <row r="1011" spans="29:32" x14ac:dyDescent="0.2">
      <c r="AC1011" s="33"/>
      <c r="AE1011" s="33"/>
      <c r="AF1011" s="33"/>
    </row>
    <row r="1012" spans="29:32" x14ac:dyDescent="0.2">
      <c r="AC1012" s="33"/>
      <c r="AE1012" s="33"/>
      <c r="AF1012" s="33"/>
    </row>
    <row r="1013" spans="29:32" x14ac:dyDescent="0.2">
      <c r="AC1013" s="33"/>
      <c r="AE1013" s="33"/>
      <c r="AF1013" s="33"/>
    </row>
    <row r="1014" spans="29:32" x14ac:dyDescent="0.2">
      <c r="AC1014" s="33"/>
      <c r="AE1014" s="33"/>
      <c r="AF1014" s="33"/>
    </row>
    <row r="1015" spans="29:32" x14ac:dyDescent="0.2">
      <c r="AC1015" s="33"/>
      <c r="AE1015" s="33"/>
      <c r="AF1015" s="33"/>
    </row>
    <row r="1016" spans="29:32" x14ac:dyDescent="0.2">
      <c r="AC1016" s="33"/>
      <c r="AE1016" s="33"/>
      <c r="AF1016" s="33"/>
    </row>
    <row r="1017" spans="29:32" x14ac:dyDescent="0.2">
      <c r="AC1017" s="33"/>
      <c r="AE1017" s="33"/>
      <c r="AF1017" s="33"/>
    </row>
    <row r="1018" spans="29:32" x14ac:dyDescent="0.2">
      <c r="AC1018" s="33"/>
      <c r="AE1018" s="33"/>
      <c r="AF1018" s="33"/>
    </row>
    <row r="1019" spans="29:32" x14ac:dyDescent="0.2">
      <c r="AC1019" s="33"/>
      <c r="AE1019" s="33"/>
      <c r="AF1019" s="33"/>
    </row>
    <row r="1020" spans="29:32" x14ac:dyDescent="0.2">
      <c r="AC1020" s="33"/>
      <c r="AE1020" s="33"/>
      <c r="AF1020" s="33"/>
    </row>
    <row r="1021" spans="29:32" x14ac:dyDescent="0.2">
      <c r="AC1021" s="33"/>
      <c r="AE1021" s="33"/>
      <c r="AF1021" s="33"/>
    </row>
    <row r="1022" spans="29:32" x14ac:dyDescent="0.2">
      <c r="AC1022" s="33"/>
      <c r="AE1022" s="33"/>
      <c r="AF1022" s="33"/>
    </row>
    <row r="1023" spans="29:32" x14ac:dyDescent="0.2">
      <c r="AC1023" s="33"/>
      <c r="AE1023" s="33"/>
      <c r="AF1023" s="33"/>
    </row>
    <row r="1024" spans="29:32" x14ac:dyDescent="0.2">
      <c r="AC1024" s="33"/>
      <c r="AE1024" s="33"/>
      <c r="AF1024" s="33"/>
    </row>
    <row r="1025" spans="29:32" x14ac:dyDescent="0.2">
      <c r="AC1025" s="33"/>
      <c r="AE1025" s="33"/>
      <c r="AF1025" s="33"/>
    </row>
    <row r="1026" spans="29:32" x14ac:dyDescent="0.2">
      <c r="AC1026" s="33"/>
      <c r="AE1026" s="33"/>
      <c r="AF1026" s="33"/>
    </row>
    <row r="1027" spans="29:32" x14ac:dyDescent="0.2">
      <c r="AC1027" s="33"/>
      <c r="AE1027" s="33"/>
      <c r="AF1027" s="33"/>
    </row>
    <row r="1028" spans="29:32" x14ac:dyDescent="0.2">
      <c r="AC1028" s="33"/>
      <c r="AE1028" s="33"/>
      <c r="AF1028" s="33"/>
    </row>
    <row r="1029" spans="29:32" x14ac:dyDescent="0.2">
      <c r="AC1029" s="33"/>
      <c r="AE1029" s="33"/>
      <c r="AF1029" s="33"/>
    </row>
    <row r="1030" spans="29:32" x14ac:dyDescent="0.2">
      <c r="AC1030" s="33"/>
      <c r="AE1030" s="33"/>
      <c r="AF1030" s="33"/>
    </row>
    <row r="1031" spans="29:32" x14ac:dyDescent="0.2">
      <c r="AC1031" s="33"/>
      <c r="AE1031" s="33"/>
      <c r="AF1031" s="33"/>
    </row>
    <row r="1032" spans="29:32" x14ac:dyDescent="0.2">
      <c r="AC1032" s="33"/>
      <c r="AE1032" s="33"/>
      <c r="AF1032" s="33"/>
    </row>
    <row r="1033" spans="29:32" x14ac:dyDescent="0.2">
      <c r="AC1033" s="33"/>
      <c r="AE1033" s="33"/>
      <c r="AF1033" s="33"/>
    </row>
    <row r="1034" spans="29:32" x14ac:dyDescent="0.2">
      <c r="AC1034" s="33"/>
      <c r="AE1034" s="33"/>
      <c r="AF1034" s="33"/>
    </row>
    <row r="1035" spans="29:32" x14ac:dyDescent="0.2">
      <c r="AC1035" s="33"/>
      <c r="AE1035" s="33"/>
      <c r="AF1035" s="33"/>
    </row>
    <row r="1036" spans="29:32" x14ac:dyDescent="0.2">
      <c r="AC1036" s="33"/>
      <c r="AE1036" s="33"/>
      <c r="AF1036" s="33"/>
    </row>
    <row r="1037" spans="29:32" x14ac:dyDescent="0.2">
      <c r="AC1037" s="33"/>
      <c r="AE1037" s="33"/>
      <c r="AF1037" s="33"/>
    </row>
    <row r="1038" spans="29:32" x14ac:dyDescent="0.2">
      <c r="AC1038" s="33"/>
      <c r="AE1038" s="33"/>
      <c r="AF1038" s="33"/>
    </row>
    <row r="1039" spans="29:32" x14ac:dyDescent="0.2">
      <c r="AC1039" s="33"/>
      <c r="AE1039" s="33"/>
      <c r="AF1039" s="33"/>
    </row>
    <row r="1040" spans="29:32" x14ac:dyDescent="0.2">
      <c r="AC1040" s="33"/>
      <c r="AE1040" s="33"/>
      <c r="AF1040" s="33"/>
    </row>
    <row r="1041" spans="29:32" x14ac:dyDescent="0.2">
      <c r="AC1041" s="33"/>
      <c r="AE1041" s="33"/>
      <c r="AF1041" s="33"/>
    </row>
    <row r="1042" spans="29:32" x14ac:dyDescent="0.2">
      <c r="AC1042" s="33"/>
      <c r="AE1042" s="33"/>
      <c r="AF1042" s="33"/>
    </row>
    <row r="1043" spans="29:32" x14ac:dyDescent="0.2">
      <c r="AC1043" s="33"/>
      <c r="AE1043" s="33"/>
      <c r="AF1043" s="33"/>
    </row>
    <row r="1044" spans="29:32" x14ac:dyDescent="0.2">
      <c r="AC1044" s="33"/>
      <c r="AE1044" s="33"/>
      <c r="AF1044" s="33"/>
    </row>
    <row r="1045" spans="29:32" x14ac:dyDescent="0.2">
      <c r="AC1045" s="33"/>
      <c r="AE1045" s="33"/>
      <c r="AF1045" s="33"/>
    </row>
    <row r="1046" spans="29:32" x14ac:dyDescent="0.2">
      <c r="AC1046" s="33"/>
      <c r="AE1046" s="33"/>
      <c r="AF1046" s="33"/>
    </row>
    <row r="1047" spans="29:32" x14ac:dyDescent="0.2">
      <c r="AC1047" s="33"/>
      <c r="AE1047" s="33"/>
      <c r="AF1047" s="33"/>
    </row>
    <row r="1048" spans="29:32" x14ac:dyDescent="0.2">
      <c r="AC1048" s="33"/>
      <c r="AE1048" s="33"/>
      <c r="AF1048" s="33"/>
    </row>
    <row r="1049" spans="29:32" x14ac:dyDescent="0.2">
      <c r="AC1049" s="33"/>
      <c r="AE1049" s="33"/>
      <c r="AF1049" s="33"/>
    </row>
    <row r="1050" spans="29:32" x14ac:dyDescent="0.2">
      <c r="AC1050" s="33"/>
      <c r="AE1050" s="33"/>
      <c r="AF1050" s="33"/>
    </row>
    <row r="1051" spans="29:32" x14ac:dyDescent="0.2">
      <c r="AC1051" s="33"/>
      <c r="AE1051" s="33"/>
      <c r="AF1051" s="33"/>
    </row>
    <row r="1052" spans="29:32" x14ac:dyDescent="0.2">
      <c r="AC1052" s="33"/>
      <c r="AE1052" s="33"/>
      <c r="AF1052" s="33"/>
    </row>
    <row r="1053" spans="29:32" x14ac:dyDescent="0.2">
      <c r="AC1053" s="33"/>
      <c r="AE1053" s="33"/>
      <c r="AF1053" s="33"/>
    </row>
    <row r="1054" spans="29:32" x14ac:dyDescent="0.2">
      <c r="AC1054" s="33"/>
      <c r="AE1054" s="33"/>
      <c r="AF1054" s="33"/>
    </row>
    <row r="1055" spans="29:32" x14ac:dyDescent="0.2">
      <c r="AC1055" s="33"/>
      <c r="AE1055" s="33"/>
      <c r="AF1055" s="33"/>
    </row>
    <row r="1056" spans="29:32" x14ac:dyDescent="0.2">
      <c r="AC1056" s="33"/>
      <c r="AE1056" s="33"/>
      <c r="AF1056" s="33"/>
    </row>
    <row r="1057" spans="29:32" x14ac:dyDescent="0.2">
      <c r="AC1057" s="33"/>
      <c r="AE1057" s="33"/>
      <c r="AF1057" s="33"/>
    </row>
    <row r="1058" spans="29:32" x14ac:dyDescent="0.2">
      <c r="AC1058" s="33"/>
      <c r="AE1058" s="33"/>
      <c r="AF1058" s="33"/>
    </row>
    <row r="1059" spans="29:32" x14ac:dyDescent="0.2">
      <c r="AC1059" s="33"/>
      <c r="AE1059" s="33"/>
      <c r="AF1059" s="33"/>
    </row>
    <row r="1060" spans="29:32" x14ac:dyDescent="0.2">
      <c r="AC1060" s="33"/>
      <c r="AE1060" s="33"/>
      <c r="AF1060" s="33"/>
    </row>
    <row r="1061" spans="29:32" x14ac:dyDescent="0.2">
      <c r="AC1061" s="33"/>
      <c r="AE1061" s="33"/>
      <c r="AF1061" s="33"/>
    </row>
    <row r="1062" spans="29:32" x14ac:dyDescent="0.2">
      <c r="AC1062" s="33"/>
      <c r="AE1062" s="33"/>
      <c r="AF1062" s="33"/>
    </row>
    <row r="1063" spans="29:32" x14ac:dyDescent="0.2">
      <c r="AC1063" s="33"/>
      <c r="AE1063" s="33"/>
      <c r="AF1063" s="33"/>
    </row>
    <row r="1064" spans="29:32" x14ac:dyDescent="0.2">
      <c r="AC1064" s="33"/>
      <c r="AE1064" s="33"/>
      <c r="AF1064" s="33"/>
    </row>
    <row r="1065" spans="29:32" x14ac:dyDescent="0.2">
      <c r="AC1065" s="33"/>
      <c r="AE1065" s="33"/>
      <c r="AF1065" s="33"/>
    </row>
    <row r="1066" spans="29:32" x14ac:dyDescent="0.2">
      <c r="AC1066" s="33"/>
      <c r="AE1066" s="33"/>
      <c r="AF1066" s="33"/>
    </row>
    <row r="1067" spans="29:32" x14ac:dyDescent="0.2">
      <c r="AC1067" s="33"/>
      <c r="AE1067" s="33"/>
      <c r="AF1067" s="33"/>
    </row>
    <row r="1068" spans="29:32" x14ac:dyDescent="0.2">
      <c r="AC1068" s="33"/>
      <c r="AE1068" s="33"/>
      <c r="AF1068" s="33"/>
    </row>
    <row r="1069" spans="29:32" x14ac:dyDescent="0.2">
      <c r="AC1069" s="33"/>
      <c r="AE1069" s="33"/>
      <c r="AF1069" s="33"/>
    </row>
    <row r="1070" spans="29:32" x14ac:dyDescent="0.2">
      <c r="AC1070" s="33"/>
      <c r="AE1070" s="33"/>
      <c r="AF1070" s="33"/>
    </row>
    <row r="1071" spans="29:32" x14ac:dyDescent="0.2">
      <c r="AC1071" s="33"/>
      <c r="AE1071" s="33"/>
      <c r="AF1071" s="33"/>
    </row>
    <row r="1072" spans="29:32" x14ac:dyDescent="0.2">
      <c r="AC1072" s="33"/>
      <c r="AE1072" s="33"/>
      <c r="AF1072" s="33"/>
    </row>
    <row r="1073" spans="29:32" x14ac:dyDescent="0.2">
      <c r="AC1073" s="33"/>
      <c r="AE1073" s="33"/>
      <c r="AF1073" s="33"/>
    </row>
    <row r="1074" spans="29:32" x14ac:dyDescent="0.2">
      <c r="AC1074" s="33"/>
      <c r="AE1074" s="33"/>
      <c r="AF1074" s="33"/>
    </row>
    <row r="1075" spans="29:32" x14ac:dyDescent="0.2">
      <c r="AC1075" s="33"/>
      <c r="AE1075" s="33"/>
      <c r="AF1075" s="33"/>
    </row>
    <row r="1076" spans="29:32" x14ac:dyDescent="0.2">
      <c r="AC1076" s="33"/>
      <c r="AE1076" s="33"/>
      <c r="AF1076" s="33"/>
    </row>
    <row r="1077" spans="29:32" x14ac:dyDescent="0.2">
      <c r="AC1077" s="33"/>
      <c r="AE1077" s="33"/>
      <c r="AF1077" s="33"/>
    </row>
    <row r="1078" spans="29:32" x14ac:dyDescent="0.2">
      <c r="AC1078" s="33"/>
      <c r="AE1078" s="33"/>
      <c r="AF1078" s="33"/>
    </row>
    <row r="1079" spans="29:32" x14ac:dyDescent="0.2">
      <c r="AC1079" s="33"/>
      <c r="AE1079" s="33"/>
      <c r="AF1079" s="33"/>
    </row>
    <row r="1080" spans="29:32" x14ac:dyDescent="0.2">
      <c r="AC1080" s="33"/>
      <c r="AE1080" s="33"/>
      <c r="AF1080" s="33"/>
    </row>
    <row r="1081" spans="29:32" x14ac:dyDescent="0.2">
      <c r="AC1081" s="33"/>
      <c r="AE1081" s="33"/>
      <c r="AF1081" s="33"/>
    </row>
    <row r="1082" spans="29:32" x14ac:dyDescent="0.2">
      <c r="AC1082" s="33"/>
      <c r="AE1082" s="33"/>
      <c r="AF1082" s="33"/>
    </row>
    <row r="1083" spans="29:32" x14ac:dyDescent="0.2">
      <c r="AC1083" s="33"/>
      <c r="AE1083" s="33"/>
      <c r="AF1083" s="33"/>
    </row>
    <row r="1084" spans="29:32" x14ac:dyDescent="0.2">
      <c r="AC1084" s="33"/>
      <c r="AE1084" s="33"/>
      <c r="AF1084" s="33"/>
    </row>
    <row r="1085" spans="29:32" x14ac:dyDescent="0.2">
      <c r="AC1085" s="33"/>
      <c r="AE1085" s="33"/>
      <c r="AF1085" s="33"/>
    </row>
    <row r="1086" spans="29:32" x14ac:dyDescent="0.2">
      <c r="AC1086" s="33"/>
      <c r="AE1086" s="33"/>
      <c r="AF1086" s="33"/>
    </row>
    <row r="1087" spans="29:32" x14ac:dyDescent="0.2">
      <c r="AC1087" s="33"/>
      <c r="AE1087" s="33"/>
      <c r="AF1087" s="33"/>
    </row>
    <row r="1088" spans="29:32" x14ac:dyDescent="0.2">
      <c r="AC1088" s="33"/>
      <c r="AE1088" s="33"/>
      <c r="AF1088" s="33"/>
    </row>
    <row r="1089" spans="29:32" x14ac:dyDescent="0.2">
      <c r="AC1089" s="33"/>
      <c r="AE1089" s="33"/>
      <c r="AF1089" s="33"/>
    </row>
    <row r="1090" spans="29:32" x14ac:dyDescent="0.2">
      <c r="AC1090" s="33"/>
      <c r="AE1090" s="33"/>
      <c r="AF1090" s="33"/>
    </row>
    <row r="1091" spans="29:32" x14ac:dyDescent="0.2">
      <c r="AC1091" s="33"/>
      <c r="AE1091" s="33"/>
      <c r="AF1091" s="33"/>
    </row>
    <row r="1092" spans="29:32" x14ac:dyDescent="0.2">
      <c r="AC1092" s="33"/>
      <c r="AE1092" s="33"/>
      <c r="AF1092" s="33"/>
    </row>
    <row r="1093" spans="29:32" x14ac:dyDescent="0.2">
      <c r="AC1093" s="33"/>
      <c r="AE1093" s="33"/>
      <c r="AF1093" s="33"/>
    </row>
    <row r="1094" spans="29:32" x14ac:dyDescent="0.2">
      <c r="AC1094" s="33"/>
      <c r="AE1094" s="33"/>
      <c r="AF1094" s="33"/>
    </row>
    <row r="1095" spans="29:32" x14ac:dyDescent="0.2">
      <c r="AC1095" s="33"/>
      <c r="AE1095" s="33"/>
      <c r="AF1095" s="33"/>
    </row>
    <row r="1096" spans="29:32" x14ac:dyDescent="0.2">
      <c r="AC1096" s="33"/>
      <c r="AE1096" s="33"/>
      <c r="AF1096" s="33"/>
    </row>
    <row r="1097" spans="29:32" x14ac:dyDescent="0.2">
      <c r="AC1097" s="33"/>
      <c r="AE1097" s="33"/>
      <c r="AF1097" s="33"/>
    </row>
    <row r="1098" spans="29:32" x14ac:dyDescent="0.2">
      <c r="AC1098" s="33"/>
      <c r="AE1098" s="33"/>
      <c r="AF1098" s="33"/>
    </row>
    <row r="1099" spans="29:32" x14ac:dyDescent="0.2">
      <c r="AC1099" s="33"/>
      <c r="AE1099" s="33"/>
      <c r="AF1099" s="33"/>
    </row>
    <row r="1100" spans="29:32" x14ac:dyDescent="0.2">
      <c r="AC1100" s="33"/>
      <c r="AE1100" s="33"/>
      <c r="AF1100" s="33"/>
    </row>
    <row r="1101" spans="29:32" x14ac:dyDescent="0.2">
      <c r="AC1101" s="33"/>
      <c r="AE1101" s="33"/>
      <c r="AF1101" s="33"/>
    </row>
    <row r="1102" spans="29:32" x14ac:dyDescent="0.2">
      <c r="AC1102" s="33"/>
      <c r="AE1102" s="33"/>
      <c r="AF1102" s="33"/>
    </row>
    <row r="1103" spans="29:32" x14ac:dyDescent="0.2">
      <c r="AC1103" s="33"/>
      <c r="AE1103" s="33"/>
      <c r="AF1103" s="33"/>
    </row>
    <row r="1104" spans="29:32" x14ac:dyDescent="0.2">
      <c r="AC1104" s="33"/>
      <c r="AE1104" s="33"/>
      <c r="AF1104" s="33"/>
    </row>
    <row r="1105" spans="29:32" x14ac:dyDescent="0.2">
      <c r="AC1105" s="33"/>
      <c r="AE1105" s="33"/>
      <c r="AF1105" s="33"/>
    </row>
    <row r="1106" spans="29:32" x14ac:dyDescent="0.2">
      <c r="AC1106" s="33"/>
      <c r="AE1106" s="33"/>
      <c r="AF1106" s="33"/>
    </row>
    <row r="1107" spans="29:32" x14ac:dyDescent="0.2">
      <c r="AC1107" s="33"/>
      <c r="AE1107" s="33"/>
      <c r="AF1107" s="33"/>
    </row>
    <row r="1108" spans="29:32" x14ac:dyDescent="0.2">
      <c r="AC1108" s="33"/>
      <c r="AE1108" s="33"/>
      <c r="AF1108" s="33"/>
    </row>
    <row r="1109" spans="29:32" x14ac:dyDescent="0.2">
      <c r="AC1109" s="33"/>
      <c r="AE1109" s="33"/>
      <c r="AF1109" s="33"/>
    </row>
    <row r="1110" spans="29:32" x14ac:dyDescent="0.2">
      <c r="AC1110" s="33"/>
      <c r="AE1110" s="33"/>
      <c r="AF1110" s="33"/>
    </row>
    <row r="1111" spans="29:32" x14ac:dyDescent="0.2">
      <c r="AC1111" s="33"/>
      <c r="AE1111" s="33"/>
      <c r="AF1111" s="33"/>
    </row>
    <row r="1112" spans="29:32" x14ac:dyDescent="0.2">
      <c r="AC1112" s="33"/>
      <c r="AE1112" s="33"/>
      <c r="AF1112" s="33"/>
    </row>
    <row r="1113" spans="29:32" x14ac:dyDescent="0.2">
      <c r="AC1113" s="33"/>
      <c r="AE1113" s="33"/>
      <c r="AF1113" s="33"/>
    </row>
    <row r="1114" spans="29:32" x14ac:dyDescent="0.2">
      <c r="AC1114" s="33"/>
      <c r="AE1114" s="33"/>
      <c r="AF1114" s="33"/>
    </row>
    <row r="1115" spans="29:32" x14ac:dyDescent="0.2">
      <c r="AC1115" s="33"/>
      <c r="AE1115" s="33"/>
      <c r="AF1115" s="33"/>
    </row>
    <row r="1116" spans="29:32" x14ac:dyDescent="0.2">
      <c r="AC1116" s="33"/>
      <c r="AE1116" s="33"/>
      <c r="AF1116" s="33"/>
    </row>
    <row r="1117" spans="29:32" x14ac:dyDescent="0.2">
      <c r="AC1117" s="33"/>
      <c r="AE1117" s="33"/>
      <c r="AF1117" s="33"/>
    </row>
    <row r="1118" spans="29:32" x14ac:dyDescent="0.2">
      <c r="AC1118" s="33"/>
      <c r="AE1118" s="33"/>
      <c r="AF1118" s="33"/>
    </row>
    <row r="1119" spans="29:32" x14ac:dyDescent="0.2">
      <c r="AC1119" s="33"/>
      <c r="AE1119" s="33"/>
      <c r="AF1119" s="33"/>
    </row>
    <row r="1120" spans="29:32" x14ac:dyDescent="0.2">
      <c r="AC1120" s="33"/>
      <c r="AE1120" s="33"/>
      <c r="AF1120" s="33"/>
    </row>
    <row r="1121" spans="29:32" x14ac:dyDescent="0.2">
      <c r="AC1121" s="33"/>
      <c r="AE1121" s="33"/>
      <c r="AF1121" s="33"/>
    </row>
    <row r="1122" spans="29:32" x14ac:dyDescent="0.2">
      <c r="AC1122" s="33"/>
      <c r="AE1122" s="33"/>
      <c r="AF1122" s="33"/>
    </row>
    <row r="1123" spans="29:32" x14ac:dyDescent="0.2">
      <c r="AC1123" s="33"/>
      <c r="AE1123" s="33"/>
      <c r="AF1123" s="33"/>
    </row>
    <row r="1124" spans="29:32" x14ac:dyDescent="0.2">
      <c r="AC1124" s="33"/>
      <c r="AE1124" s="33"/>
      <c r="AF1124" s="33"/>
    </row>
    <row r="1125" spans="29:32" x14ac:dyDescent="0.2">
      <c r="AC1125" s="33"/>
      <c r="AE1125" s="33"/>
      <c r="AF1125" s="33"/>
    </row>
    <row r="1126" spans="29:32" x14ac:dyDescent="0.2">
      <c r="AC1126" s="33"/>
      <c r="AE1126" s="33"/>
      <c r="AF1126" s="33"/>
    </row>
    <row r="1127" spans="29:32" x14ac:dyDescent="0.2">
      <c r="AC1127" s="33"/>
      <c r="AE1127" s="33"/>
      <c r="AF1127" s="33"/>
    </row>
    <row r="1128" spans="29:32" x14ac:dyDescent="0.2">
      <c r="AC1128" s="33"/>
      <c r="AE1128" s="33"/>
      <c r="AF1128" s="33"/>
    </row>
    <row r="1129" spans="29:32" x14ac:dyDescent="0.2">
      <c r="AC1129" s="33"/>
      <c r="AE1129" s="33"/>
      <c r="AF1129" s="33"/>
    </row>
    <row r="1130" spans="29:32" x14ac:dyDescent="0.2">
      <c r="AC1130" s="33"/>
      <c r="AE1130" s="33"/>
      <c r="AF1130" s="33"/>
    </row>
    <row r="1131" spans="29:32" x14ac:dyDescent="0.2">
      <c r="AC1131" s="33"/>
      <c r="AE1131" s="33"/>
      <c r="AF1131" s="33"/>
    </row>
    <row r="1132" spans="29:32" x14ac:dyDescent="0.2">
      <c r="AC1132" s="33"/>
      <c r="AE1132" s="33"/>
      <c r="AF1132" s="33"/>
    </row>
    <row r="1133" spans="29:32" x14ac:dyDescent="0.2">
      <c r="AC1133" s="33"/>
      <c r="AE1133" s="33"/>
      <c r="AF1133" s="33"/>
    </row>
    <row r="1134" spans="29:32" x14ac:dyDescent="0.2">
      <c r="AC1134" s="33"/>
      <c r="AE1134" s="33"/>
      <c r="AF1134" s="33"/>
    </row>
    <row r="1135" spans="29:32" x14ac:dyDescent="0.2">
      <c r="AC1135" s="33"/>
      <c r="AE1135" s="33"/>
      <c r="AF1135" s="33"/>
    </row>
    <row r="1136" spans="29:32" x14ac:dyDescent="0.2">
      <c r="AC1136" s="33"/>
      <c r="AE1136" s="33"/>
      <c r="AF1136" s="33"/>
    </row>
    <row r="1137" spans="29:32" x14ac:dyDescent="0.2">
      <c r="AC1137" s="33"/>
      <c r="AE1137" s="33"/>
      <c r="AF1137" s="33"/>
    </row>
    <row r="1138" spans="29:32" x14ac:dyDescent="0.2">
      <c r="AC1138" s="33"/>
      <c r="AE1138" s="33"/>
      <c r="AF1138" s="33"/>
    </row>
    <row r="1139" spans="29:32" x14ac:dyDescent="0.2">
      <c r="AC1139" s="33"/>
      <c r="AE1139" s="33"/>
      <c r="AF1139" s="33"/>
    </row>
    <row r="1140" spans="29:32" x14ac:dyDescent="0.2">
      <c r="AC1140" s="33"/>
      <c r="AE1140" s="33"/>
      <c r="AF1140" s="33"/>
    </row>
    <row r="1141" spans="29:32" x14ac:dyDescent="0.2">
      <c r="AC1141" s="33"/>
      <c r="AE1141" s="33"/>
      <c r="AF1141" s="33"/>
    </row>
    <row r="1142" spans="29:32" x14ac:dyDescent="0.2">
      <c r="AC1142" s="33"/>
      <c r="AE1142" s="33"/>
      <c r="AF1142" s="33"/>
    </row>
    <row r="1143" spans="29:32" x14ac:dyDescent="0.2">
      <c r="AC1143" s="33"/>
      <c r="AE1143" s="33"/>
      <c r="AF1143" s="33"/>
    </row>
    <row r="1144" spans="29:32" x14ac:dyDescent="0.2">
      <c r="AC1144" s="33"/>
      <c r="AE1144" s="33"/>
      <c r="AF1144" s="33"/>
    </row>
    <row r="1145" spans="29:32" x14ac:dyDescent="0.2">
      <c r="AC1145" s="33"/>
      <c r="AE1145" s="33"/>
      <c r="AF1145" s="33"/>
    </row>
    <row r="1146" spans="29:32" x14ac:dyDescent="0.2">
      <c r="AC1146" s="33"/>
      <c r="AE1146" s="33"/>
      <c r="AF1146" s="33"/>
    </row>
    <row r="1147" spans="29:32" x14ac:dyDescent="0.2">
      <c r="AC1147" s="33"/>
      <c r="AE1147" s="33"/>
      <c r="AF1147" s="33"/>
    </row>
    <row r="1148" spans="29:32" x14ac:dyDescent="0.2">
      <c r="AC1148" s="33"/>
      <c r="AE1148" s="33"/>
      <c r="AF1148" s="33"/>
    </row>
    <row r="1149" spans="29:32" x14ac:dyDescent="0.2">
      <c r="AC1149" s="33"/>
      <c r="AE1149" s="33"/>
      <c r="AF1149" s="33"/>
    </row>
    <row r="1150" spans="29:32" x14ac:dyDescent="0.2">
      <c r="AC1150" s="33"/>
      <c r="AE1150" s="33"/>
      <c r="AF1150" s="33"/>
    </row>
    <row r="1151" spans="29:32" x14ac:dyDescent="0.2">
      <c r="AC1151" s="33"/>
      <c r="AE1151" s="33"/>
      <c r="AF1151" s="33"/>
    </row>
    <row r="1152" spans="29:32" x14ac:dyDescent="0.2">
      <c r="AC1152" s="33"/>
      <c r="AE1152" s="33"/>
      <c r="AF1152" s="33"/>
    </row>
    <row r="1153" spans="29:32" x14ac:dyDescent="0.2">
      <c r="AC1153" s="33"/>
      <c r="AE1153" s="33"/>
      <c r="AF1153" s="33"/>
    </row>
    <row r="1154" spans="29:32" x14ac:dyDescent="0.2">
      <c r="AC1154" s="33"/>
      <c r="AE1154" s="33"/>
      <c r="AF1154" s="33"/>
    </row>
    <row r="1155" spans="29:32" x14ac:dyDescent="0.2">
      <c r="AC1155" s="33"/>
      <c r="AE1155" s="33"/>
      <c r="AF1155" s="33"/>
    </row>
    <row r="1156" spans="29:32" x14ac:dyDescent="0.2">
      <c r="AC1156" s="33"/>
      <c r="AE1156" s="33"/>
      <c r="AF1156" s="33"/>
    </row>
    <row r="1157" spans="29:32" x14ac:dyDescent="0.2">
      <c r="AC1157" s="33"/>
      <c r="AE1157" s="33"/>
      <c r="AF1157" s="33"/>
    </row>
    <row r="1158" spans="29:32" x14ac:dyDescent="0.2">
      <c r="AC1158" s="33"/>
      <c r="AE1158" s="33"/>
      <c r="AF1158" s="33"/>
    </row>
    <row r="1159" spans="29:32" x14ac:dyDescent="0.2">
      <c r="AC1159" s="33"/>
      <c r="AE1159" s="33"/>
      <c r="AF1159" s="33"/>
    </row>
    <row r="1160" spans="29:32" x14ac:dyDescent="0.2">
      <c r="AC1160" s="33"/>
      <c r="AE1160" s="33"/>
      <c r="AF1160" s="33"/>
    </row>
    <row r="1161" spans="29:32" x14ac:dyDescent="0.2">
      <c r="AC1161" s="33"/>
      <c r="AE1161" s="33"/>
      <c r="AF1161" s="33"/>
    </row>
    <row r="1162" spans="29:32" x14ac:dyDescent="0.2">
      <c r="AC1162" s="33"/>
      <c r="AE1162" s="33"/>
      <c r="AF1162" s="33"/>
    </row>
    <row r="1163" spans="29:32" x14ac:dyDescent="0.2">
      <c r="AC1163" s="33"/>
      <c r="AE1163" s="33"/>
      <c r="AF1163" s="33"/>
    </row>
    <row r="1164" spans="29:32" x14ac:dyDescent="0.2">
      <c r="AC1164" s="33"/>
      <c r="AE1164" s="33"/>
      <c r="AF1164" s="33"/>
    </row>
    <row r="1165" spans="29:32" x14ac:dyDescent="0.2">
      <c r="AC1165" s="33"/>
      <c r="AE1165" s="33"/>
      <c r="AF1165" s="33"/>
    </row>
    <row r="1166" spans="29:32" x14ac:dyDescent="0.2">
      <c r="AC1166" s="33"/>
      <c r="AE1166" s="33"/>
      <c r="AF1166" s="33"/>
    </row>
    <row r="1167" spans="29:32" x14ac:dyDescent="0.2">
      <c r="AC1167" s="33"/>
      <c r="AE1167" s="33"/>
      <c r="AF1167" s="33"/>
    </row>
    <row r="1168" spans="29:32" x14ac:dyDescent="0.2">
      <c r="AC1168" s="33"/>
      <c r="AE1168" s="33"/>
      <c r="AF1168" s="33"/>
    </row>
    <row r="1169" spans="29:32" x14ac:dyDescent="0.2">
      <c r="AC1169" s="33"/>
      <c r="AE1169" s="33"/>
      <c r="AF1169" s="33"/>
    </row>
    <row r="1170" spans="29:32" x14ac:dyDescent="0.2">
      <c r="AC1170" s="33"/>
      <c r="AE1170" s="33"/>
      <c r="AF1170" s="33"/>
    </row>
    <row r="1171" spans="29:32" x14ac:dyDescent="0.2">
      <c r="AC1171" s="33"/>
      <c r="AE1171" s="33"/>
      <c r="AF1171" s="33"/>
    </row>
    <row r="1172" spans="29:32" x14ac:dyDescent="0.2">
      <c r="AC1172" s="33"/>
      <c r="AE1172" s="33"/>
      <c r="AF1172" s="33"/>
    </row>
    <row r="1173" spans="29:32" x14ac:dyDescent="0.2">
      <c r="AC1173" s="33"/>
      <c r="AE1173" s="33"/>
      <c r="AF1173" s="33"/>
    </row>
    <row r="1174" spans="29:32" x14ac:dyDescent="0.2">
      <c r="AC1174" s="33"/>
      <c r="AE1174" s="33"/>
      <c r="AF1174" s="33"/>
    </row>
    <row r="1175" spans="29:32" x14ac:dyDescent="0.2">
      <c r="AC1175" s="33"/>
      <c r="AE1175" s="33"/>
      <c r="AF1175" s="33"/>
    </row>
    <row r="1176" spans="29:32" x14ac:dyDescent="0.2">
      <c r="AC1176" s="33"/>
      <c r="AE1176" s="33"/>
      <c r="AF1176" s="33"/>
    </row>
    <row r="1177" spans="29:32" x14ac:dyDescent="0.2">
      <c r="AC1177" s="33"/>
      <c r="AE1177" s="33"/>
      <c r="AF1177" s="33"/>
    </row>
    <row r="1178" spans="29:32" x14ac:dyDescent="0.2">
      <c r="AC1178" s="33"/>
      <c r="AE1178" s="33"/>
      <c r="AF1178" s="33"/>
    </row>
    <row r="1179" spans="29:32" x14ac:dyDescent="0.2">
      <c r="AC1179" s="33"/>
      <c r="AE1179" s="33"/>
      <c r="AF1179" s="33"/>
    </row>
    <row r="1180" spans="29:32" x14ac:dyDescent="0.2">
      <c r="AC1180" s="33"/>
      <c r="AE1180" s="33"/>
      <c r="AF1180" s="33"/>
    </row>
    <row r="1181" spans="29:32" x14ac:dyDescent="0.2">
      <c r="AC1181" s="33"/>
      <c r="AE1181" s="33"/>
      <c r="AF1181" s="33"/>
    </row>
    <row r="1182" spans="29:32" x14ac:dyDescent="0.2">
      <c r="AC1182" s="33"/>
      <c r="AE1182" s="33"/>
      <c r="AF1182" s="33"/>
    </row>
    <row r="1183" spans="29:32" x14ac:dyDescent="0.2">
      <c r="AC1183" s="33"/>
      <c r="AE1183" s="33"/>
      <c r="AF1183" s="33"/>
    </row>
    <row r="1184" spans="29:32" x14ac:dyDescent="0.2">
      <c r="AC1184" s="33"/>
      <c r="AE1184" s="33"/>
      <c r="AF1184" s="33"/>
    </row>
    <row r="1185" spans="29:32" x14ac:dyDescent="0.2">
      <c r="AC1185" s="33"/>
      <c r="AE1185" s="33"/>
      <c r="AF1185" s="33"/>
    </row>
    <row r="1186" spans="29:32" x14ac:dyDescent="0.2">
      <c r="AC1186" s="33"/>
      <c r="AE1186" s="33"/>
      <c r="AF1186" s="33"/>
    </row>
    <row r="1187" spans="29:32" x14ac:dyDescent="0.2">
      <c r="AC1187" s="33"/>
      <c r="AE1187" s="33"/>
      <c r="AF1187" s="33"/>
    </row>
    <row r="1188" spans="29:32" x14ac:dyDescent="0.2">
      <c r="AC1188" s="33"/>
      <c r="AE1188" s="33"/>
      <c r="AF1188" s="33"/>
    </row>
    <row r="1189" spans="29:32" x14ac:dyDescent="0.2">
      <c r="AC1189" s="33"/>
      <c r="AE1189" s="33"/>
      <c r="AF1189" s="33"/>
    </row>
    <row r="1190" spans="29:32" x14ac:dyDescent="0.2">
      <c r="AC1190" s="33"/>
      <c r="AE1190" s="33"/>
      <c r="AF1190" s="33"/>
    </row>
    <row r="1191" spans="29:32" x14ac:dyDescent="0.2">
      <c r="AC1191" s="33"/>
      <c r="AE1191" s="33"/>
      <c r="AF1191" s="33"/>
    </row>
    <row r="1192" spans="29:32" x14ac:dyDescent="0.2">
      <c r="AC1192" s="33"/>
      <c r="AE1192" s="33"/>
      <c r="AF1192" s="33"/>
    </row>
    <row r="1193" spans="29:32" x14ac:dyDescent="0.2">
      <c r="AC1193" s="33"/>
      <c r="AE1193" s="33"/>
      <c r="AF1193" s="33"/>
    </row>
    <row r="1194" spans="29:32" x14ac:dyDescent="0.2">
      <c r="AC1194" s="33"/>
      <c r="AE1194" s="33"/>
      <c r="AF1194" s="33"/>
    </row>
    <row r="1195" spans="29:32" x14ac:dyDescent="0.2">
      <c r="AC1195" s="33"/>
      <c r="AE1195" s="33"/>
      <c r="AF1195" s="33"/>
    </row>
    <row r="1196" spans="29:32" x14ac:dyDescent="0.2">
      <c r="AC1196" s="33"/>
      <c r="AE1196" s="33"/>
      <c r="AF1196" s="33"/>
    </row>
    <row r="1197" spans="29:32" x14ac:dyDescent="0.2">
      <c r="AC1197" s="33"/>
      <c r="AE1197" s="33"/>
      <c r="AF1197" s="33"/>
    </row>
    <row r="1198" spans="29:32" x14ac:dyDescent="0.2">
      <c r="AC1198" s="33"/>
      <c r="AE1198" s="33"/>
      <c r="AF1198" s="33"/>
    </row>
    <row r="1199" spans="29:32" x14ac:dyDescent="0.2">
      <c r="AC1199" s="33"/>
      <c r="AE1199" s="33"/>
      <c r="AF1199" s="33"/>
    </row>
    <row r="1200" spans="29:32" x14ac:dyDescent="0.2">
      <c r="AC1200" s="33"/>
      <c r="AE1200" s="33"/>
      <c r="AF1200" s="33"/>
    </row>
    <row r="1201" spans="29:32" x14ac:dyDescent="0.2">
      <c r="AC1201" s="33"/>
      <c r="AE1201" s="33"/>
      <c r="AF1201" s="33"/>
    </row>
    <row r="1202" spans="29:32" x14ac:dyDescent="0.2">
      <c r="AC1202" s="33"/>
      <c r="AE1202" s="33"/>
      <c r="AF1202" s="33"/>
    </row>
    <row r="1203" spans="29:32" x14ac:dyDescent="0.2">
      <c r="AC1203" s="33"/>
      <c r="AE1203" s="33"/>
      <c r="AF1203" s="33"/>
    </row>
    <row r="1204" spans="29:32" x14ac:dyDescent="0.2">
      <c r="AC1204" s="33"/>
      <c r="AE1204" s="33"/>
      <c r="AF1204" s="33"/>
    </row>
    <row r="1205" spans="29:32" x14ac:dyDescent="0.2">
      <c r="AC1205" s="33"/>
      <c r="AE1205" s="33"/>
      <c r="AF1205" s="33"/>
    </row>
    <row r="1206" spans="29:32" x14ac:dyDescent="0.2">
      <c r="AC1206" s="33"/>
      <c r="AE1206" s="33"/>
      <c r="AF1206" s="33"/>
    </row>
    <row r="1207" spans="29:32" x14ac:dyDescent="0.2">
      <c r="AC1207" s="33"/>
      <c r="AE1207" s="33"/>
      <c r="AF1207" s="33"/>
    </row>
    <row r="1208" spans="29:32" x14ac:dyDescent="0.2">
      <c r="AC1208" s="33"/>
      <c r="AE1208" s="33"/>
      <c r="AF1208" s="33"/>
    </row>
    <row r="1209" spans="29:32" x14ac:dyDescent="0.2">
      <c r="AC1209" s="33"/>
      <c r="AE1209" s="33"/>
      <c r="AF1209" s="33"/>
    </row>
    <row r="1210" spans="29:32" x14ac:dyDescent="0.2">
      <c r="AC1210" s="33"/>
      <c r="AE1210" s="33"/>
      <c r="AF1210" s="33"/>
    </row>
    <row r="1211" spans="29:32" x14ac:dyDescent="0.2">
      <c r="AC1211" s="33"/>
      <c r="AE1211" s="33"/>
      <c r="AF1211" s="33"/>
    </row>
    <row r="1212" spans="29:32" x14ac:dyDescent="0.2">
      <c r="AC1212" s="33"/>
      <c r="AE1212" s="33"/>
      <c r="AF1212" s="33"/>
    </row>
    <row r="1213" spans="29:32" x14ac:dyDescent="0.2">
      <c r="AC1213" s="33"/>
      <c r="AE1213" s="33"/>
      <c r="AF1213" s="33"/>
    </row>
    <row r="1214" spans="29:32" x14ac:dyDescent="0.2">
      <c r="AC1214" s="33"/>
      <c r="AE1214" s="33"/>
      <c r="AF1214" s="33"/>
    </row>
    <row r="1215" spans="29:32" x14ac:dyDescent="0.2">
      <c r="AC1215" s="33"/>
      <c r="AE1215" s="33"/>
      <c r="AF1215" s="33"/>
    </row>
    <row r="1216" spans="29:32" x14ac:dyDescent="0.2">
      <c r="AC1216" s="33"/>
      <c r="AE1216" s="33"/>
      <c r="AF1216" s="33"/>
    </row>
    <row r="1217" spans="29:32" x14ac:dyDescent="0.2">
      <c r="AC1217" s="33"/>
      <c r="AE1217" s="33"/>
      <c r="AF1217" s="33"/>
    </row>
    <row r="1218" spans="29:32" x14ac:dyDescent="0.2">
      <c r="AC1218" s="33"/>
      <c r="AE1218" s="33"/>
      <c r="AF1218" s="33"/>
    </row>
    <row r="1219" spans="29:32" x14ac:dyDescent="0.2">
      <c r="AC1219" s="33"/>
      <c r="AE1219" s="33"/>
      <c r="AF1219" s="33"/>
    </row>
    <row r="1220" spans="29:32" x14ac:dyDescent="0.2">
      <c r="AC1220" s="33"/>
      <c r="AE1220" s="33"/>
      <c r="AF1220" s="33"/>
    </row>
    <row r="1221" spans="29:32" x14ac:dyDescent="0.2">
      <c r="AC1221" s="33"/>
      <c r="AE1221" s="33"/>
      <c r="AF1221" s="33"/>
    </row>
    <row r="1222" spans="29:32" x14ac:dyDescent="0.2">
      <c r="AC1222" s="33"/>
      <c r="AE1222" s="33"/>
      <c r="AF1222" s="33"/>
    </row>
    <row r="1223" spans="29:32" x14ac:dyDescent="0.2">
      <c r="AC1223" s="33"/>
      <c r="AE1223" s="33"/>
      <c r="AF1223" s="33"/>
    </row>
    <row r="1224" spans="29:32" x14ac:dyDescent="0.2">
      <c r="AC1224" s="33"/>
      <c r="AE1224" s="33"/>
      <c r="AF1224" s="33"/>
    </row>
    <row r="1225" spans="29:32" x14ac:dyDescent="0.2">
      <c r="AC1225" s="33"/>
      <c r="AE1225" s="33"/>
      <c r="AF1225" s="33"/>
    </row>
    <row r="1226" spans="29:32" x14ac:dyDescent="0.2">
      <c r="AC1226" s="33"/>
      <c r="AE1226" s="33"/>
      <c r="AF1226" s="33"/>
    </row>
    <row r="1227" spans="29:32" x14ac:dyDescent="0.2">
      <c r="AC1227" s="33"/>
      <c r="AE1227" s="33"/>
      <c r="AF1227" s="33"/>
    </row>
    <row r="1228" spans="29:32" x14ac:dyDescent="0.2">
      <c r="AC1228" s="33"/>
      <c r="AE1228" s="33"/>
      <c r="AF1228" s="33"/>
    </row>
    <row r="1229" spans="29:32" x14ac:dyDescent="0.2">
      <c r="AC1229" s="33"/>
      <c r="AE1229" s="33"/>
      <c r="AF1229" s="33"/>
    </row>
    <row r="1230" spans="29:32" x14ac:dyDescent="0.2">
      <c r="AC1230" s="33"/>
      <c r="AE1230" s="33"/>
      <c r="AF1230" s="33"/>
    </row>
    <row r="1231" spans="29:32" x14ac:dyDescent="0.2">
      <c r="AC1231" s="33"/>
      <c r="AE1231" s="33"/>
      <c r="AF1231" s="33"/>
    </row>
    <row r="1232" spans="29:32" x14ac:dyDescent="0.2">
      <c r="AC1232" s="33"/>
      <c r="AE1232" s="33"/>
      <c r="AF1232" s="33"/>
    </row>
    <row r="1233" spans="29:32" x14ac:dyDescent="0.2">
      <c r="AC1233" s="33"/>
      <c r="AE1233" s="33"/>
      <c r="AF1233" s="33"/>
    </row>
    <row r="1234" spans="29:32" x14ac:dyDescent="0.2">
      <c r="AC1234" s="33"/>
      <c r="AE1234" s="33"/>
      <c r="AF1234" s="33"/>
    </row>
    <row r="1235" spans="29:32" x14ac:dyDescent="0.2">
      <c r="AC1235" s="33"/>
      <c r="AE1235" s="33"/>
      <c r="AF1235" s="33"/>
    </row>
    <row r="1236" spans="29:32" x14ac:dyDescent="0.2">
      <c r="AC1236" s="33"/>
      <c r="AE1236" s="33"/>
      <c r="AF1236" s="33"/>
    </row>
    <row r="1237" spans="29:32" x14ac:dyDescent="0.2">
      <c r="AC1237" s="33"/>
      <c r="AE1237" s="33"/>
      <c r="AF1237" s="33"/>
    </row>
    <row r="1238" spans="29:32" x14ac:dyDescent="0.2">
      <c r="AC1238" s="33"/>
      <c r="AE1238" s="33"/>
      <c r="AF1238" s="33"/>
    </row>
    <row r="1239" spans="29:32" x14ac:dyDescent="0.2">
      <c r="AC1239" s="33"/>
      <c r="AE1239" s="33"/>
      <c r="AF1239" s="33"/>
    </row>
    <row r="1240" spans="29:32" x14ac:dyDescent="0.2">
      <c r="AC1240" s="33"/>
      <c r="AE1240" s="33"/>
      <c r="AF1240" s="33"/>
    </row>
    <row r="1241" spans="29:32" x14ac:dyDescent="0.2">
      <c r="AC1241" s="33"/>
      <c r="AE1241" s="33"/>
      <c r="AF1241" s="33"/>
    </row>
    <row r="1242" spans="29:32" x14ac:dyDescent="0.2">
      <c r="AC1242" s="33"/>
      <c r="AE1242" s="33"/>
      <c r="AF1242" s="33"/>
    </row>
    <row r="1243" spans="29:32" x14ac:dyDescent="0.2">
      <c r="AC1243" s="33"/>
      <c r="AE1243" s="33"/>
      <c r="AF1243" s="33"/>
    </row>
    <row r="1244" spans="29:32" x14ac:dyDescent="0.2">
      <c r="AC1244" s="33"/>
      <c r="AE1244" s="33"/>
      <c r="AF1244" s="33"/>
    </row>
    <row r="1245" spans="29:32" x14ac:dyDescent="0.2">
      <c r="AC1245" s="33"/>
      <c r="AE1245" s="33"/>
      <c r="AF1245" s="33"/>
    </row>
    <row r="1246" spans="29:32" x14ac:dyDescent="0.2">
      <c r="AC1246" s="33"/>
      <c r="AE1246" s="33"/>
      <c r="AF1246" s="33"/>
    </row>
    <row r="1247" spans="29:32" x14ac:dyDescent="0.2">
      <c r="AC1247" s="33"/>
      <c r="AE1247" s="33"/>
      <c r="AF1247" s="33"/>
    </row>
    <row r="1248" spans="29:32" x14ac:dyDescent="0.2">
      <c r="AC1248" s="33"/>
      <c r="AE1248" s="33"/>
      <c r="AF1248" s="33"/>
    </row>
    <row r="1249" spans="29:32" x14ac:dyDescent="0.2">
      <c r="AC1249" s="33"/>
      <c r="AE1249" s="33"/>
      <c r="AF1249" s="33"/>
    </row>
    <row r="1250" spans="29:32" x14ac:dyDescent="0.2">
      <c r="AC1250" s="33"/>
      <c r="AE1250" s="33"/>
      <c r="AF1250" s="33"/>
    </row>
    <row r="1251" spans="29:32" x14ac:dyDescent="0.2">
      <c r="AC1251" s="33"/>
      <c r="AE1251" s="33"/>
      <c r="AF1251" s="33"/>
    </row>
    <row r="1252" spans="29:32" x14ac:dyDescent="0.2">
      <c r="AC1252" s="33"/>
      <c r="AE1252" s="33"/>
      <c r="AF1252" s="33"/>
    </row>
    <row r="1253" spans="29:32" x14ac:dyDescent="0.2">
      <c r="AC1253" s="33"/>
      <c r="AE1253" s="33"/>
      <c r="AF1253" s="33"/>
    </row>
    <row r="1254" spans="29:32" x14ac:dyDescent="0.2">
      <c r="AC1254" s="33"/>
      <c r="AE1254" s="33"/>
      <c r="AF1254" s="33"/>
    </row>
    <row r="1255" spans="29:32" x14ac:dyDescent="0.2">
      <c r="AC1255" s="33"/>
      <c r="AE1255" s="33"/>
      <c r="AF1255" s="33"/>
    </row>
    <row r="1256" spans="29:32" x14ac:dyDescent="0.2">
      <c r="AC1256" s="33"/>
      <c r="AE1256" s="33"/>
      <c r="AF1256" s="33"/>
    </row>
    <row r="1257" spans="29:32" x14ac:dyDescent="0.2">
      <c r="AC1257" s="33"/>
      <c r="AE1257" s="33"/>
      <c r="AF1257" s="33"/>
    </row>
    <row r="1258" spans="29:32" x14ac:dyDescent="0.2">
      <c r="AC1258" s="33"/>
      <c r="AE1258" s="33"/>
      <c r="AF1258" s="33"/>
    </row>
    <row r="1259" spans="29:32" x14ac:dyDescent="0.2">
      <c r="AC1259" s="33"/>
      <c r="AE1259" s="33"/>
      <c r="AF1259" s="33"/>
    </row>
    <row r="1260" spans="29:32" x14ac:dyDescent="0.2">
      <c r="AC1260" s="33"/>
      <c r="AE1260" s="33"/>
      <c r="AF1260" s="33"/>
    </row>
    <row r="1261" spans="29:32" x14ac:dyDescent="0.2">
      <c r="AC1261" s="33"/>
      <c r="AE1261" s="33"/>
      <c r="AF1261" s="33"/>
    </row>
    <row r="1262" spans="29:32" x14ac:dyDescent="0.2">
      <c r="AC1262" s="33"/>
      <c r="AE1262" s="33"/>
      <c r="AF1262" s="33"/>
    </row>
    <row r="1263" spans="29:32" x14ac:dyDescent="0.2">
      <c r="AC1263" s="33"/>
      <c r="AE1263" s="33"/>
      <c r="AF1263" s="33"/>
    </row>
    <row r="1264" spans="29:32" x14ac:dyDescent="0.2">
      <c r="AC1264" s="33"/>
      <c r="AE1264" s="33"/>
      <c r="AF1264" s="33"/>
    </row>
    <row r="1265" spans="29:32" x14ac:dyDescent="0.2">
      <c r="AC1265" s="33"/>
      <c r="AE1265" s="33"/>
      <c r="AF1265" s="33"/>
    </row>
    <row r="1266" spans="29:32" x14ac:dyDescent="0.2">
      <c r="AC1266" s="33"/>
      <c r="AE1266" s="33"/>
      <c r="AF1266" s="33"/>
    </row>
    <row r="1267" spans="29:32" x14ac:dyDescent="0.2">
      <c r="AC1267" s="33"/>
      <c r="AE1267" s="33"/>
      <c r="AF1267" s="33"/>
    </row>
    <row r="1268" spans="29:32" x14ac:dyDescent="0.2">
      <c r="AC1268" s="33"/>
      <c r="AE1268" s="33"/>
      <c r="AF1268" s="33"/>
    </row>
    <row r="1269" spans="29:32" x14ac:dyDescent="0.2">
      <c r="AC1269" s="33"/>
      <c r="AE1269" s="33"/>
      <c r="AF1269" s="33"/>
    </row>
    <row r="1270" spans="29:32" x14ac:dyDescent="0.2">
      <c r="AC1270" s="33"/>
      <c r="AE1270" s="33"/>
      <c r="AF1270" s="33"/>
    </row>
    <row r="1271" spans="29:32" x14ac:dyDescent="0.2">
      <c r="AC1271" s="33"/>
      <c r="AE1271" s="33"/>
      <c r="AF1271" s="33"/>
    </row>
    <row r="1272" spans="29:32" x14ac:dyDescent="0.2">
      <c r="AC1272" s="33"/>
      <c r="AE1272" s="33"/>
      <c r="AF1272" s="33"/>
    </row>
    <row r="1273" spans="29:32" x14ac:dyDescent="0.2">
      <c r="AC1273" s="33"/>
      <c r="AE1273" s="33"/>
      <c r="AF1273" s="33"/>
    </row>
    <row r="1274" spans="29:32" x14ac:dyDescent="0.2">
      <c r="AC1274" s="33"/>
      <c r="AE1274" s="33"/>
      <c r="AF1274" s="33"/>
    </row>
    <row r="1275" spans="29:32" x14ac:dyDescent="0.2">
      <c r="AC1275" s="33"/>
      <c r="AE1275" s="33"/>
      <c r="AF1275" s="33"/>
    </row>
    <row r="1276" spans="29:32" x14ac:dyDescent="0.2">
      <c r="AC1276" s="33"/>
      <c r="AE1276" s="33"/>
      <c r="AF1276" s="33"/>
    </row>
    <row r="1277" spans="29:32" x14ac:dyDescent="0.2">
      <c r="AC1277" s="33"/>
      <c r="AE1277" s="33"/>
      <c r="AF1277" s="33"/>
    </row>
    <row r="1278" spans="29:32" x14ac:dyDescent="0.2">
      <c r="AC1278" s="33"/>
      <c r="AE1278" s="33"/>
      <c r="AF1278" s="33"/>
    </row>
    <row r="1279" spans="29:32" x14ac:dyDescent="0.2">
      <c r="AC1279" s="33"/>
      <c r="AE1279" s="33"/>
      <c r="AF1279" s="33"/>
    </row>
    <row r="1280" spans="29:32" x14ac:dyDescent="0.2">
      <c r="AC1280" s="33"/>
      <c r="AE1280" s="33"/>
      <c r="AF1280" s="33"/>
    </row>
    <row r="1281" spans="29:32" x14ac:dyDescent="0.2">
      <c r="AC1281" s="33"/>
      <c r="AE1281" s="33"/>
      <c r="AF1281" s="33"/>
    </row>
    <row r="1282" spans="29:32" x14ac:dyDescent="0.2">
      <c r="AC1282" s="33"/>
      <c r="AE1282" s="33"/>
      <c r="AF1282" s="33"/>
    </row>
    <row r="1283" spans="29:32" x14ac:dyDescent="0.2">
      <c r="AC1283" s="33"/>
      <c r="AE1283" s="33"/>
      <c r="AF1283" s="33"/>
    </row>
    <row r="1284" spans="29:32" x14ac:dyDescent="0.2">
      <c r="AC1284" s="33"/>
      <c r="AE1284" s="33"/>
      <c r="AF1284" s="33"/>
    </row>
    <row r="1285" spans="29:32" x14ac:dyDescent="0.2">
      <c r="AC1285" s="33"/>
      <c r="AE1285" s="33"/>
      <c r="AF1285" s="33"/>
    </row>
    <row r="1286" spans="29:32" x14ac:dyDescent="0.2">
      <c r="AC1286" s="33"/>
      <c r="AE1286" s="33"/>
      <c r="AF1286" s="33"/>
    </row>
    <row r="1287" spans="29:32" x14ac:dyDescent="0.2">
      <c r="AC1287" s="33"/>
      <c r="AE1287" s="33"/>
      <c r="AF1287" s="33"/>
    </row>
    <row r="1288" spans="29:32" x14ac:dyDescent="0.2">
      <c r="AC1288" s="33"/>
      <c r="AE1288" s="33"/>
      <c r="AF1288" s="33"/>
    </row>
    <row r="1289" spans="29:32" x14ac:dyDescent="0.2">
      <c r="AC1289" s="33"/>
      <c r="AE1289" s="33"/>
      <c r="AF1289" s="33"/>
    </row>
    <row r="1290" spans="29:32" x14ac:dyDescent="0.2">
      <c r="AC1290" s="33"/>
      <c r="AE1290" s="33"/>
      <c r="AF1290" s="33"/>
    </row>
    <row r="1291" spans="29:32" x14ac:dyDescent="0.2">
      <c r="AC1291" s="33"/>
      <c r="AE1291" s="33"/>
      <c r="AF1291" s="33"/>
    </row>
    <row r="1292" spans="29:32" x14ac:dyDescent="0.2">
      <c r="AC1292" s="33"/>
      <c r="AE1292" s="33"/>
      <c r="AF1292" s="33"/>
    </row>
    <row r="1293" spans="29:32" x14ac:dyDescent="0.2">
      <c r="AC1293" s="33"/>
      <c r="AE1293" s="33"/>
      <c r="AF1293" s="33"/>
    </row>
    <row r="1294" spans="29:32" x14ac:dyDescent="0.2">
      <c r="AC1294" s="33"/>
      <c r="AE1294" s="33"/>
      <c r="AF1294" s="33"/>
    </row>
    <row r="1295" spans="29:32" x14ac:dyDescent="0.2">
      <c r="AC1295" s="33"/>
      <c r="AE1295" s="33"/>
      <c r="AF1295" s="33"/>
    </row>
    <row r="1296" spans="29:32" x14ac:dyDescent="0.2">
      <c r="AC1296" s="33"/>
      <c r="AE1296" s="33"/>
      <c r="AF1296" s="33"/>
    </row>
    <row r="1297" spans="29:32" x14ac:dyDescent="0.2">
      <c r="AC1297" s="33"/>
      <c r="AE1297" s="33"/>
      <c r="AF1297" s="33"/>
    </row>
    <row r="1298" spans="29:32" x14ac:dyDescent="0.2">
      <c r="AC1298" s="33"/>
      <c r="AE1298" s="33"/>
      <c r="AF1298" s="33"/>
    </row>
    <row r="1299" spans="29:32" x14ac:dyDescent="0.2">
      <c r="AC1299" s="33"/>
      <c r="AE1299" s="33"/>
      <c r="AF1299" s="33"/>
    </row>
    <row r="1300" spans="29:32" x14ac:dyDescent="0.2">
      <c r="AC1300" s="33"/>
      <c r="AE1300" s="33"/>
      <c r="AF1300" s="33"/>
    </row>
    <row r="1301" spans="29:32" x14ac:dyDescent="0.2">
      <c r="AC1301" s="33"/>
      <c r="AE1301" s="33"/>
      <c r="AF1301" s="33"/>
    </row>
    <row r="1302" spans="29:32" x14ac:dyDescent="0.2">
      <c r="AC1302" s="33"/>
      <c r="AE1302" s="33"/>
      <c r="AF1302" s="33"/>
    </row>
    <row r="1303" spans="29:32" x14ac:dyDescent="0.2">
      <c r="AC1303" s="33"/>
      <c r="AE1303" s="33"/>
      <c r="AF1303" s="33"/>
    </row>
    <row r="1304" spans="29:32" x14ac:dyDescent="0.2">
      <c r="AC1304" s="33"/>
      <c r="AE1304" s="33"/>
      <c r="AF1304" s="33"/>
    </row>
    <row r="1305" spans="29:32" x14ac:dyDescent="0.2">
      <c r="AC1305" s="33"/>
      <c r="AE1305" s="33"/>
      <c r="AF1305" s="33"/>
    </row>
    <row r="1306" spans="29:32" x14ac:dyDescent="0.2">
      <c r="AC1306" s="33"/>
      <c r="AE1306" s="33"/>
      <c r="AF1306" s="33"/>
    </row>
    <row r="1307" spans="29:32" x14ac:dyDescent="0.2">
      <c r="AC1307" s="33"/>
      <c r="AE1307" s="33"/>
      <c r="AF1307" s="33"/>
    </row>
    <row r="1308" spans="29:32" x14ac:dyDescent="0.2">
      <c r="AC1308" s="33"/>
      <c r="AE1308" s="33"/>
      <c r="AF1308" s="33"/>
    </row>
    <row r="1309" spans="29:32" x14ac:dyDescent="0.2">
      <c r="AC1309" s="33"/>
      <c r="AE1309" s="33"/>
      <c r="AF1309" s="33"/>
    </row>
    <row r="1310" spans="29:32" x14ac:dyDescent="0.2">
      <c r="AC1310" s="33"/>
      <c r="AE1310" s="33"/>
      <c r="AF1310" s="33"/>
    </row>
    <row r="1311" spans="29:32" x14ac:dyDescent="0.2">
      <c r="AC1311" s="33"/>
      <c r="AE1311" s="33"/>
      <c r="AF1311" s="33"/>
    </row>
    <row r="1312" spans="29:32" x14ac:dyDescent="0.2">
      <c r="AC1312" s="33"/>
      <c r="AE1312" s="33"/>
      <c r="AF1312" s="33"/>
    </row>
    <row r="1313" spans="29:32" x14ac:dyDescent="0.2">
      <c r="AC1313" s="33"/>
      <c r="AE1313" s="33"/>
      <c r="AF1313" s="33"/>
    </row>
    <row r="1314" spans="29:32" x14ac:dyDescent="0.2">
      <c r="AC1314" s="33"/>
      <c r="AE1314" s="33"/>
      <c r="AF1314" s="33"/>
    </row>
    <row r="1315" spans="29:32" x14ac:dyDescent="0.2">
      <c r="AC1315" s="33"/>
      <c r="AE1315" s="33"/>
      <c r="AF1315" s="33"/>
    </row>
    <row r="1316" spans="29:32" x14ac:dyDescent="0.2">
      <c r="AC1316" s="33"/>
      <c r="AE1316" s="33"/>
      <c r="AF1316" s="33"/>
    </row>
    <row r="1317" spans="29:32" x14ac:dyDescent="0.2">
      <c r="AC1317" s="33"/>
      <c r="AE1317" s="33"/>
      <c r="AF1317" s="33"/>
    </row>
    <row r="1318" spans="29:32" x14ac:dyDescent="0.2">
      <c r="AC1318" s="33"/>
      <c r="AE1318" s="33"/>
      <c r="AF1318" s="33"/>
    </row>
    <row r="1319" spans="29:32" x14ac:dyDescent="0.2">
      <c r="AC1319" s="33"/>
      <c r="AE1319" s="33"/>
      <c r="AF1319" s="33"/>
    </row>
    <row r="1320" spans="29:32" x14ac:dyDescent="0.2">
      <c r="AC1320" s="33"/>
      <c r="AE1320" s="33"/>
      <c r="AF1320" s="33"/>
    </row>
    <row r="1321" spans="29:32" x14ac:dyDescent="0.2">
      <c r="AC1321" s="33"/>
      <c r="AE1321" s="33"/>
      <c r="AF1321" s="33"/>
    </row>
    <row r="1322" spans="29:32" x14ac:dyDescent="0.2">
      <c r="AC1322" s="33"/>
      <c r="AE1322" s="33"/>
      <c r="AF1322" s="33"/>
    </row>
    <row r="1323" spans="29:32" x14ac:dyDescent="0.2">
      <c r="AC1323" s="33"/>
      <c r="AE1323" s="33"/>
      <c r="AF1323" s="33"/>
    </row>
    <row r="1324" spans="29:32" x14ac:dyDescent="0.2">
      <c r="AC1324" s="33"/>
      <c r="AE1324" s="33"/>
      <c r="AF1324" s="33"/>
    </row>
    <row r="1325" spans="29:32" x14ac:dyDescent="0.2">
      <c r="AC1325" s="33"/>
      <c r="AE1325" s="33"/>
      <c r="AF1325" s="33"/>
    </row>
    <row r="1326" spans="29:32" x14ac:dyDescent="0.2">
      <c r="AC1326" s="33"/>
      <c r="AE1326" s="33"/>
      <c r="AF1326" s="33"/>
    </row>
    <row r="1327" spans="29:32" x14ac:dyDescent="0.2">
      <c r="AC1327" s="33"/>
      <c r="AE1327" s="33"/>
      <c r="AF1327" s="33"/>
    </row>
    <row r="1328" spans="29:32" x14ac:dyDescent="0.2">
      <c r="AC1328" s="33"/>
      <c r="AE1328" s="33"/>
      <c r="AF1328" s="33"/>
    </row>
    <row r="1329" spans="29:32" x14ac:dyDescent="0.2">
      <c r="AC1329" s="33"/>
      <c r="AE1329" s="33"/>
      <c r="AF1329" s="33"/>
    </row>
    <row r="1330" spans="29:32" x14ac:dyDescent="0.2">
      <c r="AC1330" s="33"/>
      <c r="AE1330" s="33"/>
      <c r="AF1330" s="33"/>
    </row>
    <row r="1331" spans="29:32" x14ac:dyDescent="0.2">
      <c r="AC1331" s="33"/>
      <c r="AE1331" s="33"/>
      <c r="AF1331" s="33"/>
    </row>
    <row r="1332" spans="29:32" x14ac:dyDescent="0.2">
      <c r="AC1332" s="33"/>
      <c r="AE1332" s="33"/>
      <c r="AF1332" s="33"/>
    </row>
    <row r="1333" spans="29:32" x14ac:dyDescent="0.2">
      <c r="AC1333" s="33"/>
      <c r="AE1333" s="33"/>
      <c r="AF1333" s="33"/>
    </row>
    <row r="1334" spans="29:32" x14ac:dyDescent="0.2">
      <c r="AC1334" s="33"/>
      <c r="AE1334" s="33"/>
      <c r="AF1334" s="33"/>
    </row>
    <row r="1335" spans="29:32" x14ac:dyDescent="0.2">
      <c r="AC1335" s="33"/>
      <c r="AE1335" s="33"/>
      <c r="AF1335" s="33"/>
    </row>
    <row r="1336" spans="29:32" x14ac:dyDescent="0.2">
      <c r="AC1336" s="33"/>
      <c r="AE1336" s="33"/>
      <c r="AF1336" s="33"/>
    </row>
    <row r="1337" spans="29:32" x14ac:dyDescent="0.2">
      <c r="AC1337" s="33"/>
      <c r="AE1337" s="33"/>
      <c r="AF1337" s="33"/>
    </row>
    <row r="1338" spans="29:32" x14ac:dyDescent="0.2">
      <c r="AC1338" s="33"/>
      <c r="AE1338" s="33"/>
      <c r="AF1338" s="33"/>
    </row>
    <row r="1339" spans="29:32" x14ac:dyDescent="0.2">
      <c r="AC1339" s="33"/>
      <c r="AE1339" s="33"/>
      <c r="AF1339" s="33"/>
    </row>
    <row r="1340" spans="29:32" x14ac:dyDescent="0.2">
      <c r="AC1340" s="33"/>
      <c r="AE1340" s="33"/>
      <c r="AF1340" s="33"/>
    </row>
    <row r="1341" spans="29:32" x14ac:dyDescent="0.2">
      <c r="AC1341" s="33"/>
      <c r="AE1341" s="33"/>
      <c r="AF1341" s="33"/>
    </row>
    <row r="1342" spans="29:32" x14ac:dyDescent="0.2">
      <c r="AC1342" s="33"/>
      <c r="AE1342" s="33"/>
      <c r="AF1342" s="33"/>
    </row>
    <row r="1343" spans="29:32" x14ac:dyDescent="0.2">
      <c r="AC1343" s="33"/>
      <c r="AE1343" s="33"/>
      <c r="AF1343" s="33"/>
    </row>
    <row r="1344" spans="29:32" x14ac:dyDescent="0.2">
      <c r="AC1344" s="33"/>
      <c r="AE1344" s="33"/>
      <c r="AF1344" s="33"/>
    </row>
    <row r="1345" spans="29:32" x14ac:dyDescent="0.2">
      <c r="AC1345" s="33"/>
      <c r="AE1345" s="33"/>
      <c r="AF1345" s="33"/>
    </row>
    <row r="1346" spans="29:32" x14ac:dyDescent="0.2">
      <c r="AC1346" s="33"/>
      <c r="AE1346" s="33"/>
      <c r="AF1346" s="33"/>
    </row>
    <row r="1347" spans="29:32" x14ac:dyDescent="0.2">
      <c r="AC1347" s="33"/>
      <c r="AE1347" s="33"/>
      <c r="AF1347" s="33"/>
    </row>
    <row r="1348" spans="29:32" x14ac:dyDescent="0.2">
      <c r="AC1348" s="33"/>
      <c r="AE1348" s="33"/>
      <c r="AF1348" s="33"/>
    </row>
    <row r="1349" spans="29:32" x14ac:dyDescent="0.2">
      <c r="AC1349" s="33"/>
      <c r="AE1349" s="33"/>
      <c r="AF1349" s="33"/>
    </row>
    <row r="1350" spans="29:32" x14ac:dyDescent="0.2">
      <c r="AC1350" s="33"/>
      <c r="AE1350" s="33"/>
      <c r="AF1350" s="33"/>
    </row>
    <row r="1351" spans="29:32" x14ac:dyDescent="0.2">
      <c r="AC1351" s="33"/>
      <c r="AE1351" s="33"/>
      <c r="AF1351" s="33"/>
    </row>
    <row r="1352" spans="29:32" x14ac:dyDescent="0.2">
      <c r="AC1352" s="33"/>
      <c r="AE1352" s="33"/>
      <c r="AF1352" s="33"/>
    </row>
    <row r="1353" spans="29:32" x14ac:dyDescent="0.2">
      <c r="AC1353" s="33"/>
      <c r="AE1353" s="33"/>
      <c r="AF1353" s="33"/>
    </row>
    <row r="1354" spans="29:32" x14ac:dyDescent="0.2">
      <c r="AC1354" s="33"/>
      <c r="AE1354" s="33"/>
      <c r="AF1354" s="33"/>
    </row>
    <row r="1355" spans="29:32" x14ac:dyDescent="0.2">
      <c r="AC1355" s="33"/>
      <c r="AE1355" s="33"/>
      <c r="AF1355" s="33"/>
    </row>
    <row r="1356" spans="29:32" x14ac:dyDescent="0.2">
      <c r="AC1356" s="33"/>
      <c r="AE1356" s="33"/>
      <c r="AF1356" s="33"/>
    </row>
    <row r="1357" spans="29:32" x14ac:dyDescent="0.2">
      <c r="AC1357" s="33"/>
      <c r="AE1357" s="33"/>
      <c r="AF1357" s="33"/>
    </row>
    <row r="1358" spans="29:32" x14ac:dyDescent="0.2">
      <c r="AC1358" s="33"/>
      <c r="AE1358" s="33"/>
      <c r="AF1358" s="33"/>
    </row>
    <row r="1359" spans="29:32" x14ac:dyDescent="0.2">
      <c r="AC1359" s="33"/>
      <c r="AE1359" s="33"/>
      <c r="AF1359" s="33"/>
    </row>
    <row r="1360" spans="29:32" x14ac:dyDescent="0.2">
      <c r="AC1360" s="33"/>
      <c r="AE1360" s="33"/>
      <c r="AF1360" s="33"/>
    </row>
    <row r="1361" spans="29:32" x14ac:dyDescent="0.2">
      <c r="AC1361" s="33"/>
      <c r="AE1361" s="33"/>
      <c r="AF1361" s="33"/>
    </row>
    <row r="1362" spans="29:32" x14ac:dyDescent="0.2">
      <c r="AC1362" s="33"/>
      <c r="AE1362" s="33"/>
      <c r="AF1362" s="33"/>
    </row>
    <row r="1363" spans="29:32" x14ac:dyDescent="0.2">
      <c r="AC1363" s="33"/>
      <c r="AE1363" s="33"/>
      <c r="AF1363" s="33"/>
    </row>
    <row r="1364" spans="29:32" x14ac:dyDescent="0.2">
      <c r="AC1364" s="33"/>
      <c r="AE1364" s="33"/>
      <c r="AF1364" s="33"/>
    </row>
    <row r="1365" spans="29:32" x14ac:dyDescent="0.2">
      <c r="AC1365" s="33"/>
      <c r="AE1365" s="33"/>
      <c r="AF1365" s="33"/>
    </row>
    <row r="1366" spans="29:32" x14ac:dyDescent="0.2">
      <c r="AC1366" s="33"/>
      <c r="AE1366" s="33"/>
      <c r="AF1366" s="33"/>
    </row>
    <row r="1367" spans="29:32" x14ac:dyDescent="0.2">
      <c r="AC1367" s="33"/>
      <c r="AE1367" s="33"/>
      <c r="AF1367" s="33"/>
    </row>
    <row r="1368" spans="29:32" x14ac:dyDescent="0.2">
      <c r="AC1368" s="33"/>
      <c r="AE1368" s="33"/>
      <c r="AF1368" s="33"/>
    </row>
    <row r="1369" spans="29:32" x14ac:dyDescent="0.2">
      <c r="AC1369" s="33"/>
      <c r="AE1369" s="33"/>
      <c r="AF1369" s="33"/>
    </row>
    <row r="1370" spans="29:32" x14ac:dyDescent="0.2">
      <c r="AC1370" s="33"/>
      <c r="AE1370" s="33"/>
      <c r="AF1370" s="33"/>
    </row>
    <row r="1371" spans="29:32" x14ac:dyDescent="0.2">
      <c r="AC1371" s="33"/>
      <c r="AE1371" s="33"/>
      <c r="AF1371" s="33"/>
    </row>
    <row r="1372" spans="29:32" x14ac:dyDescent="0.2">
      <c r="AC1372" s="33"/>
      <c r="AE1372" s="33"/>
      <c r="AF1372" s="33"/>
    </row>
    <row r="1373" spans="29:32" x14ac:dyDescent="0.2">
      <c r="AC1373" s="33"/>
      <c r="AE1373" s="33"/>
      <c r="AF1373" s="33"/>
    </row>
    <row r="1374" spans="29:32" x14ac:dyDescent="0.2">
      <c r="AC1374" s="33"/>
      <c r="AE1374" s="33"/>
      <c r="AF1374" s="33"/>
    </row>
    <row r="1375" spans="29:32" x14ac:dyDescent="0.2">
      <c r="AC1375" s="33"/>
      <c r="AE1375" s="33"/>
      <c r="AF1375" s="33"/>
    </row>
    <row r="1376" spans="29:32" x14ac:dyDescent="0.2">
      <c r="AC1376" s="33"/>
      <c r="AE1376" s="33"/>
      <c r="AF1376" s="33"/>
    </row>
    <row r="1377" spans="29:32" x14ac:dyDescent="0.2">
      <c r="AC1377" s="33"/>
      <c r="AE1377" s="33"/>
      <c r="AF1377" s="33"/>
    </row>
    <row r="1378" spans="29:32" x14ac:dyDescent="0.2">
      <c r="AC1378" s="33"/>
      <c r="AE1378" s="33"/>
      <c r="AF1378" s="33"/>
    </row>
    <row r="1379" spans="29:32" x14ac:dyDescent="0.2">
      <c r="AC1379" s="33"/>
      <c r="AE1379" s="33"/>
      <c r="AF1379" s="33"/>
    </row>
    <row r="1380" spans="29:32" x14ac:dyDescent="0.2">
      <c r="AC1380" s="33"/>
      <c r="AE1380" s="33"/>
      <c r="AF1380" s="33"/>
    </row>
    <row r="1381" spans="29:32" x14ac:dyDescent="0.2">
      <c r="AC1381" s="33"/>
      <c r="AE1381" s="33"/>
      <c r="AF1381" s="33"/>
    </row>
    <row r="1382" spans="29:32" x14ac:dyDescent="0.2">
      <c r="AC1382" s="33"/>
      <c r="AE1382" s="33"/>
      <c r="AF1382" s="33"/>
    </row>
    <row r="1383" spans="29:32" x14ac:dyDescent="0.2">
      <c r="AC1383" s="33"/>
      <c r="AE1383" s="33"/>
      <c r="AF1383" s="33"/>
    </row>
    <row r="1384" spans="29:32" x14ac:dyDescent="0.2">
      <c r="AC1384" s="33"/>
      <c r="AE1384" s="33"/>
      <c r="AF1384" s="33"/>
    </row>
    <row r="1385" spans="29:32" x14ac:dyDescent="0.2">
      <c r="AC1385" s="33"/>
      <c r="AE1385" s="33"/>
      <c r="AF1385" s="33"/>
    </row>
    <row r="1386" spans="29:32" x14ac:dyDescent="0.2">
      <c r="AC1386" s="33"/>
      <c r="AE1386" s="33"/>
      <c r="AF1386" s="33"/>
    </row>
    <row r="1387" spans="29:32" x14ac:dyDescent="0.2">
      <c r="AC1387" s="33"/>
      <c r="AE1387" s="33"/>
      <c r="AF1387" s="33"/>
    </row>
    <row r="1388" spans="29:32" x14ac:dyDescent="0.2">
      <c r="AC1388" s="33"/>
      <c r="AE1388" s="33"/>
      <c r="AF1388" s="33"/>
    </row>
    <row r="1389" spans="29:32" x14ac:dyDescent="0.2">
      <c r="AC1389" s="33"/>
      <c r="AE1389" s="33"/>
      <c r="AF1389" s="33"/>
    </row>
    <row r="1390" spans="29:32" x14ac:dyDescent="0.2">
      <c r="AC1390" s="33"/>
      <c r="AE1390" s="33"/>
      <c r="AF1390" s="33"/>
    </row>
    <row r="1391" spans="29:32" x14ac:dyDescent="0.2">
      <c r="AC1391" s="33"/>
      <c r="AE1391" s="33"/>
      <c r="AF1391" s="33"/>
    </row>
    <row r="1392" spans="29:32" x14ac:dyDescent="0.2">
      <c r="AC1392" s="33"/>
      <c r="AE1392" s="33"/>
      <c r="AF1392" s="33"/>
    </row>
    <row r="1393" spans="29:32" x14ac:dyDescent="0.2">
      <c r="AC1393" s="33"/>
      <c r="AE1393" s="33"/>
      <c r="AF1393" s="33"/>
    </row>
    <row r="1394" spans="29:32" x14ac:dyDescent="0.2">
      <c r="AC1394" s="33"/>
      <c r="AE1394" s="33"/>
      <c r="AF1394" s="33"/>
    </row>
    <row r="1395" spans="29:32" x14ac:dyDescent="0.2">
      <c r="AC1395" s="33"/>
      <c r="AE1395" s="33"/>
      <c r="AF1395" s="33"/>
    </row>
    <row r="1396" spans="29:32" x14ac:dyDescent="0.2">
      <c r="AC1396" s="33"/>
      <c r="AE1396" s="33"/>
      <c r="AF1396" s="33"/>
    </row>
    <row r="1397" spans="29:32" x14ac:dyDescent="0.2">
      <c r="AC1397" s="33"/>
      <c r="AE1397" s="33"/>
      <c r="AF1397" s="33"/>
    </row>
    <row r="1398" spans="29:32" x14ac:dyDescent="0.2">
      <c r="AC1398" s="33"/>
      <c r="AE1398" s="33"/>
      <c r="AF1398" s="33"/>
    </row>
    <row r="1399" spans="29:32" x14ac:dyDescent="0.2">
      <c r="AC1399" s="33"/>
      <c r="AE1399" s="33"/>
      <c r="AF1399" s="33"/>
    </row>
    <row r="1400" spans="29:32" x14ac:dyDescent="0.2">
      <c r="AC1400" s="33"/>
      <c r="AE1400" s="33"/>
      <c r="AF1400" s="33"/>
    </row>
    <row r="1401" spans="29:32" x14ac:dyDescent="0.2">
      <c r="AC1401" s="33"/>
      <c r="AE1401" s="33"/>
      <c r="AF1401" s="33"/>
    </row>
    <row r="1402" spans="29:32" x14ac:dyDescent="0.2">
      <c r="AC1402" s="33"/>
      <c r="AE1402" s="33"/>
      <c r="AF1402" s="33"/>
    </row>
    <row r="1403" spans="29:32" x14ac:dyDescent="0.2">
      <c r="AC1403" s="33"/>
      <c r="AE1403" s="33"/>
      <c r="AF1403" s="33"/>
    </row>
    <row r="1404" spans="29:32" x14ac:dyDescent="0.2">
      <c r="AC1404" s="33"/>
      <c r="AE1404" s="33"/>
      <c r="AF1404" s="33"/>
    </row>
    <row r="1405" spans="29:32" x14ac:dyDescent="0.2">
      <c r="AC1405" s="33"/>
      <c r="AE1405" s="33"/>
      <c r="AF1405" s="33"/>
    </row>
    <row r="1406" spans="29:32" x14ac:dyDescent="0.2">
      <c r="AC1406" s="33"/>
      <c r="AE1406" s="33"/>
      <c r="AF1406" s="33"/>
    </row>
    <row r="1407" spans="29:32" x14ac:dyDescent="0.2">
      <c r="AC1407" s="33"/>
      <c r="AE1407" s="33"/>
      <c r="AF1407" s="33"/>
    </row>
    <row r="1408" spans="29:32" x14ac:dyDescent="0.2">
      <c r="AC1408" s="33"/>
      <c r="AE1408" s="33"/>
      <c r="AF1408" s="33"/>
    </row>
    <row r="1409" spans="29:32" x14ac:dyDescent="0.2">
      <c r="AC1409" s="33"/>
      <c r="AE1409" s="33"/>
      <c r="AF1409" s="33"/>
    </row>
    <row r="1410" spans="29:32" x14ac:dyDescent="0.2">
      <c r="AC1410" s="33"/>
      <c r="AE1410" s="33"/>
      <c r="AF1410" s="33"/>
    </row>
    <row r="1411" spans="29:32" x14ac:dyDescent="0.2">
      <c r="AC1411" s="33"/>
      <c r="AE1411" s="33"/>
      <c r="AF1411" s="33"/>
    </row>
    <row r="1412" spans="29:32" x14ac:dyDescent="0.2">
      <c r="AC1412" s="33"/>
      <c r="AE1412" s="33"/>
      <c r="AF1412" s="33"/>
    </row>
    <row r="1413" spans="29:32" x14ac:dyDescent="0.2">
      <c r="AC1413" s="33"/>
      <c r="AE1413" s="33"/>
      <c r="AF1413" s="33"/>
    </row>
    <row r="1414" spans="29:32" x14ac:dyDescent="0.2">
      <c r="AC1414" s="33"/>
      <c r="AE1414" s="33"/>
      <c r="AF1414" s="33"/>
    </row>
    <row r="1415" spans="29:32" x14ac:dyDescent="0.2">
      <c r="AC1415" s="33"/>
      <c r="AE1415" s="33"/>
      <c r="AF1415" s="33"/>
    </row>
    <row r="1416" spans="29:32" x14ac:dyDescent="0.2">
      <c r="AC1416" s="33"/>
      <c r="AE1416" s="33"/>
      <c r="AF1416" s="33"/>
    </row>
    <row r="1417" spans="29:32" x14ac:dyDescent="0.2">
      <c r="AC1417" s="33"/>
      <c r="AE1417" s="33"/>
      <c r="AF1417" s="33"/>
    </row>
    <row r="1418" spans="29:32" x14ac:dyDescent="0.2">
      <c r="AC1418" s="33"/>
      <c r="AE1418" s="33"/>
      <c r="AF1418" s="33"/>
    </row>
    <row r="1419" spans="29:32" x14ac:dyDescent="0.2">
      <c r="AC1419" s="33"/>
      <c r="AE1419" s="33"/>
      <c r="AF1419" s="33"/>
    </row>
    <row r="1420" spans="29:32" x14ac:dyDescent="0.2">
      <c r="AC1420" s="33"/>
      <c r="AE1420" s="33"/>
      <c r="AF1420" s="33"/>
    </row>
    <row r="1421" spans="29:32" x14ac:dyDescent="0.2">
      <c r="AC1421" s="33"/>
      <c r="AE1421" s="33"/>
      <c r="AF1421" s="33"/>
    </row>
    <row r="1422" spans="29:32" x14ac:dyDescent="0.2">
      <c r="AC1422" s="33"/>
      <c r="AE1422" s="33"/>
      <c r="AF1422" s="33"/>
    </row>
    <row r="1423" spans="29:32" x14ac:dyDescent="0.2">
      <c r="AC1423" s="33"/>
      <c r="AE1423" s="33"/>
      <c r="AF1423" s="33"/>
    </row>
    <row r="1424" spans="29:32" x14ac:dyDescent="0.2">
      <c r="AC1424" s="33"/>
      <c r="AE1424" s="33"/>
      <c r="AF1424" s="33"/>
    </row>
    <row r="1425" spans="29:32" x14ac:dyDescent="0.2">
      <c r="AC1425" s="33"/>
      <c r="AE1425" s="33"/>
      <c r="AF1425" s="33"/>
    </row>
    <row r="1426" spans="29:32" x14ac:dyDescent="0.2">
      <c r="AC1426" s="33"/>
      <c r="AE1426" s="33"/>
      <c r="AF1426" s="33"/>
    </row>
    <row r="1427" spans="29:32" x14ac:dyDescent="0.2">
      <c r="AC1427" s="33"/>
      <c r="AE1427" s="33"/>
      <c r="AF1427" s="33"/>
    </row>
    <row r="1428" spans="29:32" x14ac:dyDescent="0.2">
      <c r="AC1428" s="33"/>
      <c r="AE1428" s="33"/>
      <c r="AF1428" s="33"/>
    </row>
    <row r="1429" spans="29:32" x14ac:dyDescent="0.2">
      <c r="AC1429" s="33"/>
      <c r="AE1429" s="33"/>
      <c r="AF1429" s="33"/>
    </row>
    <row r="1430" spans="29:32" x14ac:dyDescent="0.2">
      <c r="AC1430" s="33"/>
      <c r="AE1430" s="33"/>
      <c r="AF1430" s="33"/>
    </row>
    <row r="1431" spans="29:32" x14ac:dyDescent="0.2">
      <c r="AC1431" s="33"/>
      <c r="AE1431" s="33"/>
      <c r="AF1431" s="33"/>
    </row>
    <row r="1432" spans="29:32" x14ac:dyDescent="0.2">
      <c r="AC1432" s="33"/>
      <c r="AE1432" s="33"/>
      <c r="AF1432" s="33"/>
    </row>
    <row r="1433" spans="29:32" x14ac:dyDescent="0.2">
      <c r="AC1433" s="33"/>
      <c r="AE1433" s="33"/>
      <c r="AF1433" s="33"/>
    </row>
    <row r="1434" spans="29:32" x14ac:dyDescent="0.2">
      <c r="AC1434" s="33"/>
      <c r="AE1434" s="33"/>
      <c r="AF1434" s="33"/>
    </row>
    <row r="1435" spans="29:32" x14ac:dyDescent="0.2">
      <c r="AC1435" s="33"/>
      <c r="AE1435" s="33"/>
      <c r="AF1435" s="33"/>
    </row>
    <row r="1436" spans="29:32" x14ac:dyDescent="0.2">
      <c r="AC1436" s="33"/>
      <c r="AE1436" s="33"/>
      <c r="AF1436" s="33"/>
    </row>
    <row r="1437" spans="29:32" x14ac:dyDescent="0.2">
      <c r="AC1437" s="33"/>
      <c r="AE1437" s="33"/>
      <c r="AF1437" s="33"/>
    </row>
    <row r="1438" spans="29:32" x14ac:dyDescent="0.2">
      <c r="AC1438" s="33"/>
      <c r="AE1438" s="33"/>
      <c r="AF1438" s="33"/>
    </row>
    <row r="1439" spans="29:32" x14ac:dyDescent="0.2">
      <c r="AC1439" s="33"/>
      <c r="AE1439" s="33"/>
      <c r="AF1439" s="33"/>
    </row>
    <row r="1440" spans="29:32" x14ac:dyDescent="0.2">
      <c r="AC1440" s="33"/>
      <c r="AE1440" s="33"/>
      <c r="AF1440" s="33"/>
    </row>
    <row r="1441" spans="29:32" x14ac:dyDescent="0.2">
      <c r="AC1441" s="33"/>
      <c r="AE1441" s="33"/>
      <c r="AF1441" s="33"/>
    </row>
    <row r="1442" spans="29:32" x14ac:dyDescent="0.2">
      <c r="AC1442" s="33"/>
      <c r="AE1442" s="33"/>
      <c r="AF1442" s="33"/>
    </row>
    <row r="1443" spans="29:32" x14ac:dyDescent="0.2">
      <c r="AC1443" s="33"/>
      <c r="AE1443" s="33"/>
      <c r="AF1443" s="33"/>
    </row>
    <row r="1444" spans="29:32" x14ac:dyDescent="0.2">
      <c r="AC1444" s="33"/>
      <c r="AE1444" s="33"/>
      <c r="AF1444" s="33"/>
    </row>
    <row r="1445" spans="29:32" x14ac:dyDescent="0.2">
      <c r="AC1445" s="33"/>
      <c r="AE1445" s="33"/>
      <c r="AF1445" s="33"/>
    </row>
    <row r="1446" spans="29:32" x14ac:dyDescent="0.2">
      <c r="AC1446" s="33"/>
      <c r="AE1446" s="33"/>
      <c r="AF1446" s="33"/>
    </row>
    <row r="1447" spans="29:32" x14ac:dyDescent="0.2">
      <c r="AC1447" s="33"/>
      <c r="AE1447" s="33"/>
      <c r="AF1447" s="33"/>
    </row>
    <row r="1448" spans="29:32" x14ac:dyDescent="0.2">
      <c r="AC1448" s="33"/>
      <c r="AE1448" s="33"/>
      <c r="AF1448" s="33"/>
    </row>
    <row r="1449" spans="29:32" x14ac:dyDescent="0.2">
      <c r="AC1449" s="33"/>
      <c r="AE1449" s="33"/>
      <c r="AF1449" s="33"/>
    </row>
    <row r="1450" spans="29:32" x14ac:dyDescent="0.2">
      <c r="AC1450" s="33"/>
      <c r="AE1450" s="33"/>
      <c r="AF1450" s="33"/>
    </row>
    <row r="1451" spans="29:32" x14ac:dyDescent="0.2">
      <c r="AC1451" s="33"/>
      <c r="AE1451" s="33"/>
      <c r="AF1451" s="33"/>
    </row>
    <row r="1452" spans="29:32" x14ac:dyDescent="0.2">
      <c r="AC1452" s="33"/>
      <c r="AE1452" s="33"/>
      <c r="AF1452" s="33"/>
    </row>
    <row r="1453" spans="29:32" x14ac:dyDescent="0.2">
      <c r="AC1453" s="33"/>
      <c r="AE1453" s="33"/>
      <c r="AF1453" s="33"/>
    </row>
    <row r="1454" spans="29:32" x14ac:dyDescent="0.2">
      <c r="AC1454" s="33"/>
      <c r="AE1454" s="33"/>
      <c r="AF1454" s="33"/>
    </row>
    <row r="1455" spans="29:32" x14ac:dyDescent="0.2">
      <c r="AC1455" s="33"/>
      <c r="AE1455" s="33"/>
      <c r="AF1455" s="33"/>
    </row>
    <row r="1456" spans="29:32" x14ac:dyDescent="0.2">
      <c r="AC1456" s="33"/>
      <c r="AE1456" s="33"/>
      <c r="AF1456" s="33"/>
    </row>
    <row r="1457" spans="29:32" x14ac:dyDescent="0.2">
      <c r="AC1457" s="33"/>
      <c r="AE1457" s="33"/>
      <c r="AF1457" s="33"/>
    </row>
    <row r="1458" spans="29:32" x14ac:dyDescent="0.2">
      <c r="AC1458" s="33"/>
      <c r="AE1458" s="33"/>
      <c r="AF1458" s="33"/>
    </row>
    <row r="1459" spans="29:32" x14ac:dyDescent="0.2">
      <c r="AC1459" s="33"/>
      <c r="AE1459" s="33"/>
      <c r="AF1459" s="33"/>
    </row>
    <row r="1460" spans="29:32" x14ac:dyDescent="0.2">
      <c r="AC1460" s="33"/>
      <c r="AE1460" s="33"/>
      <c r="AF1460" s="33"/>
    </row>
    <row r="1461" spans="29:32" x14ac:dyDescent="0.2">
      <c r="AC1461" s="33"/>
      <c r="AE1461" s="33"/>
      <c r="AF1461" s="33"/>
    </row>
    <row r="1462" spans="29:32" x14ac:dyDescent="0.2">
      <c r="AC1462" s="33"/>
      <c r="AE1462" s="33"/>
      <c r="AF1462" s="33"/>
    </row>
    <row r="1463" spans="29:32" x14ac:dyDescent="0.2">
      <c r="AC1463" s="33"/>
      <c r="AE1463" s="33"/>
      <c r="AF1463" s="33"/>
    </row>
    <row r="1464" spans="29:32" x14ac:dyDescent="0.2">
      <c r="AC1464" s="33"/>
      <c r="AE1464" s="33"/>
      <c r="AF1464" s="33"/>
    </row>
    <row r="1465" spans="29:32" x14ac:dyDescent="0.2">
      <c r="AC1465" s="33"/>
      <c r="AE1465" s="33"/>
      <c r="AF1465" s="33"/>
    </row>
    <row r="1466" spans="29:32" x14ac:dyDescent="0.2">
      <c r="AC1466" s="33"/>
      <c r="AE1466" s="33"/>
      <c r="AF1466" s="33"/>
    </row>
    <row r="1467" spans="29:32" x14ac:dyDescent="0.2">
      <c r="AC1467" s="33"/>
      <c r="AE1467" s="33"/>
      <c r="AF1467" s="33"/>
    </row>
    <row r="1468" spans="29:32" x14ac:dyDescent="0.2">
      <c r="AC1468" s="33"/>
      <c r="AE1468" s="33"/>
      <c r="AF1468" s="33"/>
    </row>
    <row r="1469" spans="29:32" x14ac:dyDescent="0.2">
      <c r="AC1469" s="33"/>
      <c r="AE1469" s="33"/>
      <c r="AF1469" s="33"/>
    </row>
    <row r="1470" spans="29:32" x14ac:dyDescent="0.2">
      <c r="AC1470" s="33"/>
      <c r="AE1470" s="33"/>
      <c r="AF1470" s="33"/>
    </row>
    <row r="1471" spans="29:32" x14ac:dyDescent="0.2">
      <c r="AC1471" s="33"/>
      <c r="AE1471" s="33"/>
      <c r="AF1471" s="33"/>
    </row>
    <row r="1472" spans="29:32" x14ac:dyDescent="0.2">
      <c r="AC1472" s="33"/>
      <c r="AE1472" s="33"/>
      <c r="AF1472" s="33"/>
    </row>
    <row r="1473" spans="29:32" x14ac:dyDescent="0.2">
      <c r="AC1473" s="33"/>
      <c r="AE1473" s="33"/>
      <c r="AF1473" s="33"/>
    </row>
    <row r="1474" spans="29:32" x14ac:dyDescent="0.2">
      <c r="AC1474" s="33"/>
      <c r="AE1474" s="33"/>
      <c r="AF1474" s="33"/>
    </row>
    <row r="1475" spans="29:32" x14ac:dyDescent="0.2">
      <c r="AC1475" s="33"/>
      <c r="AE1475" s="33"/>
      <c r="AF1475" s="33"/>
    </row>
    <row r="1476" spans="29:32" x14ac:dyDescent="0.2">
      <c r="AC1476" s="33"/>
      <c r="AE1476" s="33"/>
      <c r="AF1476" s="33"/>
    </row>
    <row r="1477" spans="29:32" x14ac:dyDescent="0.2">
      <c r="AC1477" s="33"/>
      <c r="AE1477" s="33"/>
      <c r="AF1477" s="33"/>
    </row>
    <row r="1478" spans="29:32" x14ac:dyDescent="0.2">
      <c r="AC1478" s="33"/>
      <c r="AE1478" s="33"/>
      <c r="AF1478" s="33"/>
    </row>
    <row r="1479" spans="29:32" x14ac:dyDescent="0.2">
      <c r="AC1479" s="33"/>
      <c r="AE1479" s="33"/>
      <c r="AF1479" s="33"/>
    </row>
    <row r="1480" spans="29:32" x14ac:dyDescent="0.2">
      <c r="AC1480" s="33"/>
      <c r="AE1480" s="33"/>
      <c r="AF1480" s="33"/>
    </row>
    <row r="1481" spans="29:32" x14ac:dyDescent="0.2">
      <c r="AC1481" s="33"/>
      <c r="AE1481" s="33"/>
      <c r="AF1481" s="33"/>
    </row>
    <row r="1482" spans="29:32" x14ac:dyDescent="0.2">
      <c r="AC1482" s="33"/>
      <c r="AE1482" s="33"/>
      <c r="AF1482" s="33"/>
    </row>
    <row r="1483" spans="29:32" x14ac:dyDescent="0.2">
      <c r="AC1483" s="33"/>
      <c r="AE1483" s="33"/>
      <c r="AF1483" s="33"/>
    </row>
    <row r="1484" spans="29:32" x14ac:dyDescent="0.2">
      <c r="AC1484" s="33"/>
      <c r="AE1484" s="33"/>
      <c r="AF1484" s="33"/>
    </row>
    <row r="1485" spans="29:32" x14ac:dyDescent="0.2">
      <c r="AC1485" s="33"/>
      <c r="AE1485" s="33"/>
      <c r="AF1485" s="33"/>
    </row>
    <row r="1486" spans="29:32" x14ac:dyDescent="0.2">
      <c r="AC1486" s="33"/>
      <c r="AE1486" s="33"/>
      <c r="AF1486" s="33"/>
    </row>
    <row r="1487" spans="29:32" x14ac:dyDescent="0.2">
      <c r="AC1487" s="33"/>
      <c r="AE1487" s="33"/>
      <c r="AF1487" s="33"/>
    </row>
    <row r="1488" spans="29:32" x14ac:dyDescent="0.2">
      <c r="AC1488" s="33"/>
      <c r="AE1488" s="33"/>
      <c r="AF1488" s="33"/>
    </row>
    <row r="1489" spans="29:32" x14ac:dyDescent="0.2">
      <c r="AC1489" s="33"/>
      <c r="AE1489" s="33"/>
      <c r="AF1489" s="33"/>
    </row>
    <row r="1490" spans="29:32" x14ac:dyDescent="0.2">
      <c r="AC1490" s="33"/>
      <c r="AE1490" s="33"/>
      <c r="AF1490" s="33"/>
    </row>
    <row r="1491" spans="29:32" x14ac:dyDescent="0.2">
      <c r="AC1491" s="33"/>
      <c r="AE1491" s="33"/>
      <c r="AF1491" s="33"/>
    </row>
    <row r="1492" spans="29:32" x14ac:dyDescent="0.2">
      <c r="AC1492" s="33"/>
      <c r="AE1492" s="33"/>
      <c r="AF1492" s="33"/>
    </row>
    <row r="1493" spans="29:32" x14ac:dyDescent="0.2">
      <c r="AC1493" s="33"/>
      <c r="AE1493" s="33"/>
      <c r="AF1493" s="33"/>
    </row>
    <row r="1494" spans="29:32" x14ac:dyDescent="0.2">
      <c r="AC1494" s="33"/>
      <c r="AE1494" s="33"/>
      <c r="AF1494" s="33"/>
    </row>
    <row r="1495" spans="29:32" x14ac:dyDescent="0.2">
      <c r="AC1495" s="33"/>
      <c r="AE1495" s="33"/>
      <c r="AF1495" s="33"/>
    </row>
    <row r="1496" spans="29:32" x14ac:dyDescent="0.2">
      <c r="AC1496" s="33"/>
      <c r="AE1496" s="33"/>
      <c r="AF1496" s="33"/>
    </row>
    <row r="1497" spans="29:32" x14ac:dyDescent="0.2">
      <c r="AC1497" s="33"/>
      <c r="AE1497" s="33"/>
      <c r="AF1497" s="33"/>
    </row>
    <row r="1498" spans="29:32" x14ac:dyDescent="0.2">
      <c r="AC1498" s="33"/>
      <c r="AE1498" s="33"/>
      <c r="AF1498" s="33"/>
    </row>
    <row r="1499" spans="29:32" x14ac:dyDescent="0.2">
      <c r="AC1499" s="33"/>
      <c r="AE1499" s="33"/>
      <c r="AF1499" s="33"/>
    </row>
    <row r="1500" spans="29:32" x14ac:dyDescent="0.2">
      <c r="AC1500" s="33"/>
      <c r="AE1500" s="33"/>
      <c r="AF1500" s="33"/>
    </row>
    <row r="1501" spans="29:32" x14ac:dyDescent="0.2">
      <c r="AC1501" s="33"/>
      <c r="AE1501" s="33"/>
      <c r="AF1501" s="33"/>
    </row>
    <row r="1502" spans="29:32" x14ac:dyDescent="0.2">
      <c r="AC1502" s="33"/>
      <c r="AE1502" s="33"/>
      <c r="AF1502" s="33"/>
    </row>
    <row r="1503" spans="29:32" x14ac:dyDescent="0.2">
      <c r="AC1503" s="33"/>
      <c r="AE1503" s="33"/>
      <c r="AF1503" s="33"/>
    </row>
    <row r="1504" spans="29:32" x14ac:dyDescent="0.2">
      <c r="AC1504" s="33"/>
      <c r="AE1504" s="33"/>
      <c r="AF1504" s="33"/>
    </row>
    <row r="1505" spans="29:32" x14ac:dyDescent="0.2">
      <c r="AC1505" s="33"/>
      <c r="AE1505" s="33"/>
      <c r="AF1505" s="33"/>
    </row>
    <row r="1506" spans="29:32" x14ac:dyDescent="0.2">
      <c r="AC1506" s="33"/>
      <c r="AE1506" s="33"/>
      <c r="AF1506" s="33"/>
    </row>
    <row r="1507" spans="29:32" x14ac:dyDescent="0.2">
      <c r="AC1507" s="33"/>
      <c r="AE1507" s="33"/>
      <c r="AF1507" s="33"/>
    </row>
    <row r="1508" spans="29:32" x14ac:dyDescent="0.2">
      <c r="AC1508" s="33"/>
      <c r="AE1508" s="33"/>
      <c r="AF1508" s="33"/>
    </row>
    <row r="1509" spans="29:32" x14ac:dyDescent="0.2">
      <c r="AC1509" s="33"/>
      <c r="AE1509" s="33"/>
      <c r="AF1509" s="33"/>
    </row>
    <row r="1510" spans="29:32" x14ac:dyDescent="0.2">
      <c r="AC1510" s="33"/>
      <c r="AE1510" s="33"/>
      <c r="AF1510" s="33"/>
    </row>
    <row r="1511" spans="29:32" x14ac:dyDescent="0.2">
      <c r="AC1511" s="33"/>
      <c r="AE1511" s="33"/>
      <c r="AF1511" s="33"/>
    </row>
    <row r="1512" spans="29:32" x14ac:dyDescent="0.2">
      <c r="AC1512" s="33"/>
      <c r="AE1512" s="33"/>
      <c r="AF1512" s="33"/>
    </row>
    <row r="1513" spans="29:32" x14ac:dyDescent="0.2">
      <c r="AC1513" s="33"/>
      <c r="AE1513" s="33"/>
      <c r="AF1513" s="33"/>
    </row>
    <row r="1514" spans="29:32" x14ac:dyDescent="0.2">
      <c r="AC1514" s="33"/>
      <c r="AE1514" s="33"/>
      <c r="AF1514" s="33"/>
    </row>
    <row r="1515" spans="29:32" x14ac:dyDescent="0.2">
      <c r="AC1515" s="33"/>
      <c r="AE1515" s="33"/>
      <c r="AF1515" s="33"/>
    </row>
    <row r="1516" spans="29:32" x14ac:dyDescent="0.2">
      <c r="AC1516" s="33"/>
      <c r="AE1516" s="33"/>
      <c r="AF1516" s="33"/>
    </row>
    <row r="1517" spans="29:32" x14ac:dyDescent="0.2">
      <c r="AC1517" s="33"/>
      <c r="AE1517" s="33"/>
      <c r="AF1517" s="33"/>
    </row>
    <row r="1518" spans="29:32" x14ac:dyDescent="0.2">
      <c r="AC1518" s="33"/>
      <c r="AE1518" s="33"/>
      <c r="AF1518" s="33"/>
    </row>
    <row r="1519" spans="29:32" x14ac:dyDescent="0.2">
      <c r="AC1519" s="33"/>
      <c r="AE1519" s="33"/>
      <c r="AF1519" s="33"/>
    </row>
    <row r="1520" spans="29:32" x14ac:dyDescent="0.2">
      <c r="AC1520" s="33"/>
      <c r="AE1520" s="33"/>
      <c r="AF1520" s="33"/>
    </row>
    <row r="1521" spans="29:32" x14ac:dyDescent="0.2">
      <c r="AC1521" s="33"/>
      <c r="AE1521" s="33"/>
      <c r="AF1521" s="33"/>
    </row>
    <row r="1522" spans="29:32" x14ac:dyDescent="0.2">
      <c r="AC1522" s="33"/>
      <c r="AE1522" s="33"/>
      <c r="AF1522" s="33"/>
    </row>
    <row r="1523" spans="29:32" x14ac:dyDescent="0.2">
      <c r="AC1523" s="33"/>
      <c r="AE1523" s="33"/>
      <c r="AF1523" s="33"/>
    </row>
    <row r="1524" spans="29:32" x14ac:dyDescent="0.2">
      <c r="AC1524" s="33"/>
      <c r="AE1524" s="33"/>
      <c r="AF1524" s="33"/>
    </row>
    <row r="1525" spans="29:32" x14ac:dyDescent="0.2">
      <c r="AC1525" s="33"/>
      <c r="AE1525" s="33"/>
      <c r="AF1525" s="33"/>
    </row>
    <row r="1526" spans="29:32" x14ac:dyDescent="0.2">
      <c r="AC1526" s="33"/>
      <c r="AE1526" s="33"/>
      <c r="AF1526" s="33"/>
    </row>
    <row r="1527" spans="29:32" x14ac:dyDescent="0.2">
      <c r="AC1527" s="33"/>
      <c r="AE1527" s="33"/>
      <c r="AF1527" s="33"/>
    </row>
    <row r="1528" spans="29:32" x14ac:dyDescent="0.2">
      <c r="AC1528" s="33"/>
      <c r="AE1528" s="33"/>
      <c r="AF1528" s="33"/>
    </row>
    <row r="1529" spans="29:32" x14ac:dyDescent="0.2">
      <c r="AC1529" s="33"/>
      <c r="AE1529" s="33"/>
      <c r="AF1529" s="33"/>
    </row>
    <row r="1530" spans="29:32" x14ac:dyDescent="0.2">
      <c r="AC1530" s="33"/>
      <c r="AE1530" s="33"/>
      <c r="AF1530" s="33"/>
    </row>
    <row r="1531" spans="29:32" x14ac:dyDescent="0.2">
      <c r="AC1531" s="33"/>
      <c r="AE1531" s="33"/>
      <c r="AF1531" s="33"/>
    </row>
    <row r="1532" spans="29:32" x14ac:dyDescent="0.2">
      <c r="AC1532" s="33"/>
      <c r="AE1532" s="33"/>
      <c r="AF1532" s="33"/>
    </row>
    <row r="1533" spans="29:32" x14ac:dyDescent="0.2">
      <c r="AC1533" s="33"/>
      <c r="AE1533" s="33"/>
      <c r="AF1533" s="33"/>
    </row>
    <row r="1534" spans="29:32" x14ac:dyDescent="0.2">
      <c r="AC1534" s="33"/>
      <c r="AE1534" s="33"/>
      <c r="AF1534" s="33"/>
    </row>
    <row r="1535" spans="29:32" x14ac:dyDescent="0.2">
      <c r="AC1535" s="33"/>
      <c r="AE1535" s="33"/>
      <c r="AF1535" s="33"/>
    </row>
    <row r="1536" spans="29:32" x14ac:dyDescent="0.2">
      <c r="AC1536" s="33"/>
      <c r="AE1536" s="33"/>
      <c r="AF1536" s="33"/>
    </row>
    <row r="1537" spans="29:32" x14ac:dyDescent="0.2">
      <c r="AC1537" s="33"/>
      <c r="AE1537" s="33"/>
      <c r="AF1537" s="33"/>
    </row>
    <row r="1538" spans="29:32" x14ac:dyDescent="0.2">
      <c r="AC1538" s="33"/>
      <c r="AE1538" s="33"/>
      <c r="AF1538" s="33"/>
    </row>
    <row r="1539" spans="29:32" x14ac:dyDescent="0.2">
      <c r="AC1539" s="33"/>
      <c r="AE1539" s="33"/>
      <c r="AF1539" s="33"/>
    </row>
    <row r="1540" spans="29:32" x14ac:dyDescent="0.2">
      <c r="AC1540" s="33"/>
      <c r="AE1540" s="33"/>
      <c r="AF1540" s="33"/>
    </row>
    <row r="1541" spans="29:32" x14ac:dyDescent="0.2">
      <c r="AC1541" s="33"/>
      <c r="AE1541" s="33"/>
      <c r="AF1541" s="33"/>
    </row>
    <row r="1542" spans="29:32" x14ac:dyDescent="0.2">
      <c r="AC1542" s="33"/>
      <c r="AE1542" s="33"/>
      <c r="AF1542" s="33"/>
    </row>
    <row r="1543" spans="29:32" x14ac:dyDescent="0.2">
      <c r="AC1543" s="33"/>
      <c r="AE1543" s="33"/>
      <c r="AF1543" s="33"/>
    </row>
    <row r="1544" spans="29:32" x14ac:dyDescent="0.2">
      <c r="AC1544" s="33"/>
      <c r="AE1544" s="33"/>
      <c r="AF1544" s="33"/>
    </row>
    <row r="1545" spans="29:32" x14ac:dyDescent="0.2">
      <c r="AC1545" s="33"/>
      <c r="AE1545" s="33"/>
      <c r="AF1545" s="33"/>
    </row>
    <row r="1546" spans="29:32" x14ac:dyDescent="0.2">
      <c r="AC1546" s="33"/>
      <c r="AE1546" s="33"/>
      <c r="AF1546" s="33"/>
    </row>
    <row r="1547" spans="29:32" x14ac:dyDescent="0.2">
      <c r="AC1547" s="33"/>
      <c r="AE1547" s="33"/>
      <c r="AF1547" s="33"/>
    </row>
    <row r="1548" spans="29:32" x14ac:dyDescent="0.2">
      <c r="AC1548" s="33"/>
      <c r="AE1548" s="33"/>
      <c r="AF1548" s="33"/>
    </row>
    <row r="1549" spans="29:32" x14ac:dyDescent="0.2">
      <c r="AC1549" s="33"/>
      <c r="AE1549" s="33"/>
      <c r="AF1549" s="33"/>
    </row>
    <row r="1550" spans="29:32" x14ac:dyDescent="0.2">
      <c r="AC1550" s="33"/>
      <c r="AE1550" s="33"/>
      <c r="AF1550" s="33"/>
    </row>
    <row r="1551" spans="29:32" x14ac:dyDescent="0.2">
      <c r="AC1551" s="33"/>
      <c r="AE1551" s="33"/>
      <c r="AF1551" s="33"/>
    </row>
    <row r="1552" spans="29:32" x14ac:dyDescent="0.2">
      <c r="AC1552" s="33"/>
      <c r="AE1552" s="33"/>
      <c r="AF1552" s="33"/>
    </row>
    <row r="1553" spans="29:32" x14ac:dyDescent="0.2">
      <c r="AC1553" s="33"/>
      <c r="AE1553" s="33"/>
      <c r="AF1553" s="33"/>
    </row>
    <row r="1554" spans="29:32" x14ac:dyDescent="0.2">
      <c r="AC1554" s="33"/>
      <c r="AE1554" s="33"/>
      <c r="AF1554" s="33"/>
    </row>
    <row r="1555" spans="29:32" x14ac:dyDescent="0.2">
      <c r="AC1555" s="33"/>
      <c r="AE1555" s="33"/>
      <c r="AF1555" s="33"/>
    </row>
    <row r="1556" spans="29:32" x14ac:dyDescent="0.2">
      <c r="AC1556" s="33"/>
      <c r="AE1556" s="33"/>
      <c r="AF1556" s="33"/>
    </row>
    <row r="1557" spans="29:32" x14ac:dyDescent="0.2">
      <c r="AC1557" s="33"/>
      <c r="AE1557" s="33"/>
      <c r="AF1557" s="33"/>
    </row>
    <row r="1558" spans="29:32" x14ac:dyDescent="0.2">
      <c r="AC1558" s="33"/>
      <c r="AE1558" s="33"/>
      <c r="AF1558" s="33"/>
    </row>
    <row r="1559" spans="29:32" x14ac:dyDescent="0.2">
      <c r="AC1559" s="33"/>
      <c r="AE1559" s="33"/>
      <c r="AF1559" s="33"/>
    </row>
    <row r="1560" spans="29:32" x14ac:dyDescent="0.2">
      <c r="AC1560" s="33"/>
      <c r="AE1560" s="33"/>
      <c r="AF1560" s="33"/>
    </row>
    <row r="1561" spans="29:32" x14ac:dyDescent="0.2">
      <c r="AC1561" s="33"/>
      <c r="AE1561" s="33"/>
      <c r="AF1561" s="33"/>
    </row>
    <row r="1562" spans="29:32" x14ac:dyDescent="0.2">
      <c r="AC1562" s="33"/>
      <c r="AE1562" s="33"/>
      <c r="AF1562" s="33"/>
    </row>
    <row r="1563" spans="29:32" x14ac:dyDescent="0.2">
      <c r="AC1563" s="33"/>
      <c r="AE1563" s="33"/>
      <c r="AF1563" s="33"/>
    </row>
    <row r="1564" spans="29:32" x14ac:dyDescent="0.2">
      <c r="AC1564" s="33"/>
      <c r="AE1564" s="33"/>
      <c r="AF1564" s="33"/>
    </row>
    <row r="1565" spans="29:32" x14ac:dyDescent="0.2">
      <c r="AC1565" s="33"/>
      <c r="AE1565" s="33"/>
      <c r="AF1565" s="33"/>
    </row>
    <row r="1566" spans="29:32" x14ac:dyDescent="0.2">
      <c r="AC1566" s="33"/>
      <c r="AE1566" s="33"/>
      <c r="AF1566" s="33"/>
    </row>
    <row r="1567" spans="29:32" x14ac:dyDescent="0.2">
      <c r="AC1567" s="33"/>
      <c r="AE1567" s="33"/>
      <c r="AF1567" s="33"/>
    </row>
    <row r="1568" spans="29:32" x14ac:dyDescent="0.2">
      <c r="AC1568" s="33"/>
      <c r="AE1568" s="33"/>
      <c r="AF1568" s="33"/>
    </row>
    <row r="1569" spans="29:32" x14ac:dyDescent="0.2">
      <c r="AC1569" s="33"/>
      <c r="AE1569" s="33"/>
      <c r="AF1569" s="33"/>
    </row>
    <row r="1570" spans="29:32" x14ac:dyDescent="0.2">
      <c r="AC1570" s="33"/>
      <c r="AE1570" s="33"/>
      <c r="AF1570" s="33"/>
    </row>
    <row r="1571" spans="29:32" x14ac:dyDescent="0.2">
      <c r="AC1571" s="33"/>
      <c r="AE1571" s="33"/>
      <c r="AF1571" s="33"/>
    </row>
    <row r="1572" spans="29:32" x14ac:dyDescent="0.2">
      <c r="AC1572" s="33"/>
      <c r="AE1572" s="33"/>
      <c r="AF1572" s="33"/>
    </row>
    <row r="1573" spans="29:32" x14ac:dyDescent="0.2">
      <c r="AC1573" s="33"/>
      <c r="AE1573" s="33"/>
      <c r="AF1573" s="33"/>
    </row>
    <row r="1574" spans="29:32" x14ac:dyDescent="0.2">
      <c r="AC1574" s="33"/>
      <c r="AE1574" s="33"/>
      <c r="AF1574" s="33"/>
    </row>
    <row r="1575" spans="29:32" x14ac:dyDescent="0.2">
      <c r="AC1575" s="33"/>
      <c r="AE1575" s="33"/>
      <c r="AF1575" s="33"/>
    </row>
    <row r="1576" spans="29:32" x14ac:dyDescent="0.2">
      <c r="AC1576" s="33"/>
      <c r="AE1576" s="33"/>
      <c r="AF1576" s="33"/>
    </row>
    <row r="1577" spans="29:32" x14ac:dyDescent="0.2">
      <c r="AC1577" s="33"/>
      <c r="AE1577" s="33"/>
      <c r="AF1577" s="33"/>
    </row>
    <row r="1578" spans="29:32" x14ac:dyDescent="0.2">
      <c r="AC1578" s="33"/>
      <c r="AE1578" s="33"/>
      <c r="AF1578" s="33"/>
    </row>
    <row r="1579" spans="29:32" x14ac:dyDescent="0.2">
      <c r="AC1579" s="33"/>
      <c r="AE1579" s="33"/>
      <c r="AF1579" s="33"/>
    </row>
    <row r="1580" spans="29:32" x14ac:dyDescent="0.2">
      <c r="AC1580" s="33"/>
      <c r="AE1580" s="33"/>
      <c r="AF1580" s="33"/>
    </row>
    <row r="1581" spans="29:32" x14ac:dyDescent="0.2">
      <c r="AC1581" s="33"/>
      <c r="AE1581" s="33"/>
      <c r="AF1581" s="33"/>
    </row>
    <row r="1582" spans="29:32" x14ac:dyDescent="0.2">
      <c r="AC1582" s="33"/>
      <c r="AE1582" s="33"/>
      <c r="AF1582" s="33"/>
    </row>
    <row r="1583" spans="29:32" x14ac:dyDescent="0.2">
      <c r="AC1583" s="33"/>
      <c r="AE1583" s="33"/>
      <c r="AF1583" s="33"/>
    </row>
    <row r="1584" spans="29:32" x14ac:dyDescent="0.2">
      <c r="AC1584" s="33"/>
      <c r="AE1584" s="33"/>
      <c r="AF1584" s="33"/>
    </row>
    <row r="1585" spans="29:32" x14ac:dyDescent="0.2">
      <c r="AC1585" s="33"/>
      <c r="AE1585" s="33"/>
      <c r="AF1585" s="33"/>
    </row>
    <row r="1586" spans="29:32" x14ac:dyDescent="0.2">
      <c r="AC1586" s="33"/>
      <c r="AE1586" s="33"/>
      <c r="AF1586" s="33"/>
    </row>
    <row r="1587" spans="29:32" x14ac:dyDescent="0.2">
      <c r="AC1587" s="33"/>
      <c r="AE1587" s="33"/>
      <c r="AF1587" s="33"/>
    </row>
    <row r="1588" spans="29:32" x14ac:dyDescent="0.2">
      <c r="AC1588" s="33"/>
      <c r="AE1588" s="33"/>
      <c r="AF1588" s="33"/>
    </row>
    <row r="1589" spans="29:32" x14ac:dyDescent="0.2">
      <c r="AC1589" s="33"/>
      <c r="AE1589" s="33"/>
      <c r="AF1589" s="33"/>
    </row>
    <row r="1590" spans="29:32" x14ac:dyDescent="0.2">
      <c r="AC1590" s="33"/>
      <c r="AE1590" s="33"/>
      <c r="AF1590" s="33"/>
    </row>
    <row r="1591" spans="29:32" x14ac:dyDescent="0.2">
      <c r="AC1591" s="33"/>
      <c r="AE1591" s="33"/>
      <c r="AF1591" s="33"/>
    </row>
    <row r="1592" spans="29:32" x14ac:dyDescent="0.2">
      <c r="AC1592" s="33"/>
      <c r="AE1592" s="33"/>
      <c r="AF1592" s="33"/>
    </row>
    <row r="1593" spans="29:32" x14ac:dyDescent="0.2">
      <c r="AC1593" s="33"/>
      <c r="AE1593" s="33"/>
      <c r="AF1593" s="33"/>
    </row>
    <row r="1594" spans="29:32" x14ac:dyDescent="0.2">
      <c r="AC1594" s="33"/>
      <c r="AE1594" s="33"/>
      <c r="AF1594" s="33"/>
    </row>
    <row r="1595" spans="29:32" x14ac:dyDescent="0.2">
      <c r="AC1595" s="33"/>
      <c r="AE1595" s="33"/>
      <c r="AF1595" s="33"/>
    </row>
    <row r="1596" spans="29:32" x14ac:dyDescent="0.2">
      <c r="AC1596" s="33"/>
      <c r="AE1596" s="33"/>
      <c r="AF1596" s="33"/>
    </row>
    <row r="1597" spans="29:32" x14ac:dyDescent="0.2">
      <c r="AC1597" s="33"/>
      <c r="AE1597" s="33"/>
      <c r="AF1597" s="33"/>
    </row>
    <row r="1598" spans="29:32" x14ac:dyDescent="0.2">
      <c r="AC1598" s="33"/>
      <c r="AE1598" s="33"/>
      <c r="AF1598" s="33"/>
    </row>
    <row r="1599" spans="29:32" x14ac:dyDescent="0.2">
      <c r="AC1599" s="33"/>
      <c r="AE1599" s="33"/>
      <c r="AF1599" s="33"/>
    </row>
    <row r="1600" spans="29:32" x14ac:dyDescent="0.2">
      <c r="AC1600" s="33"/>
      <c r="AE1600" s="33"/>
      <c r="AF1600" s="33"/>
    </row>
    <row r="1601" spans="29:32" x14ac:dyDescent="0.2">
      <c r="AC1601" s="33"/>
      <c r="AE1601" s="33"/>
      <c r="AF1601" s="33"/>
    </row>
    <row r="1602" spans="29:32" x14ac:dyDescent="0.2">
      <c r="AC1602" s="33"/>
      <c r="AE1602" s="33"/>
      <c r="AF1602" s="33"/>
    </row>
    <row r="1603" spans="29:32" x14ac:dyDescent="0.2">
      <c r="AC1603" s="33"/>
      <c r="AE1603" s="33"/>
      <c r="AF1603" s="33"/>
    </row>
    <row r="1604" spans="29:32" x14ac:dyDescent="0.2">
      <c r="AC1604" s="33"/>
      <c r="AE1604" s="33"/>
      <c r="AF1604" s="33"/>
    </row>
    <row r="1605" spans="29:32" x14ac:dyDescent="0.2">
      <c r="AC1605" s="33"/>
      <c r="AE1605" s="33"/>
      <c r="AF1605" s="33"/>
    </row>
    <row r="1606" spans="29:32" x14ac:dyDescent="0.2">
      <c r="AC1606" s="33"/>
      <c r="AE1606" s="33"/>
      <c r="AF1606" s="33"/>
    </row>
    <row r="1607" spans="29:32" x14ac:dyDescent="0.2">
      <c r="AC1607" s="33"/>
      <c r="AE1607" s="33"/>
      <c r="AF1607" s="33"/>
    </row>
    <row r="1608" spans="29:32" x14ac:dyDescent="0.2">
      <c r="AC1608" s="33"/>
      <c r="AE1608" s="33"/>
      <c r="AF1608" s="33"/>
    </row>
    <row r="1609" spans="29:32" x14ac:dyDescent="0.2">
      <c r="AC1609" s="33"/>
      <c r="AE1609" s="33"/>
      <c r="AF1609" s="33"/>
    </row>
    <row r="1610" spans="29:32" x14ac:dyDescent="0.2">
      <c r="AC1610" s="33"/>
      <c r="AE1610" s="33"/>
      <c r="AF1610" s="33"/>
    </row>
    <row r="1611" spans="29:32" x14ac:dyDescent="0.2">
      <c r="AC1611" s="33"/>
      <c r="AE1611" s="33"/>
      <c r="AF1611" s="33"/>
    </row>
    <row r="1612" spans="29:32" x14ac:dyDescent="0.2">
      <c r="AC1612" s="33"/>
      <c r="AE1612" s="33"/>
      <c r="AF1612" s="33"/>
    </row>
    <row r="1613" spans="29:32" x14ac:dyDescent="0.2">
      <c r="AC1613" s="33"/>
      <c r="AE1613" s="33"/>
      <c r="AF1613" s="33"/>
    </row>
    <row r="1614" spans="29:32" x14ac:dyDescent="0.2">
      <c r="AC1614" s="33"/>
      <c r="AE1614" s="33"/>
      <c r="AF1614" s="33"/>
    </row>
    <row r="1615" spans="29:32" x14ac:dyDescent="0.2">
      <c r="AC1615" s="33"/>
      <c r="AE1615" s="33"/>
      <c r="AF1615" s="33"/>
    </row>
    <row r="1616" spans="29:32" x14ac:dyDescent="0.2">
      <c r="AC1616" s="33"/>
      <c r="AE1616" s="33"/>
      <c r="AF1616" s="33"/>
    </row>
    <row r="1617" spans="29:32" x14ac:dyDescent="0.2">
      <c r="AC1617" s="33"/>
      <c r="AE1617" s="33"/>
      <c r="AF1617" s="33"/>
    </row>
    <row r="1618" spans="29:32" x14ac:dyDescent="0.2">
      <c r="AC1618" s="33"/>
      <c r="AE1618" s="33"/>
      <c r="AF1618" s="33"/>
    </row>
    <row r="1619" spans="29:32" x14ac:dyDescent="0.2">
      <c r="AC1619" s="33"/>
      <c r="AE1619" s="33"/>
      <c r="AF1619" s="33"/>
    </row>
    <row r="1620" spans="29:32" x14ac:dyDescent="0.2">
      <c r="AC1620" s="33"/>
      <c r="AE1620" s="33"/>
      <c r="AF1620" s="33"/>
    </row>
    <row r="1621" spans="29:32" x14ac:dyDescent="0.2">
      <c r="AC1621" s="33"/>
      <c r="AE1621" s="33"/>
      <c r="AF1621" s="33"/>
    </row>
    <row r="1622" spans="29:32" x14ac:dyDescent="0.2">
      <c r="AC1622" s="33"/>
      <c r="AE1622" s="33"/>
      <c r="AF1622" s="33"/>
    </row>
    <row r="1623" spans="29:32" x14ac:dyDescent="0.2">
      <c r="AC1623" s="33"/>
      <c r="AE1623" s="33"/>
      <c r="AF1623" s="33"/>
    </row>
    <row r="1624" spans="29:32" x14ac:dyDescent="0.2">
      <c r="AC1624" s="33"/>
      <c r="AE1624" s="33"/>
      <c r="AF1624" s="33"/>
    </row>
    <row r="1625" spans="29:32" x14ac:dyDescent="0.2">
      <c r="AC1625" s="33"/>
      <c r="AE1625" s="33"/>
      <c r="AF1625" s="33"/>
    </row>
    <row r="1626" spans="29:32" x14ac:dyDescent="0.2">
      <c r="AC1626" s="33"/>
      <c r="AE1626" s="33"/>
      <c r="AF1626" s="33"/>
    </row>
    <row r="1627" spans="29:32" x14ac:dyDescent="0.2">
      <c r="AC1627" s="33"/>
      <c r="AE1627" s="33"/>
      <c r="AF1627" s="33"/>
    </row>
    <row r="1628" spans="29:32" x14ac:dyDescent="0.2">
      <c r="AC1628" s="33"/>
      <c r="AE1628" s="33"/>
      <c r="AF1628" s="33"/>
    </row>
    <row r="1629" spans="29:32" x14ac:dyDescent="0.2">
      <c r="AC1629" s="33"/>
      <c r="AE1629" s="33"/>
      <c r="AF1629" s="33"/>
    </row>
    <row r="1630" spans="29:32" x14ac:dyDescent="0.2">
      <c r="AC1630" s="33"/>
      <c r="AE1630" s="33"/>
      <c r="AF1630" s="33"/>
    </row>
    <row r="1631" spans="29:32" x14ac:dyDescent="0.2">
      <c r="AC1631" s="33"/>
      <c r="AE1631" s="33"/>
      <c r="AF1631" s="33"/>
    </row>
    <row r="1632" spans="29:32" x14ac:dyDescent="0.2">
      <c r="AC1632" s="33"/>
      <c r="AE1632" s="33"/>
      <c r="AF1632" s="33"/>
    </row>
    <row r="1633" spans="29:32" x14ac:dyDescent="0.2">
      <c r="AC1633" s="33"/>
      <c r="AE1633" s="33"/>
      <c r="AF1633" s="33"/>
    </row>
    <row r="1634" spans="29:32" x14ac:dyDescent="0.2">
      <c r="AC1634" s="33"/>
      <c r="AE1634" s="33"/>
      <c r="AF1634" s="33"/>
    </row>
    <row r="1635" spans="29:32" x14ac:dyDescent="0.2">
      <c r="AC1635" s="33"/>
      <c r="AE1635" s="33"/>
      <c r="AF1635" s="33"/>
    </row>
    <row r="1636" spans="29:32" x14ac:dyDescent="0.2">
      <c r="AC1636" s="33"/>
      <c r="AE1636" s="33"/>
      <c r="AF1636" s="33"/>
    </row>
    <row r="1637" spans="29:32" x14ac:dyDescent="0.2">
      <c r="AC1637" s="33"/>
      <c r="AE1637" s="33"/>
      <c r="AF1637" s="33"/>
    </row>
    <row r="1638" spans="29:32" x14ac:dyDescent="0.2">
      <c r="AC1638" s="33"/>
      <c r="AE1638" s="33"/>
      <c r="AF1638" s="33"/>
    </row>
    <row r="1639" spans="29:32" x14ac:dyDescent="0.2">
      <c r="AC1639" s="33"/>
      <c r="AE1639" s="33"/>
      <c r="AF1639" s="33"/>
    </row>
    <row r="1640" spans="29:32" x14ac:dyDescent="0.2">
      <c r="AC1640" s="33"/>
      <c r="AE1640" s="33"/>
      <c r="AF1640" s="33"/>
    </row>
    <row r="1641" spans="29:32" x14ac:dyDescent="0.2">
      <c r="AC1641" s="33"/>
      <c r="AE1641" s="33"/>
      <c r="AF1641" s="33"/>
    </row>
    <row r="1642" spans="29:32" x14ac:dyDescent="0.2">
      <c r="AC1642" s="33"/>
      <c r="AE1642" s="33"/>
      <c r="AF1642" s="33"/>
    </row>
    <row r="1643" spans="29:32" x14ac:dyDescent="0.2">
      <c r="AC1643" s="33"/>
      <c r="AE1643" s="33"/>
      <c r="AF1643" s="33"/>
    </row>
    <row r="1644" spans="29:32" x14ac:dyDescent="0.2">
      <c r="AC1644" s="33"/>
      <c r="AE1644" s="33"/>
      <c r="AF1644" s="33"/>
    </row>
    <row r="1645" spans="29:32" x14ac:dyDescent="0.2">
      <c r="AC1645" s="33"/>
      <c r="AE1645" s="33"/>
      <c r="AF1645" s="33"/>
    </row>
    <row r="1646" spans="29:32" x14ac:dyDescent="0.2">
      <c r="AC1646" s="33"/>
      <c r="AE1646" s="33"/>
      <c r="AF1646" s="33"/>
    </row>
    <row r="1647" spans="29:32" x14ac:dyDescent="0.2">
      <c r="AC1647" s="33"/>
      <c r="AE1647" s="33"/>
      <c r="AF1647" s="33"/>
    </row>
    <row r="1648" spans="29:32" x14ac:dyDescent="0.2">
      <c r="AC1648" s="33"/>
      <c r="AE1648" s="33"/>
      <c r="AF1648" s="33"/>
    </row>
    <row r="1649" spans="29:32" x14ac:dyDescent="0.2">
      <c r="AC1649" s="33"/>
      <c r="AE1649" s="33"/>
      <c r="AF1649" s="33"/>
    </row>
    <row r="1650" spans="29:32" x14ac:dyDescent="0.2">
      <c r="AC1650" s="33"/>
      <c r="AE1650" s="33"/>
      <c r="AF1650" s="33"/>
    </row>
    <row r="1651" spans="29:32" x14ac:dyDescent="0.2">
      <c r="AC1651" s="33"/>
      <c r="AE1651" s="33"/>
      <c r="AF1651" s="33"/>
    </row>
    <row r="1652" spans="29:32" x14ac:dyDescent="0.2">
      <c r="AC1652" s="33"/>
      <c r="AE1652" s="33"/>
      <c r="AF1652" s="33"/>
    </row>
    <row r="1653" spans="29:32" x14ac:dyDescent="0.2">
      <c r="AC1653" s="33"/>
      <c r="AE1653" s="33"/>
      <c r="AF1653" s="33"/>
    </row>
    <row r="1654" spans="29:32" x14ac:dyDescent="0.2">
      <c r="AC1654" s="33"/>
      <c r="AE1654" s="33"/>
      <c r="AF1654" s="33"/>
    </row>
    <row r="1655" spans="29:32" x14ac:dyDescent="0.2">
      <c r="AC1655" s="33"/>
      <c r="AE1655" s="33"/>
      <c r="AF1655" s="33"/>
    </row>
    <row r="1656" spans="29:32" x14ac:dyDescent="0.2">
      <c r="AC1656" s="33"/>
      <c r="AE1656" s="33"/>
      <c r="AF1656" s="33"/>
    </row>
    <row r="1657" spans="29:32" x14ac:dyDescent="0.2">
      <c r="AC1657" s="33"/>
      <c r="AE1657" s="33"/>
      <c r="AF1657" s="33"/>
    </row>
    <row r="1658" spans="29:32" x14ac:dyDescent="0.2">
      <c r="AC1658" s="33"/>
      <c r="AE1658" s="33"/>
      <c r="AF1658" s="33"/>
    </row>
    <row r="1659" spans="29:32" x14ac:dyDescent="0.2">
      <c r="AC1659" s="33"/>
      <c r="AE1659" s="33"/>
      <c r="AF1659" s="33"/>
    </row>
    <row r="1660" spans="29:32" x14ac:dyDescent="0.2">
      <c r="AC1660" s="33"/>
      <c r="AE1660" s="33"/>
      <c r="AF1660" s="33"/>
    </row>
    <row r="1661" spans="29:32" x14ac:dyDescent="0.2">
      <c r="AC1661" s="33"/>
      <c r="AE1661" s="33"/>
      <c r="AF1661" s="33"/>
    </row>
    <row r="1662" spans="29:32" x14ac:dyDescent="0.2">
      <c r="AC1662" s="33"/>
      <c r="AE1662" s="33"/>
      <c r="AF1662" s="33"/>
    </row>
    <row r="1663" spans="29:32" x14ac:dyDescent="0.2">
      <c r="AC1663" s="33"/>
      <c r="AE1663" s="33"/>
      <c r="AF1663" s="33"/>
    </row>
    <row r="1664" spans="29:32" x14ac:dyDescent="0.2">
      <c r="AC1664" s="33"/>
      <c r="AE1664" s="33"/>
      <c r="AF1664" s="33"/>
    </row>
    <row r="1665" spans="29:32" x14ac:dyDescent="0.2">
      <c r="AC1665" s="33"/>
      <c r="AE1665" s="33"/>
      <c r="AF1665" s="33"/>
    </row>
    <row r="1666" spans="29:32" x14ac:dyDescent="0.2">
      <c r="AC1666" s="33"/>
      <c r="AE1666" s="33"/>
      <c r="AF1666" s="33"/>
    </row>
    <row r="1667" spans="29:32" x14ac:dyDescent="0.2">
      <c r="AC1667" s="33"/>
      <c r="AE1667" s="33"/>
      <c r="AF1667" s="33"/>
    </row>
    <row r="1668" spans="29:32" x14ac:dyDescent="0.2">
      <c r="AC1668" s="33"/>
      <c r="AE1668" s="33"/>
      <c r="AF1668" s="33"/>
    </row>
    <row r="1669" spans="29:32" x14ac:dyDescent="0.2">
      <c r="AC1669" s="33"/>
      <c r="AE1669" s="33"/>
      <c r="AF1669" s="33"/>
    </row>
    <row r="1670" spans="29:32" x14ac:dyDescent="0.2">
      <c r="AC1670" s="33"/>
      <c r="AE1670" s="33"/>
      <c r="AF1670" s="33"/>
    </row>
    <row r="1671" spans="29:32" x14ac:dyDescent="0.2">
      <c r="AC1671" s="33"/>
      <c r="AE1671" s="33"/>
      <c r="AF1671" s="33"/>
    </row>
    <row r="1672" spans="29:32" x14ac:dyDescent="0.2">
      <c r="AC1672" s="33"/>
      <c r="AE1672" s="33"/>
      <c r="AF1672" s="33"/>
    </row>
    <row r="1673" spans="29:32" x14ac:dyDescent="0.2">
      <c r="AC1673" s="33"/>
      <c r="AE1673" s="33"/>
      <c r="AF1673" s="33"/>
    </row>
    <row r="1674" spans="29:32" x14ac:dyDescent="0.2">
      <c r="AC1674" s="33"/>
      <c r="AE1674" s="33"/>
      <c r="AF1674" s="33"/>
    </row>
    <row r="1675" spans="29:32" x14ac:dyDescent="0.2">
      <c r="AC1675" s="33"/>
      <c r="AE1675" s="33"/>
      <c r="AF1675" s="33"/>
    </row>
    <row r="1676" spans="29:32" x14ac:dyDescent="0.2">
      <c r="AC1676" s="33"/>
      <c r="AE1676" s="33"/>
      <c r="AF1676" s="33"/>
    </row>
    <row r="1677" spans="29:32" x14ac:dyDescent="0.2">
      <c r="AC1677" s="33"/>
      <c r="AE1677" s="33"/>
      <c r="AF1677" s="33"/>
    </row>
    <row r="1678" spans="29:32" x14ac:dyDescent="0.2">
      <c r="AC1678" s="33"/>
      <c r="AE1678" s="33"/>
      <c r="AF1678" s="33"/>
    </row>
    <row r="1679" spans="29:32" x14ac:dyDescent="0.2">
      <c r="AC1679" s="33"/>
      <c r="AE1679" s="33"/>
      <c r="AF1679" s="33"/>
    </row>
    <row r="1680" spans="29:32" x14ac:dyDescent="0.2">
      <c r="AC1680" s="33"/>
      <c r="AE1680" s="33"/>
      <c r="AF1680" s="33"/>
    </row>
    <row r="1681" spans="29:32" x14ac:dyDescent="0.2">
      <c r="AC1681" s="33"/>
      <c r="AE1681" s="33"/>
      <c r="AF1681" s="33"/>
    </row>
    <row r="1682" spans="29:32" x14ac:dyDescent="0.2">
      <c r="AC1682" s="33"/>
      <c r="AE1682" s="33"/>
      <c r="AF1682" s="33"/>
    </row>
    <row r="1683" spans="29:32" x14ac:dyDescent="0.2">
      <c r="AC1683" s="33"/>
      <c r="AE1683" s="33"/>
      <c r="AF1683" s="33"/>
    </row>
    <row r="1684" spans="29:32" x14ac:dyDescent="0.2">
      <c r="AC1684" s="33"/>
      <c r="AE1684" s="33"/>
      <c r="AF1684" s="33"/>
    </row>
    <row r="1685" spans="29:32" x14ac:dyDescent="0.2">
      <c r="AC1685" s="33"/>
      <c r="AE1685" s="33"/>
      <c r="AF1685" s="33"/>
    </row>
    <row r="1686" spans="29:32" x14ac:dyDescent="0.2">
      <c r="AC1686" s="33"/>
      <c r="AE1686" s="33"/>
      <c r="AF1686" s="33"/>
    </row>
    <row r="1687" spans="29:32" x14ac:dyDescent="0.2">
      <c r="AC1687" s="33"/>
      <c r="AE1687" s="33"/>
      <c r="AF1687" s="33"/>
    </row>
    <row r="1688" spans="29:32" x14ac:dyDescent="0.2">
      <c r="AC1688" s="33"/>
      <c r="AE1688" s="33"/>
      <c r="AF1688" s="33"/>
    </row>
    <row r="1689" spans="29:32" x14ac:dyDescent="0.2">
      <c r="AC1689" s="33"/>
      <c r="AE1689" s="33"/>
      <c r="AF1689" s="33"/>
    </row>
    <row r="1690" spans="29:32" x14ac:dyDescent="0.2">
      <c r="AC1690" s="33"/>
      <c r="AE1690" s="33"/>
      <c r="AF1690" s="33"/>
    </row>
    <row r="1691" spans="29:32" x14ac:dyDescent="0.2">
      <c r="AC1691" s="33"/>
      <c r="AE1691" s="33"/>
      <c r="AF1691" s="33"/>
    </row>
    <row r="1692" spans="29:32" x14ac:dyDescent="0.2">
      <c r="AC1692" s="33"/>
      <c r="AE1692" s="33"/>
      <c r="AF1692" s="33"/>
    </row>
    <row r="1693" spans="29:32" x14ac:dyDescent="0.2">
      <c r="AC1693" s="33"/>
      <c r="AE1693" s="33"/>
      <c r="AF1693" s="33"/>
    </row>
    <row r="1694" spans="29:32" x14ac:dyDescent="0.2">
      <c r="AC1694" s="33"/>
      <c r="AE1694" s="33"/>
      <c r="AF1694" s="33"/>
    </row>
    <row r="1695" spans="29:32" x14ac:dyDescent="0.2">
      <c r="AC1695" s="33"/>
      <c r="AE1695" s="33"/>
      <c r="AF1695" s="33"/>
    </row>
    <row r="1696" spans="29:32" x14ac:dyDescent="0.2">
      <c r="AC1696" s="33"/>
      <c r="AE1696" s="33"/>
      <c r="AF1696" s="33"/>
    </row>
    <row r="1697" spans="29:32" x14ac:dyDescent="0.2">
      <c r="AC1697" s="33"/>
      <c r="AE1697" s="33"/>
      <c r="AF1697" s="33"/>
    </row>
    <row r="1698" spans="29:32" x14ac:dyDescent="0.2">
      <c r="AC1698" s="33"/>
      <c r="AE1698" s="33"/>
      <c r="AF1698" s="33"/>
    </row>
    <row r="1699" spans="29:32" x14ac:dyDescent="0.2">
      <c r="AC1699" s="33"/>
      <c r="AE1699" s="33"/>
      <c r="AF1699" s="33"/>
    </row>
    <row r="1700" spans="29:32" x14ac:dyDescent="0.2">
      <c r="AC1700" s="33"/>
      <c r="AE1700" s="33"/>
      <c r="AF1700" s="33"/>
    </row>
    <row r="1701" spans="29:32" x14ac:dyDescent="0.2">
      <c r="AC1701" s="33"/>
      <c r="AE1701" s="33"/>
      <c r="AF1701" s="33"/>
    </row>
    <row r="1702" spans="29:32" x14ac:dyDescent="0.2">
      <c r="AC1702" s="33"/>
      <c r="AE1702" s="33"/>
      <c r="AF1702" s="33"/>
    </row>
    <row r="1703" spans="29:32" x14ac:dyDescent="0.2">
      <c r="AC1703" s="33"/>
      <c r="AE1703" s="33"/>
      <c r="AF1703" s="33"/>
    </row>
    <row r="1704" spans="29:32" x14ac:dyDescent="0.2">
      <c r="AC1704" s="33"/>
      <c r="AE1704" s="33"/>
      <c r="AF1704" s="33"/>
    </row>
    <row r="1705" spans="29:32" x14ac:dyDescent="0.2">
      <c r="AC1705" s="33"/>
      <c r="AE1705" s="33"/>
      <c r="AF1705" s="33"/>
    </row>
    <row r="1706" spans="29:32" x14ac:dyDescent="0.2">
      <c r="AC1706" s="33"/>
      <c r="AE1706" s="33"/>
      <c r="AF1706" s="33"/>
    </row>
    <row r="1707" spans="29:32" x14ac:dyDescent="0.2">
      <c r="AC1707" s="33"/>
      <c r="AE1707" s="33"/>
      <c r="AF1707" s="33"/>
    </row>
    <row r="1708" spans="29:32" x14ac:dyDescent="0.2">
      <c r="AC1708" s="33"/>
      <c r="AE1708" s="33"/>
      <c r="AF1708" s="33"/>
    </row>
    <row r="1709" spans="29:32" x14ac:dyDescent="0.2">
      <c r="AC1709" s="33"/>
      <c r="AE1709" s="33"/>
      <c r="AF1709" s="33"/>
    </row>
    <row r="1710" spans="29:32" x14ac:dyDescent="0.2">
      <c r="AC1710" s="33"/>
      <c r="AE1710" s="33"/>
      <c r="AF1710" s="33"/>
    </row>
    <row r="1711" spans="29:32" x14ac:dyDescent="0.2">
      <c r="AC1711" s="33"/>
      <c r="AE1711" s="33"/>
      <c r="AF1711" s="33"/>
    </row>
    <row r="1712" spans="29:32" x14ac:dyDescent="0.2">
      <c r="AC1712" s="33"/>
      <c r="AE1712" s="33"/>
      <c r="AF1712" s="33"/>
    </row>
    <row r="1713" spans="29:32" x14ac:dyDescent="0.2">
      <c r="AC1713" s="33"/>
      <c r="AE1713" s="33"/>
      <c r="AF1713" s="33"/>
    </row>
    <row r="1714" spans="29:32" x14ac:dyDescent="0.2">
      <c r="AC1714" s="33"/>
      <c r="AE1714" s="33"/>
      <c r="AF1714" s="33"/>
    </row>
    <row r="1715" spans="29:32" x14ac:dyDescent="0.2">
      <c r="AC1715" s="33"/>
      <c r="AE1715" s="33"/>
      <c r="AF1715" s="33"/>
    </row>
    <row r="1716" spans="29:32" x14ac:dyDescent="0.2">
      <c r="AC1716" s="33"/>
      <c r="AE1716" s="33"/>
      <c r="AF1716" s="33"/>
    </row>
    <row r="1717" spans="29:32" x14ac:dyDescent="0.2">
      <c r="AC1717" s="33"/>
      <c r="AE1717" s="33"/>
      <c r="AF1717" s="33"/>
    </row>
    <row r="1718" spans="29:32" x14ac:dyDescent="0.2">
      <c r="AC1718" s="33"/>
      <c r="AE1718" s="33"/>
      <c r="AF1718" s="33"/>
    </row>
    <row r="1719" spans="29:32" x14ac:dyDescent="0.2">
      <c r="AC1719" s="33"/>
      <c r="AE1719" s="33"/>
      <c r="AF1719" s="33"/>
    </row>
    <row r="1720" spans="29:32" x14ac:dyDescent="0.2">
      <c r="AC1720" s="33"/>
      <c r="AE1720" s="33"/>
      <c r="AF1720" s="33"/>
    </row>
    <row r="1721" spans="29:32" x14ac:dyDescent="0.2">
      <c r="AC1721" s="33"/>
      <c r="AE1721" s="33"/>
      <c r="AF1721" s="33"/>
    </row>
    <row r="1722" spans="29:32" x14ac:dyDescent="0.2">
      <c r="AC1722" s="33"/>
      <c r="AE1722" s="33"/>
      <c r="AF1722" s="33"/>
    </row>
    <row r="1723" spans="29:32" x14ac:dyDescent="0.2">
      <c r="AC1723" s="33"/>
      <c r="AE1723" s="33"/>
      <c r="AF1723" s="33"/>
    </row>
    <row r="1724" spans="29:32" x14ac:dyDescent="0.2">
      <c r="AC1724" s="33"/>
      <c r="AE1724" s="33"/>
      <c r="AF1724" s="33"/>
    </row>
    <row r="1725" spans="29:32" x14ac:dyDescent="0.2">
      <c r="AC1725" s="33"/>
      <c r="AE1725" s="33"/>
      <c r="AF1725" s="33"/>
    </row>
    <row r="1726" spans="29:32" x14ac:dyDescent="0.2">
      <c r="AC1726" s="33"/>
      <c r="AE1726" s="33"/>
      <c r="AF1726" s="33"/>
    </row>
    <row r="1727" spans="29:32" x14ac:dyDescent="0.2">
      <c r="AC1727" s="33"/>
      <c r="AE1727" s="33"/>
      <c r="AF1727" s="33"/>
    </row>
    <row r="1728" spans="29:32" x14ac:dyDescent="0.2">
      <c r="AC1728" s="33"/>
      <c r="AE1728" s="33"/>
      <c r="AF1728" s="33"/>
    </row>
    <row r="1729" spans="29:32" x14ac:dyDescent="0.2">
      <c r="AC1729" s="33"/>
      <c r="AE1729" s="33"/>
      <c r="AF1729" s="33"/>
    </row>
    <row r="1730" spans="29:32" x14ac:dyDescent="0.2">
      <c r="AC1730" s="33"/>
      <c r="AE1730" s="33"/>
      <c r="AF1730" s="33"/>
    </row>
    <row r="1731" spans="29:32" x14ac:dyDescent="0.2">
      <c r="AC1731" s="33"/>
      <c r="AE1731" s="33"/>
      <c r="AF1731" s="33"/>
    </row>
    <row r="1732" spans="29:32" x14ac:dyDescent="0.2">
      <c r="AC1732" s="33"/>
      <c r="AE1732" s="33"/>
      <c r="AF1732" s="33"/>
    </row>
    <row r="1733" spans="29:32" x14ac:dyDescent="0.2">
      <c r="AC1733" s="33"/>
      <c r="AE1733" s="33"/>
      <c r="AF1733" s="33"/>
    </row>
    <row r="1734" spans="29:32" x14ac:dyDescent="0.2">
      <c r="AC1734" s="33"/>
      <c r="AE1734" s="33"/>
      <c r="AF1734" s="33"/>
    </row>
    <row r="1735" spans="29:32" x14ac:dyDescent="0.2">
      <c r="AC1735" s="33"/>
      <c r="AE1735" s="33"/>
      <c r="AF1735" s="33"/>
    </row>
    <row r="1736" spans="29:32" x14ac:dyDescent="0.2">
      <c r="AC1736" s="33"/>
      <c r="AE1736" s="33"/>
      <c r="AF1736" s="33"/>
    </row>
    <row r="1737" spans="29:32" x14ac:dyDescent="0.2">
      <c r="AC1737" s="33"/>
      <c r="AE1737" s="33"/>
      <c r="AF1737" s="33"/>
    </row>
    <row r="1738" spans="29:32" x14ac:dyDescent="0.2">
      <c r="AC1738" s="33"/>
      <c r="AE1738" s="33"/>
      <c r="AF1738" s="33"/>
    </row>
    <row r="1739" spans="29:32" x14ac:dyDescent="0.2">
      <c r="AC1739" s="33"/>
      <c r="AE1739" s="33"/>
      <c r="AF1739" s="33"/>
    </row>
    <row r="1740" spans="29:32" x14ac:dyDescent="0.2">
      <c r="AC1740" s="33"/>
      <c r="AE1740" s="33"/>
      <c r="AF1740" s="33"/>
    </row>
    <row r="1741" spans="29:32" x14ac:dyDescent="0.2">
      <c r="AC1741" s="33"/>
      <c r="AE1741" s="33"/>
      <c r="AF1741" s="33"/>
    </row>
    <row r="1742" spans="29:32" x14ac:dyDescent="0.2">
      <c r="AC1742" s="33"/>
      <c r="AE1742" s="33"/>
      <c r="AF1742" s="33"/>
    </row>
    <row r="1743" spans="29:32" x14ac:dyDescent="0.2">
      <c r="AC1743" s="33"/>
      <c r="AE1743" s="33"/>
      <c r="AF1743" s="33"/>
    </row>
    <row r="1744" spans="29:32" x14ac:dyDescent="0.2">
      <c r="AC1744" s="33"/>
      <c r="AE1744" s="33"/>
      <c r="AF1744" s="33"/>
    </row>
    <row r="1745" spans="29:32" x14ac:dyDescent="0.2">
      <c r="AC1745" s="33"/>
      <c r="AE1745" s="33"/>
      <c r="AF1745" s="33"/>
    </row>
    <row r="1746" spans="29:32" x14ac:dyDescent="0.2">
      <c r="AC1746" s="33"/>
      <c r="AE1746" s="33"/>
      <c r="AF1746" s="33"/>
    </row>
    <row r="1747" spans="29:32" x14ac:dyDescent="0.2">
      <c r="AC1747" s="33"/>
      <c r="AE1747" s="33"/>
      <c r="AF1747" s="33"/>
    </row>
    <row r="1748" spans="29:32" x14ac:dyDescent="0.2">
      <c r="AC1748" s="33"/>
      <c r="AE1748" s="33"/>
      <c r="AF1748" s="33"/>
    </row>
    <row r="1749" spans="29:32" x14ac:dyDescent="0.2">
      <c r="AC1749" s="33"/>
      <c r="AE1749" s="33"/>
      <c r="AF1749" s="33"/>
    </row>
    <row r="1750" spans="29:32" x14ac:dyDescent="0.2">
      <c r="AC1750" s="33"/>
      <c r="AE1750" s="33"/>
      <c r="AF1750" s="33"/>
    </row>
    <row r="1751" spans="29:32" x14ac:dyDescent="0.2">
      <c r="AC1751" s="33"/>
      <c r="AE1751" s="33"/>
      <c r="AF1751" s="33"/>
    </row>
    <row r="1752" spans="29:32" x14ac:dyDescent="0.2">
      <c r="AC1752" s="33"/>
      <c r="AE1752" s="33"/>
      <c r="AF1752" s="33"/>
    </row>
    <row r="1753" spans="29:32" x14ac:dyDescent="0.2">
      <c r="AC1753" s="33"/>
      <c r="AE1753" s="33"/>
      <c r="AF1753" s="33"/>
    </row>
    <row r="1754" spans="29:32" x14ac:dyDescent="0.2">
      <c r="AC1754" s="33"/>
      <c r="AE1754" s="33"/>
      <c r="AF1754" s="33"/>
    </row>
    <row r="1755" spans="29:32" x14ac:dyDescent="0.2">
      <c r="AC1755" s="33"/>
      <c r="AE1755" s="33"/>
      <c r="AF1755" s="33"/>
    </row>
    <row r="1756" spans="29:32" x14ac:dyDescent="0.2">
      <c r="AC1756" s="33"/>
      <c r="AE1756" s="33"/>
      <c r="AF1756" s="33"/>
    </row>
    <row r="1757" spans="29:32" x14ac:dyDescent="0.2">
      <c r="AC1757" s="33"/>
      <c r="AE1757" s="33"/>
      <c r="AF1757" s="33"/>
    </row>
    <row r="1758" spans="29:32" x14ac:dyDescent="0.2">
      <c r="AC1758" s="33"/>
      <c r="AE1758" s="33"/>
      <c r="AF1758" s="33"/>
    </row>
    <row r="1759" spans="29:32" x14ac:dyDescent="0.2">
      <c r="AC1759" s="33"/>
      <c r="AE1759" s="33"/>
      <c r="AF1759" s="33"/>
    </row>
    <row r="1760" spans="29:32" x14ac:dyDescent="0.2">
      <c r="AC1760" s="33"/>
      <c r="AE1760" s="33"/>
      <c r="AF1760" s="33"/>
    </row>
    <row r="1761" spans="29:32" x14ac:dyDescent="0.2">
      <c r="AC1761" s="33"/>
      <c r="AE1761" s="33"/>
      <c r="AF1761" s="33"/>
    </row>
    <row r="1762" spans="29:32" x14ac:dyDescent="0.2">
      <c r="AC1762" s="33"/>
      <c r="AE1762" s="33"/>
      <c r="AF1762" s="33"/>
    </row>
    <row r="1763" spans="29:32" x14ac:dyDescent="0.2">
      <c r="AC1763" s="33"/>
      <c r="AE1763" s="33"/>
      <c r="AF1763" s="33"/>
    </row>
    <row r="1764" spans="29:32" x14ac:dyDescent="0.2">
      <c r="AC1764" s="33"/>
      <c r="AE1764" s="33"/>
      <c r="AF1764" s="33"/>
    </row>
    <row r="1765" spans="29:32" x14ac:dyDescent="0.2">
      <c r="AC1765" s="33"/>
      <c r="AE1765" s="33"/>
      <c r="AF1765" s="33"/>
    </row>
    <row r="1766" spans="29:32" x14ac:dyDescent="0.2">
      <c r="AC1766" s="33"/>
      <c r="AE1766" s="33"/>
      <c r="AF1766" s="33"/>
    </row>
    <row r="1767" spans="29:32" x14ac:dyDescent="0.2">
      <c r="AC1767" s="33"/>
      <c r="AE1767" s="33"/>
      <c r="AF1767" s="33"/>
    </row>
    <row r="1768" spans="29:32" x14ac:dyDescent="0.2">
      <c r="AC1768" s="33"/>
      <c r="AE1768" s="33"/>
      <c r="AF1768" s="33"/>
    </row>
    <row r="1769" spans="29:32" x14ac:dyDescent="0.2">
      <c r="AC1769" s="33"/>
      <c r="AE1769" s="33"/>
      <c r="AF1769" s="33"/>
    </row>
    <row r="1770" spans="29:32" x14ac:dyDescent="0.2">
      <c r="AC1770" s="33"/>
      <c r="AE1770" s="33"/>
      <c r="AF1770" s="33"/>
    </row>
    <row r="1771" spans="29:32" x14ac:dyDescent="0.2">
      <c r="AC1771" s="33"/>
      <c r="AE1771" s="33"/>
      <c r="AF1771" s="33"/>
    </row>
    <row r="1772" spans="29:32" x14ac:dyDescent="0.2">
      <c r="AC1772" s="33"/>
      <c r="AE1772" s="33"/>
      <c r="AF1772" s="33"/>
    </row>
    <row r="1773" spans="29:32" x14ac:dyDescent="0.2">
      <c r="AC1773" s="33"/>
      <c r="AE1773" s="33"/>
      <c r="AF1773" s="33"/>
    </row>
    <row r="1774" spans="29:32" x14ac:dyDescent="0.2">
      <c r="AC1774" s="33"/>
      <c r="AE1774" s="33"/>
      <c r="AF1774" s="33"/>
    </row>
    <row r="1775" spans="29:32" x14ac:dyDescent="0.2">
      <c r="AC1775" s="33"/>
      <c r="AE1775" s="33"/>
      <c r="AF1775" s="33"/>
    </row>
    <row r="1776" spans="29:32" x14ac:dyDescent="0.2">
      <c r="AC1776" s="33"/>
      <c r="AE1776" s="33"/>
      <c r="AF1776" s="33"/>
    </row>
    <row r="1777" spans="29:32" x14ac:dyDescent="0.2">
      <c r="AC1777" s="33"/>
      <c r="AE1777" s="33"/>
      <c r="AF1777" s="33"/>
    </row>
    <row r="1778" spans="29:32" x14ac:dyDescent="0.2">
      <c r="AC1778" s="33"/>
      <c r="AE1778" s="33"/>
      <c r="AF1778" s="33"/>
    </row>
    <row r="1779" spans="29:32" x14ac:dyDescent="0.2">
      <c r="AC1779" s="33"/>
      <c r="AE1779" s="33"/>
      <c r="AF1779" s="33"/>
    </row>
    <row r="1780" spans="29:32" x14ac:dyDescent="0.2">
      <c r="AC1780" s="33"/>
      <c r="AE1780" s="33"/>
      <c r="AF1780" s="33"/>
    </row>
    <row r="1781" spans="29:32" x14ac:dyDescent="0.2">
      <c r="AC1781" s="33"/>
      <c r="AE1781" s="33"/>
      <c r="AF1781" s="33"/>
    </row>
    <row r="1782" spans="29:32" x14ac:dyDescent="0.2">
      <c r="AC1782" s="33"/>
      <c r="AE1782" s="33"/>
      <c r="AF1782" s="33"/>
    </row>
    <row r="1783" spans="29:32" x14ac:dyDescent="0.2">
      <c r="AC1783" s="33"/>
      <c r="AE1783" s="33"/>
      <c r="AF1783" s="33"/>
    </row>
    <row r="1784" spans="29:32" x14ac:dyDescent="0.2">
      <c r="AC1784" s="33"/>
      <c r="AE1784" s="33"/>
      <c r="AF1784" s="33"/>
    </row>
    <row r="1785" spans="29:32" x14ac:dyDescent="0.2">
      <c r="AC1785" s="33"/>
      <c r="AE1785" s="33"/>
      <c r="AF1785" s="33"/>
    </row>
    <row r="1786" spans="29:32" x14ac:dyDescent="0.2">
      <c r="AC1786" s="33"/>
      <c r="AE1786" s="33"/>
      <c r="AF1786" s="33"/>
    </row>
    <row r="1787" spans="29:32" x14ac:dyDescent="0.2">
      <c r="AC1787" s="33"/>
      <c r="AE1787" s="33"/>
      <c r="AF1787" s="33"/>
    </row>
    <row r="1788" spans="29:32" x14ac:dyDescent="0.2">
      <c r="AC1788" s="33"/>
      <c r="AE1788" s="33"/>
      <c r="AF1788" s="33"/>
    </row>
    <row r="1789" spans="29:32" x14ac:dyDescent="0.2">
      <c r="AC1789" s="33"/>
      <c r="AE1789" s="33"/>
      <c r="AF1789" s="33"/>
    </row>
    <row r="1790" spans="29:32" x14ac:dyDescent="0.2">
      <c r="AC1790" s="33"/>
      <c r="AE1790" s="33"/>
      <c r="AF1790" s="33"/>
    </row>
    <row r="1791" spans="29:32" x14ac:dyDescent="0.2">
      <c r="AC1791" s="33"/>
      <c r="AE1791" s="33"/>
      <c r="AF1791" s="33"/>
    </row>
    <row r="1792" spans="29:32" x14ac:dyDescent="0.2">
      <c r="AC1792" s="33"/>
      <c r="AE1792" s="33"/>
      <c r="AF1792" s="33"/>
    </row>
    <row r="1793" spans="29:32" x14ac:dyDescent="0.2">
      <c r="AC1793" s="33"/>
      <c r="AE1793" s="33"/>
      <c r="AF1793" s="33"/>
    </row>
    <row r="1794" spans="29:32" x14ac:dyDescent="0.2">
      <c r="AC1794" s="33"/>
      <c r="AE1794" s="33"/>
      <c r="AF1794" s="33"/>
    </row>
    <row r="1795" spans="29:32" x14ac:dyDescent="0.2">
      <c r="AC1795" s="33"/>
      <c r="AE1795" s="33"/>
      <c r="AF1795" s="33"/>
    </row>
    <row r="1796" spans="29:32" x14ac:dyDescent="0.2">
      <c r="AC1796" s="33"/>
      <c r="AE1796" s="33"/>
      <c r="AF1796" s="33"/>
    </row>
    <row r="1797" spans="29:32" x14ac:dyDescent="0.2">
      <c r="AC1797" s="33"/>
      <c r="AE1797" s="33"/>
      <c r="AF1797" s="33"/>
    </row>
    <row r="1798" spans="29:32" x14ac:dyDescent="0.2">
      <c r="AC1798" s="33"/>
      <c r="AE1798" s="33"/>
      <c r="AF1798" s="33"/>
    </row>
    <row r="1799" spans="29:32" x14ac:dyDescent="0.2">
      <c r="AC1799" s="33"/>
      <c r="AE1799" s="33"/>
      <c r="AF1799" s="33"/>
    </row>
    <row r="1800" spans="29:32" x14ac:dyDescent="0.2">
      <c r="AC1800" s="33"/>
      <c r="AE1800" s="33"/>
      <c r="AF1800" s="33"/>
    </row>
    <row r="1801" spans="29:32" x14ac:dyDescent="0.2">
      <c r="AC1801" s="33"/>
      <c r="AE1801" s="33"/>
      <c r="AF1801" s="33"/>
    </row>
    <row r="1802" spans="29:32" x14ac:dyDescent="0.2">
      <c r="AC1802" s="33"/>
      <c r="AE1802" s="33"/>
      <c r="AF1802" s="33"/>
    </row>
    <row r="1803" spans="29:32" x14ac:dyDescent="0.2">
      <c r="AC1803" s="33"/>
      <c r="AE1803" s="33"/>
      <c r="AF1803" s="33"/>
    </row>
    <row r="1804" spans="29:32" x14ac:dyDescent="0.2">
      <c r="AC1804" s="33"/>
      <c r="AE1804" s="33"/>
      <c r="AF1804" s="33"/>
    </row>
    <row r="1805" spans="29:32" x14ac:dyDescent="0.2">
      <c r="AC1805" s="33"/>
      <c r="AE1805" s="33"/>
      <c r="AF1805" s="33"/>
    </row>
    <row r="1806" spans="29:32" x14ac:dyDescent="0.2">
      <c r="AC1806" s="33"/>
      <c r="AE1806" s="33"/>
      <c r="AF1806" s="33"/>
    </row>
    <row r="1807" spans="29:32" x14ac:dyDescent="0.2">
      <c r="AC1807" s="33"/>
      <c r="AE1807" s="33"/>
      <c r="AF1807" s="33"/>
    </row>
    <row r="1808" spans="29:32" x14ac:dyDescent="0.2">
      <c r="AC1808" s="33"/>
      <c r="AE1808" s="33"/>
      <c r="AF1808" s="33"/>
    </row>
    <row r="1809" spans="29:32" x14ac:dyDescent="0.2">
      <c r="AC1809" s="33"/>
      <c r="AE1809" s="33"/>
      <c r="AF1809" s="33"/>
    </row>
    <row r="1810" spans="29:32" x14ac:dyDescent="0.2">
      <c r="AC1810" s="33"/>
      <c r="AE1810" s="33"/>
      <c r="AF1810" s="33"/>
    </row>
    <row r="1811" spans="29:32" x14ac:dyDescent="0.2">
      <c r="AC1811" s="33"/>
      <c r="AE1811" s="33"/>
      <c r="AF1811" s="33"/>
    </row>
    <row r="1812" spans="29:32" x14ac:dyDescent="0.2">
      <c r="AC1812" s="33"/>
      <c r="AE1812" s="33"/>
      <c r="AF1812" s="33"/>
    </row>
    <row r="1813" spans="29:32" x14ac:dyDescent="0.2">
      <c r="AC1813" s="33"/>
      <c r="AE1813" s="33"/>
      <c r="AF1813" s="33"/>
    </row>
    <row r="1814" spans="29:32" x14ac:dyDescent="0.2">
      <c r="AC1814" s="33"/>
      <c r="AE1814" s="33"/>
      <c r="AF1814" s="33"/>
    </row>
    <row r="1815" spans="29:32" x14ac:dyDescent="0.2">
      <c r="AC1815" s="33"/>
      <c r="AE1815" s="33"/>
      <c r="AF1815" s="33"/>
    </row>
    <row r="1816" spans="29:32" x14ac:dyDescent="0.2">
      <c r="AC1816" s="33"/>
      <c r="AE1816" s="33"/>
      <c r="AF1816" s="33"/>
    </row>
    <row r="1817" spans="29:32" x14ac:dyDescent="0.2">
      <c r="AC1817" s="33"/>
      <c r="AE1817" s="33"/>
      <c r="AF1817" s="33"/>
    </row>
    <row r="1818" spans="29:32" x14ac:dyDescent="0.2">
      <c r="AC1818" s="33"/>
      <c r="AE1818" s="33"/>
      <c r="AF1818" s="33"/>
    </row>
    <row r="1819" spans="29:32" x14ac:dyDescent="0.2">
      <c r="AC1819" s="33"/>
      <c r="AE1819" s="33"/>
      <c r="AF1819" s="33"/>
    </row>
    <row r="1820" spans="29:32" x14ac:dyDescent="0.2">
      <c r="AC1820" s="33"/>
      <c r="AE1820" s="33"/>
      <c r="AF1820" s="33"/>
    </row>
    <row r="1821" spans="29:32" x14ac:dyDescent="0.2">
      <c r="AC1821" s="33"/>
      <c r="AE1821" s="33"/>
      <c r="AF1821" s="33"/>
    </row>
    <row r="1822" spans="29:32" x14ac:dyDescent="0.2">
      <c r="AC1822" s="33"/>
      <c r="AE1822" s="33"/>
      <c r="AF1822" s="33"/>
    </row>
    <row r="1823" spans="29:32" x14ac:dyDescent="0.2">
      <c r="AC1823" s="33"/>
      <c r="AE1823" s="33"/>
      <c r="AF1823" s="33"/>
    </row>
    <row r="1824" spans="29:32" x14ac:dyDescent="0.2">
      <c r="AC1824" s="33"/>
      <c r="AE1824" s="33"/>
      <c r="AF1824" s="33"/>
    </row>
    <row r="1825" spans="29:32" x14ac:dyDescent="0.2">
      <c r="AC1825" s="33"/>
      <c r="AE1825" s="33"/>
      <c r="AF1825" s="33"/>
    </row>
    <row r="1826" spans="29:32" x14ac:dyDescent="0.2">
      <c r="AC1826" s="33"/>
      <c r="AE1826" s="33"/>
      <c r="AF1826" s="33"/>
    </row>
    <row r="1827" spans="29:32" x14ac:dyDescent="0.2">
      <c r="AC1827" s="33"/>
      <c r="AE1827" s="33"/>
      <c r="AF1827" s="33"/>
    </row>
    <row r="1828" spans="29:32" x14ac:dyDescent="0.2">
      <c r="AC1828" s="33"/>
      <c r="AE1828" s="33"/>
      <c r="AF1828" s="33"/>
    </row>
    <row r="1829" spans="29:32" x14ac:dyDescent="0.2">
      <c r="AC1829" s="33"/>
      <c r="AE1829" s="33"/>
      <c r="AF1829" s="33"/>
    </row>
    <row r="1830" spans="29:32" x14ac:dyDescent="0.2">
      <c r="AC1830" s="33"/>
      <c r="AE1830" s="33"/>
      <c r="AF1830" s="33"/>
    </row>
    <row r="1831" spans="29:32" x14ac:dyDescent="0.2">
      <c r="AC1831" s="33"/>
      <c r="AE1831" s="33"/>
      <c r="AF1831" s="33"/>
    </row>
    <row r="1832" spans="29:32" x14ac:dyDescent="0.2">
      <c r="AC1832" s="33"/>
      <c r="AE1832" s="33"/>
      <c r="AF1832" s="33"/>
    </row>
    <row r="1833" spans="29:32" x14ac:dyDescent="0.2">
      <c r="AC1833" s="33"/>
      <c r="AE1833" s="33"/>
      <c r="AF1833" s="33"/>
    </row>
    <row r="1834" spans="29:32" x14ac:dyDescent="0.2">
      <c r="AC1834" s="33"/>
      <c r="AE1834" s="33"/>
      <c r="AF1834" s="33"/>
    </row>
    <row r="1835" spans="29:32" x14ac:dyDescent="0.2">
      <c r="AC1835" s="33"/>
      <c r="AE1835" s="33"/>
      <c r="AF1835" s="33"/>
    </row>
    <row r="1836" spans="29:32" x14ac:dyDescent="0.2">
      <c r="AC1836" s="33"/>
      <c r="AE1836" s="33"/>
      <c r="AF1836" s="33"/>
    </row>
    <row r="1837" spans="29:32" x14ac:dyDescent="0.2">
      <c r="AC1837" s="33"/>
      <c r="AE1837" s="33"/>
      <c r="AF1837" s="33"/>
    </row>
    <row r="1838" spans="29:32" x14ac:dyDescent="0.2">
      <c r="AC1838" s="33"/>
      <c r="AE1838" s="33"/>
      <c r="AF1838" s="33"/>
    </row>
    <row r="1839" spans="29:32" x14ac:dyDescent="0.2">
      <c r="AC1839" s="33"/>
      <c r="AE1839" s="33"/>
      <c r="AF1839" s="33"/>
    </row>
    <row r="1840" spans="29:32" x14ac:dyDescent="0.2">
      <c r="AC1840" s="33"/>
      <c r="AE1840" s="33"/>
      <c r="AF1840" s="33"/>
    </row>
    <row r="1841" spans="29:32" x14ac:dyDescent="0.2">
      <c r="AC1841" s="33"/>
      <c r="AE1841" s="33"/>
      <c r="AF1841" s="33"/>
    </row>
    <row r="1842" spans="29:32" x14ac:dyDescent="0.2">
      <c r="AC1842" s="33"/>
      <c r="AE1842" s="33"/>
      <c r="AF1842" s="33"/>
    </row>
    <row r="1843" spans="29:32" x14ac:dyDescent="0.2">
      <c r="AC1843" s="33"/>
      <c r="AE1843" s="33"/>
      <c r="AF1843" s="33"/>
    </row>
    <row r="1844" spans="29:32" x14ac:dyDescent="0.2">
      <c r="AC1844" s="33"/>
      <c r="AE1844" s="33"/>
      <c r="AF1844" s="33"/>
    </row>
    <row r="1845" spans="29:32" x14ac:dyDescent="0.2">
      <c r="AC1845" s="33"/>
      <c r="AE1845" s="33"/>
      <c r="AF1845" s="33"/>
    </row>
    <row r="1846" spans="29:32" x14ac:dyDescent="0.2">
      <c r="AC1846" s="33"/>
      <c r="AE1846" s="33"/>
      <c r="AF1846" s="33"/>
    </row>
    <row r="1847" spans="29:32" x14ac:dyDescent="0.2">
      <c r="AC1847" s="33"/>
      <c r="AE1847" s="33"/>
      <c r="AF1847" s="33"/>
    </row>
    <row r="1848" spans="29:32" x14ac:dyDescent="0.2">
      <c r="AC1848" s="33"/>
      <c r="AE1848" s="33"/>
      <c r="AF1848" s="33"/>
    </row>
    <row r="1849" spans="29:32" x14ac:dyDescent="0.2">
      <c r="AC1849" s="33"/>
      <c r="AE1849" s="33"/>
      <c r="AF1849" s="33"/>
    </row>
    <row r="1850" spans="29:32" x14ac:dyDescent="0.2">
      <c r="AC1850" s="33"/>
      <c r="AE1850" s="33"/>
      <c r="AF1850" s="33"/>
    </row>
    <row r="1851" spans="29:32" x14ac:dyDescent="0.2">
      <c r="AC1851" s="33"/>
      <c r="AE1851" s="33"/>
      <c r="AF1851" s="33"/>
    </row>
    <row r="1852" spans="29:32" x14ac:dyDescent="0.2">
      <c r="AC1852" s="33"/>
      <c r="AE1852" s="33"/>
      <c r="AF1852" s="33"/>
    </row>
    <row r="1853" spans="29:32" x14ac:dyDescent="0.2">
      <c r="AC1853" s="33"/>
      <c r="AE1853" s="33"/>
      <c r="AF1853" s="33"/>
    </row>
    <row r="1854" spans="29:32" x14ac:dyDescent="0.2">
      <c r="AC1854" s="33"/>
      <c r="AE1854" s="33"/>
      <c r="AF1854" s="33"/>
    </row>
    <row r="1855" spans="29:32" x14ac:dyDescent="0.2">
      <c r="AC1855" s="33"/>
      <c r="AE1855" s="33"/>
      <c r="AF1855" s="33"/>
    </row>
    <row r="1856" spans="29:32" x14ac:dyDescent="0.2">
      <c r="AC1856" s="33"/>
      <c r="AE1856" s="33"/>
      <c r="AF1856" s="33"/>
    </row>
    <row r="1857" spans="29:32" x14ac:dyDescent="0.2">
      <c r="AC1857" s="33"/>
      <c r="AE1857" s="33"/>
      <c r="AF1857" s="33"/>
    </row>
    <row r="1858" spans="29:32" x14ac:dyDescent="0.2">
      <c r="AC1858" s="33"/>
      <c r="AE1858" s="33"/>
      <c r="AF1858" s="33"/>
    </row>
    <row r="1859" spans="29:32" x14ac:dyDescent="0.2">
      <c r="AC1859" s="33"/>
      <c r="AE1859" s="33"/>
      <c r="AF1859" s="33"/>
    </row>
    <row r="1860" spans="29:32" x14ac:dyDescent="0.2">
      <c r="AC1860" s="33"/>
      <c r="AE1860" s="33"/>
      <c r="AF1860" s="33"/>
    </row>
    <row r="1861" spans="29:32" x14ac:dyDescent="0.2">
      <c r="AC1861" s="33"/>
      <c r="AE1861" s="33"/>
      <c r="AF1861" s="33"/>
    </row>
    <row r="1862" spans="29:32" x14ac:dyDescent="0.2">
      <c r="AC1862" s="33"/>
      <c r="AE1862" s="33"/>
      <c r="AF1862" s="33"/>
    </row>
    <row r="1863" spans="29:32" x14ac:dyDescent="0.2">
      <c r="AC1863" s="33"/>
      <c r="AE1863" s="33"/>
      <c r="AF1863" s="33"/>
    </row>
    <row r="1864" spans="29:32" x14ac:dyDescent="0.2">
      <c r="AC1864" s="33"/>
      <c r="AE1864" s="33"/>
      <c r="AF1864" s="33"/>
    </row>
    <row r="1865" spans="29:32" x14ac:dyDescent="0.2">
      <c r="AC1865" s="33"/>
      <c r="AE1865" s="33"/>
      <c r="AF1865" s="33"/>
    </row>
    <row r="1866" spans="29:32" x14ac:dyDescent="0.2">
      <c r="AC1866" s="33"/>
      <c r="AE1866" s="33"/>
      <c r="AF1866" s="33"/>
    </row>
    <row r="1867" spans="29:32" x14ac:dyDescent="0.2">
      <c r="AC1867" s="33"/>
      <c r="AE1867" s="33"/>
      <c r="AF1867" s="33"/>
    </row>
    <row r="1868" spans="29:32" x14ac:dyDescent="0.2">
      <c r="AC1868" s="33"/>
      <c r="AE1868" s="33"/>
      <c r="AF1868" s="33"/>
    </row>
    <row r="1869" spans="29:32" x14ac:dyDescent="0.2">
      <c r="AC1869" s="33"/>
      <c r="AE1869" s="33"/>
      <c r="AF1869" s="33"/>
    </row>
    <row r="1870" spans="29:32" x14ac:dyDescent="0.2">
      <c r="AC1870" s="33"/>
      <c r="AE1870" s="33"/>
      <c r="AF1870" s="33"/>
    </row>
    <row r="1871" spans="29:32" x14ac:dyDescent="0.2">
      <c r="AC1871" s="33"/>
      <c r="AE1871" s="33"/>
      <c r="AF1871" s="33"/>
    </row>
    <row r="1872" spans="29:32" x14ac:dyDescent="0.2">
      <c r="AC1872" s="33"/>
      <c r="AE1872" s="33"/>
      <c r="AF1872" s="33"/>
    </row>
    <row r="1873" spans="29:32" x14ac:dyDescent="0.2">
      <c r="AC1873" s="33"/>
      <c r="AE1873" s="33"/>
      <c r="AF1873" s="33"/>
    </row>
    <row r="1874" spans="29:32" x14ac:dyDescent="0.2">
      <c r="AC1874" s="33"/>
      <c r="AE1874" s="33"/>
      <c r="AF1874" s="33"/>
    </row>
    <row r="1875" spans="29:32" x14ac:dyDescent="0.2">
      <c r="AC1875" s="33"/>
      <c r="AE1875" s="33"/>
      <c r="AF1875" s="33"/>
    </row>
    <row r="1876" spans="29:32" x14ac:dyDescent="0.2">
      <c r="AC1876" s="33"/>
      <c r="AE1876" s="33"/>
      <c r="AF1876" s="33"/>
    </row>
    <row r="1877" spans="29:32" x14ac:dyDescent="0.2">
      <c r="AC1877" s="33"/>
      <c r="AE1877" s="33"/>
      <c r="AF1877" s="33"/>
    </row>
    <row r="1878" spans="29:32" x14ac:dyDescent="0.2">
      <c r="AC1878" s="33"/>
      <c r="AE1878" s="33"/>
      <c r="AF1878" s="33"/>
    </row>
    <row r="1879" spans="29:32" x14ac:dyDescent="0.2">
      <c r="AC1879" s="33"/>
      <c r="AE1879" s="33"/>
      <c r="AF1879" s="33"/>
    </row>
    <row r="1880" spans="29:32" x14ac:dyDescent="0.2">
      <c r="AC1880" s="33"/>
      <c r="AE1880" s="33"/>
      <c r="AF1880" s="33"/>
    </row>
    <row r="1881" spans="29:32" x14ac:dyDescent="0.2">
      <c r="AC1881" s="33"/>
      <c r="AE1881" s="33"/>
      <c r="AF1881" s="33"/>
    </row>
    <row r="1882" spans="29:32" x14ac:dyDescent="0.2">
      <c r="AC1882" s="33"/>
      <c r="AE1882" s="33"/>
      <c r="AF1882" s="33"/>
    </row>
    <row r="1883" spans="29:32" x14ac:dyDescent="0.2">
      <c r="AC1883" s="33"/>
      <c r="AE1883" s="33"/>
      <c r="AF1883" s="33"/>
    </row>
    <row r="1884" spans="29:32" x14ac:dyDescent="0.2">
      <c r="AC1884" s="33"/>
      <c r="AE1884" s="33"/>
      <c r="AF1884" s="33"/>
    </row>
    <row r="1885" spans="29:32" x14ac:dyDescent="0.2">
      <c r="AC1885" s="33"/>
      <c r="AE1885" s="33"/>
      <c r="AF1885" s="33"/>
    </row>
    <row r="1886" spans="29:32" x14ac:dyDescent="0.2">
      <c r="AC1886" s="33"/>
      <c r="AE1886" s="33"/>
      <c r="AF1886" s="33"/>
    </row>
    <row r="1887" spans="29:32" x14ac:dyDescent="0.2">
      <c r="AC1887" s="33"/>
      <c r="AE1887" s="33"/>
      <c r="AF1887" s="33"/>
    </row>
    <row r="1888" spans="29:32" x14ac:dyDescent="0.2">
      <c r="AC1888" s="33"/>
      <c r="AE1888" s="33"/>
      <c r="AF1888" s="33"/>
    </row>
    <row r="1889" spans="29:32" x14ac:dyDescent="0.2">
      <c r="AC1889" s="33"/>
      <c r="AE1889" s="33"/>
      <c r="AF1889" s="33"/>
    </row>
    <row r="1890" spans="29:32" x14ac:dyDescent="0.2">
      <c r="AC1890" s="33"/>
      <c r="AE1890" s="33"/>
      <c r="AF1890" s="33"/>
    </row>
    <row r="1891" spans="29:32" x14ac:dyDescent="0.2">
      <c r="AC1891" s="33"/>
      <c r="AE1891" s="33"/>
      <c r="AF1891" s="33"/>
    </row>
    <row r="1892" spans="29:32" x14ac:dyDescent="0.2">
      <c r="AC1892" s="33"/>
      <c r="AE1892" s="33"/>
      <c r="AF1892" s="33"/>
    </row>
    <row r="1893" spans="29:32" x14ac:dyDescent="0.2">
      <c r="AC1893" s="33"/>
      <c r="AE1893" s="33"/>
      <c r="AF1893" s="33"/>
    </row>
    <row r="1894" spans="29:32" x14ac:dyDescent="0.2">
      <c r="AC1894" s="33"/>
      <c r="AE1894" s="33"/>
      <c r="AF1894" s="33"/>
    </row>
    <row r="1895" spans="29:32" x14ac:dyDescent="0.2">
      <c r="AC1895" s="33"/>
      <c r="AE1895" s="33"/>
      <c r="AF1895" s="33"/>
    </row>
    <row r="1896" spans="29:32" x14ac:dyDescent="0.2">
      <c r="AC1896" s="33"/>
      <c r="AE1896" s="33"/>
      <c r="AF1896" s="33"/>
    </row>
    <row r="1897" spans="29:32" x14ac:dyDescent="0.2">
      <c r="AC1897" s="33"/>
      <c r="AE1897" s="33"/>
      <c r="AF1897" s="33"/>
    </row>
    <row r="1898" spans="29:32" x14ac:dyDescent="0.2">
      <c r="AC1898" s="33"/>
      <c r="AE1898" s="33"/>
      <c r="AF1898" s="33"/>
    </row>
    <row r="1899" spans="29:32" x14ac:dyDescent="0.2">
      <c r="AC1899" s="33"/>
      <c r="AE1899" s="33"/>
      <c r="AF1899" s="33"/>
    </row>
    <row r="1900" spans="29:32" x14ac:dyDescent="0.2">
      <c r="AC1900" s="33"/>
      <c r="AE1900" s="33"/>
      <c r="AF1900" s="33"/>
    </row>
    <row r="1901" spans="29:32" x14ac:dyDescent="0.2">
      <c r="AC1901" s="33"/>
      <c r="AE1901" s="33"/>
      <c r="AF1901" s="33"/>
    </row>
    <row r="1902" spans="29:32" x14ac:dyDescent="0.2">
      <c r="AC1902" s="33"/>
      <c r="AE1902" s="33"/>
      <c r="AF1902" s="33"/>
    </row>
    <row r="1903" spans="29:32" x14ac:dyDescent="0.2">
      <c r="AC1903" s="33"/>
      <c r="AE1903" s="33"/>
      <c r="AF1903" s="33"/>
    </row>
    <row r="1904" spans="29:32" x14ac:dyDescent="0.2">
      <c r="AC1904" s="33"/>
      <c r="AE1904" s="33"/>
      <c r="AF1904" s="33"/>
    </row>
    <row r="1905" spans="29:32" x14ac:dyDescent="0.2">
      <c r="AC1905" s="33"/>
      <c r="AE1905" s="33"/>
      <c r="AF1905" s="33"/>
    </row>
    <row r="1906" spans="29:32" x14ac:dyDescent="0.2">
      <c r="AC1906" s="33"/>
      <c r="AE1906" s="33"/>
      <c r="AF1906" s="33"/>
    </row>
    <row r="1907" spans="29:32" x14ac:dyDescent="0.2">
      <c r="AC1907" s="33"/>
      <c r="AE1907" s="33"/>
      <c r="AF1907" s="33"/>
    </row>
    <row r="1908" spans="29:32" x14ac:dyDescent="0.2">
      <c r="AC1908" s="33"/>
      <c r="AE1908" s="33"/>
      <c r="AF1908" s="33"/>
    </row>
    <row r="1909" spans="29:32" x14ac:dyDescent="0.2">
      <c r="AC1909" s="33"/>
      <c r="AE1909" s="33"/>
      <c r="AF1909" s="33"/>
    </row>
    <row r="1910" spans="29:32" x14ac:dyDescent="0.2">
      <c r="AC1910" s="33"/>
      <c r="AE1910" s="33"/>
      <c r="AF1910" s="33"/>
    </row>
    <row r="1911" spans="29:32" x14ac:dyDescent="0.2">
      <c r="AC1911" s="33"/>
      <c r="AE1911" s="33"/>
      <c r="AF1911" s="33"/>
    </row>
    <row r="1912" spans="29:32" x14ac:dyDescent="0.2">
      <c r="AC1912" s="33"/>
      <c r="AE1912" s="33"/>
      <c r="AF1912" s="33"/>
    </row>
    <row r="1913" spans="29:32" x14ac:dyDescent="0.2">
      <c r="AC1913" s="33"/>
      <c r="AE1913" s="33"/>
      <c r="AF1913" s="33"/>
    </row>
    <row r="1914" spans="29:32" x14ac:dyDescent="0.2">
      <c r="AC1914" s="33"/>
      <c r="AE1914" s="33"/>
      <c r="AF1914" s="33"/>
    </row>
    <row r="1915" spans="29:32" x14ac:dyDescent="0.2">
      <c r="AC1915" s="33"/>
      <c r="AE1915" s="33"/>
      <c r="AF1915" s="33"/>
    </row>
    <row r="1916" spans="29:32" x14ac:dyDescent="0.2">
      <c r="AC1916" s="33"/>
      <c r="AE1916" s="33"/>
      <c r="AF1916" s="33"/>
    </row>
    <row r="1917" spans="29:32" x14ac:dyDescent="0.2">
      <c r="AC1917" s="33"/>
      <c r="AE1917" s="33"/>
      <c r="AF1917" s="33"/>
    </row>
    <row r="1918" spans="29:32" x14ac:dyDescent="0.2">
      <c r="AC1918" s="33"/>
      <c r="AE1918" s="33"/>
      <c r="AF1918" s="33"/>
    </row>
    <row r="1919" spans="29:32" x14ac:dyDescent="0.2">
      <c r="AC1919" s="33"/>
      <c r="AE1919" s="33"/>
      <c r="AF1919" s="33"/>
    </row>
    <row r="1920" spans="29:32" x14ac:dyDescent="0.2">
      <c r="AC1920" s="33"/>
      <c r="AE1920" s="33"/>
      <c r="AF1920" s="33"/>
    </row>
    <row r="1921" spans="29:32" x14ac:dyDescent="0.2">
      <c r="AC1921" s="33"/>
      <c r="AE1921" s="33"/>
      <c r="AF1921" s="33"/>
    </row>
    <row r="1922" spans="29:32" x14ac:dyDescent="0.2">
      <c r="AC1922" s="33"/>
      <c r="AE1922" s="33"/>
      <c r="AF1922" s="33"/>
    </row>
    <row r="1923" spans="29:32" x14ac:dyDescent="0.2">
      <c r="AC1923" s="33"/>
      <c r="AE1923" s="33"/>
      <c r="AF1923" s="33"/>
    </row>
    <row r="1924" spans="29:32" x14ac:dyDescent="0.2">
      <c r="AC1924" s="33"/>
      <c r="AE1924" s="33"/>
      <c r="AF1924" s="33"/>
    </row>
    <row r="1925" spans="29:32" x14ac:dyDescent="0.2">
      <c r="AC1925" s="33"/>
      <c r="AE1925" s="33"/>
      <c r="AF1925" s="33"/>
    </row>
    <row r="1926" spans="29:32" x14ac:dyDescent="0.2">
      <c r="AC1926" s="33"/>
      <c r="AE1926" s="33"/>
      <c r="AF1926" s="33"/>
    </row>
    <row r="1927" spans="29:32" x14ac:dyDescent="0.2">
      <c r="AC1927" s="33"/>
      <c r="AE1927" s="33"/>
      <c r="AF1927" s="33"/>
    </row>
    <row r="1928" spans="29:32" x14ac:dyDescent="0.2">
      <c r="AC1928" s="33"/>
      <c r="AE1928" s="33"/>
      <c r="AF1928" s="33"/>
    </row>
    <row r="1929" spans="29:32" x14ac:dyDescent="0.2">
      <c r="AC1929" s="33"/>
      <c r="AE1929" s="33"/>
      <c r="AF1929" s="33"/>
    </row>
    <row r="1930" spans="29:32" x14ac:dyDescent="0.2">
      <c r="AC1930" s="33"/>
      <c r="AE1930" s="33"/>
      <c r="AF1930" s="33"/>
    </row>
    <row r="1931" spans="29:32" x14ac:dyDescent="0.2">
      <c r="AC1931" s="33"/>
      <c r="AE1931" s="33"/>
      <c r="AF1931" s="33"/>
    </row>
    <row r="1932" spans="29:32" x14ac:dyDescent="0.2">
      <c r="AC1932" s="33"/>
      <c r="AE1932" s="33"/>
      <c r="AF1932" s="33"/>
    </row>
    <row r="1933" spans="29:32" x14ac:dyDescent="0.2">
      <c r="AC1933" s="33"/>
      <c r="AE1933" s="33"/>
      <c r="AF1933" s="33"/>
    </row>
    <row r="1934" spans="29:32" x14ac:dyDescent="0.2">
      <c r="AC1934" s="33"/>
      <c r="AE1934" s="33"/>
      <c r="AF1934" s="33"/>
    </row>
    <row r="1935" spans="29:32" x14ac:dyDescent="0.2">
      <c r="AC1935" s="33"/>
      <c r="AE1935" s="33"/>
      <c r="AF1935" s="33"/>
    </row>
    <row r="1936" spans="29:32" x14ac:dyDescent="0.2">
      <c r="AC1936" s="33"/>
      <c r="AE1936" s="33"/>
      <c r="AF1936" s="33"/>
    </row>
    <row r="1937" spans="29:32" x14ac:dyDescent="0.2">
      <c r="AC1937" s="33"/>
      <c r="AE1937" s="33"/>
      <c r="AF1937" s="33"/>
    </row>
    <row r="1938" spans="29:32" x14ac:dyDescent="0.2">
      <c r="AC1938" s="33"/>
      <c r="AE1938" s="33"/>
      <c r="AF1938" s="33"/>
    </row>
    <row r="1939" spans="29:32" x14ac:dyDescent="0.2">
      <c r="AC1939" s="33"/>
      <c r="AE1939" s="33"/>
      <c r="AF1939" s="33"/>
    </row>
    <row r="1940" spans="29:32" x14ac:dyDescent="0.2">
      <c r="AC1940" s="33"/>
      <c r="AE1940" s="33"/>
      <c r="AF1940" s="33"/>
    </row>
    <row r="1941" spans="29:32" x14ac:dyDescent="0.2">
      <c r="AC1941" s="33"/>
      <c r="AE1941" s="33"/>
      <c r="AF1941" s="33"/>
    </row>
    <row r="1942" spans="29:32" x14ac:dyDescent="0.2">
      <c r="AC1942" s="33"/>
      <c r="AE1942" s="33"/>
      <c r="AF1942" s="33"/>
    </row>
    <row r="1943" spans="29:32" x14ac:dyDescent="0.2">
      <c r="AC1943" s="33"/>
      <c r="AE1943" s="33"/>
      <c r="AF1943" s="33"/>
    </row>
    <row r="1944" spans="29:32" x14ac:dyDescent="0.2">
      <c r="AC1944" s="33"/>
      <c r="AE1944" s="33"/>
      <c r="AF1944" s="33"/>
    </row>
    <row r="1945" spans="29:32" x14ac:dyDescent="0.2">
      <c r="AC1945" s="33"/>
      <c r="AE1945" s="33"/>
      <c r="AF1945" s="33"/>
    </row>
    <row r="1946" spans="29:32" x14ac:dyDescent="0.2">
      <c r="AC1946" s="33"/>
      <c r="AE1946" s="33"/>
      <c r="AF1946" s="33"/>
    </row>
    <row r="1947" spans="29:32" x14ac:dyDescent="0.2">
      <c r="AC1947" s="33"/>
      <c r="AE1947" s="33"/>
      <c r="AF1947" s="33"/>
    </row>
    <row r="1948" spans="29:32" x14ac:dyDescent="0.2">
      <c r="AC1948" s="33"/>
      <c r="AE1948" s="33"/>
      <c r="AF1948" s="33"/>
    </row>
    <row r="1949" spans="29:32" x14ac:dyDescent="0.2">
      <c r="AC1949" s="33"/>
      <c r="AE1949" s="33"/>
      <c r="AF1949" s="33"/>
    </row>
    <row r="1950" spans="29:32" x14ac:dyDescent="0.2">
      <c r="AC1950" s="33"/>
      <c r="AE1950" s="33"/>
      <c r="AF1950" s="33"/>
    </row>
    <row r="1951" spans="29:32" x14ac:dyDescent="0.2">
      <c r="AC1951" s="33"/>
      <c r="AE1951" s="33"/>
      <c r="AF1951" s="33"/>
    </row>
    <row r="1952" spans="29:32" x14ac:dyDescent="0.2">
      <c r="AC1952" s="33"/>
      <c r="AE1952" s="33"/>
      <c r="AF1952" s="33"/>
    </row>
    <row r="1953" spans="29:32" x14ac:dyDescent="0.2">
      <c r="AC1953" s="33"/>
      <c r="AE1953" s="33"/>
      <c r="AF1953" s="33"/>
    </row>
    <row r="1954" spans="29:32" x14ac:dyDescent="0.2">
      <c r="AC1954" s="33"/>
      <c r="AE1954" s="33"/>
      <c r="AF1954" s="33"/>
    </row>
    <row r="1955" spans="29:32" x14ac:dyDescent="0.2">
      <c r="AC1955" s="33"/>
      <c r="AE1955" s="33"/>
      <c r="AF1955" s="33"/>
    </row>
    <row r="1956" spans="29:32" x14ac:dyDescent="0.2">
      <c r="AC1956" s="33"/>
      <c r="AE1956" s="33"/>
      <c r="AF1956" s="33"/>
    </row>
    <row r="1957" spans="29:32" x14ac:dyDescent="0.2">
      <c r="AC1957" s="33"/>
      <c r="AE1957" s="33"/>
      <c r="AF1957" s="33"/>
    </row>
    <row r="1958" spans="29:32" x14ac:dyDescent="0.2">
      <c r="AC1958" s="33"/>
      <c r="AE1958" s="33"/>
      <c r="AF1958" s="33"/>
    </row>
    <row r="1959" spans="29:32" x14ac:dyDescent="0.2">
      <c r="AC1959" s="33"/>
      <c r="AE1959" s="33"/>
      <c r="AF1959" s="33"/>
    </row>
    <row r="1960" spans="29:32" x14ac:dyDescent="0.2">
      <c r="AC1960" s="33"/>
      <c r="AE1960" s="33"/>
      <c r="AF1960" s="33"/>
    </row>
    <row r="1961" spans="29:32" x14ac:dyDescent="0.2">
      <c r="AC1961" s="33"/>
      <c r="AE1961" s="33"/>
      <c r="AF1961" s="33"/>
    </row>
    <row r="1962" spans="29:32" x14ac:dyDescent="0.2">
      <c r="AC1962" s="33"/>
      <c r="AE1962" s="33"/>
      <c r="AF1962" s="33"/>
    </row>
    <row r="1963" spans="29:32" x14ac:dyDescent="0.2">
      <c r="AC1963" s="33"/>
      <c r="AE1963" s="33"/>
      <c r="AF1963" s="33"/>
    </row>
    <row r="1964" spans="29:32" x14ac:dyDescent="0.2">
      <c r="AC1964" s="33"/>
      <c r="AE1964" s="33"/>
      <c r="AF1964" s="33"/>
    </row>
    <row r="1965" spans="29:32" x14ac:dyDescent="0.2">
      <c r="AC1965" s="33"/>
      <c r="AE1965" s="33"/>
      <c r="AF1965" s="33"/>
    </row>
    <row r="1966" spans="29:32" x14ac:dyDescent="0.2">
      <c r="AC1966" s="33"/>
      <c r="AE1966" s="33"/>
      <c r="AF1966" s="33"/>
    </row>
    <row r="1967" spans="29:32" x14ac:dyDescent="0.2">
      <c r="AC1967" s="33"/>
      <c r="AE1967" s="33"/>
      <c r="AF1967" s="33"/>
    </row>
    <row r="1968" spans="29:32" x14ac:dyDescent="0.2">
      <c r="AC1968" s="33"/>
      <c r="AE1968" s="33"/>
      <c r="AF1968" s="33"/>
    </row>
    <row r="1969" spans="29:32" x14ac:dyDescent="0.2">
      <c r="AC1969" s="33"/>
      <c r="AE1969" s="33"/>
      <c r="AF1969" s="33"/>
    </row>
    <row r="1970" spans="29:32" x14ac:dyDescent="0.2">
      <c r="AC1970" s="33"/>
      <c r="AE1970" s="33"/>
      <c r="AF1970" s="33"/>
    </row>
    <row r="1971" spans="29:32" x14ac:dyDescent="0.2">
      <c r="AC1971" s="33"/>
      <c r="AE1971" s="33"/>
      <c r="AF1971" s="33"/>
    </row>
    <row r="1972" spans="29:32" x14ac:dyDescent="0.2">
      <c r="AC1972" s="33"/>
      <c r="AE1972" s="33"/>
      <c r="AF1972" s="33"/>
    </row>
    <row r="1973" spans="29:32" x14ac:dyDescent="0.2">
      <c r="AC1973" s="33"/>
      <c r="AE1973" s="33"/>
      <c r="AF1973" s="33"/>
    </row>
    <row r="1974" spans="29:32" x14ac:dyDescent="0.2">
      <c r="AC1974" s="33"/>
      <c r="AE1974" s="33"/>
      <c r="AF1974" s="33"/>
    </row>
    <row r="1975" spans="29:32" x14ac:dyDescent="0.2">
      <c r="AC1975" s="33"/>
      <c r="AE1975" s="33"/>
      <c r="AF1975" s="33"/>
    </row>
    <row r="1976" spans="29:32" x14ac:dyDescent="0.2">
      <c r="AC1976" s="33"/>
      <c r="AE1976" s="33"/>
      <c r="AF1976" s="33"/>
    </row>
    <row r="1977" spans="29:32" x14ac:dyDescent="0.2">
      <c r="AC1977" s="33"/>
      <c r="AE1977" s="33"/>
      <c r="AF1977" s="33"/>
    </row>
    <row r="1978" spans="29:32" x14ac:dyDescent="0.2">
      <c r="AC1978" s="33"/>
      <c r="AE1978" s="33"/>
      <c r="AF1978" s="33"/>
    </row>
    <row r="1979" spans="29:32" x14ac:dyDescent="0.2">
      <c r="AC1979" s="33"/>
      <c r="AE1979" s="33"/>
      <c r="AF1979" s="33"/>
    </row>
    <row r="1980" spans="29:32" x14ac:dyDescent="0.2">
      <c r="AC1980" s="33"/>
      <c r="AE1980" s="33"/>
      <c r="AF1980" s="33"/>
    </row>
    <row r="1981" spans="29:32" x14ac:dyDescent="0.2">
      <c r="AC1981" s="33"/>
      <c r="AE1981" s="33"/>
      <c r="AF1981" s="33"/>
    </row>
    <row r="1982" spans="29:32" x14ac:dyDescent="0.2">
      <c r="AC1982" s="33"/>
      <c r="AE1982" s="33"/>
      <c r="AF1982" s="33"/>
    </row>
    <row r="1983" spans="29:32" x14ac:dyDescent="0.2">
      <c r="AC1983" s="33"/>
      <c r="AE1983" s="33"/>
      <c r="AF1983" s="33"/>
    </row>
    <row r="1984" spans="29:32" x14ac:dyDescent="0.2">
      <c r="AC1984" s="33"/>
      <c r="AE1984" s="33"/>
      <c r="AF1984" s="33"/>
    </row>
    <row r="1985" spans="29:32" x14ac:dyDescent="0.2">
      <c r="AC1985" s="33"/>
      <c r="AE1985" s="33"/>
      <c r="AF1985" s="33"/>
    </row>
    <row r="1986" spans="29:32" x14ac:dyDescent="0.2">
      <c r="AC1986" s="33"/>
      <c r="AE1986" s="33"/>
      <c r="AF1986" s="33"/>
    </row>
    <row r="1987" spans="29:32" x14ac:dyDescent="0.2">
      <c r="AC1987" s="33"/>
      <c r="AE1987" s="33"/>
      <c r="AF1987" s="33"/>
    </row>
    <row r="1988" spans="29:32" x14ac:dyDescent="0.2">
      <c r="AC1988" s="33"/>
      <c r="AE1988" s="33"/>
      <c r="AF1988" s="33"/>
    </row>
    <row r="1989" spans="29:32" x14ac:dyDescent="0.2">
      <c r="AC1989" s="33"/>
      <c r="AE1989" s="33"/>
      <c r="AF1989" s="33"/>
    </row>
    <row r="1990" spans="29:32" x14ac:dyDescent="0.2">
      <c r="AC1990" s="33"/>
      <c r="AE1990" s="33"/>
      <c r="AF1990" s="33"/>
    </row>
    <row r="1991" spans="29:32" x14ac:dyDescent="0.2">
      <c r="AC1991" s="33"/>
      <c r="AE1991" s="33"/>
      <c r="AF1991" s="33"/>
    </row>
    <row r="1992" spans="29:32" x14ac:dyDescent="0.2">
      <c r="AC1992" s="33"/>
      <c r="AE1992" s="33"/>
      <c r="AF1992" s="33"/>
    </row>
    <row r="1993" spans="29:32" x14ac:dyDescent="0.2">
      <c r="AC1993" s="33"/>
      <c r="AE1993" s="33"/>
      <c r="AF1993" s="33"/>
    </row>
    <row r="1994" spans="29:32" x14ac:dyDescent="0.2">
      <c r="AC1994" s="33"/>
      <c r="AE1994" s="33"/>
      <c r="AF1994" s="33"/>
    </row>
    <row r="1995" spans="29:32" x14ac:dyDescent="0.2">
      <c r="AC1995" s="33"/>
      <c r="AE1995" s="33"/>
      <c r="AF1995" s="33"/>
    </row>
    <row r="1996" spans="29:32" x14ac:dyDescent="0.2">
      <c r="AC1996" s="33"/>
      <c r="AE1996" s="33"/>
      <c r="AF1996" s="33"/>
    </row>
    <row r="1997" spans="29:32" x14ac:dyDescent="0.2">
      <c r="AC1997" s="33"/>
      <c r="AE1997" s="33"/>
      <c r="AF1997" s="33"/>
    </row>
    <row r="1998" spans="29:32" x14ac:dyDescent="0.2">
      <c r="AC1998" s="33"/>
      <c r="AE1998" s="33"/>
      <c r="AF1998" s="33"/>
    </row>
    <row r="1999" spans="29:32" x14ac:dyDescent="0.2">
      <c r="AC1999" s="33"/>
      <c r="AE1999" s="33"/>
      <c r="AF1999" s="33"/>
    </row>
    <row r="2000" spans="29:32" x14ac:dyDescent="0.2">
      <c r="AC2000" s="33"/>
      <c r="AE2000" s="33"/>
      <c r="AF2000" s="33"/>
    </row>
    <row r="2001" spans="29:32" x14ac:dyDescent="0.2">
      <c r="AC2001" s="33"/>
      <c r="AE2001" s="33"/>
      <c r="AF2001" s="33"/>
    </row>
    <row r="2002" spans="29:32" x14ac:dyDescent="0.2">
      <c r="AC2002" s="33"/>
      <c r="AE2002" s="33"/>
      <c r="AF2002" s="33"/>
    </row>
    <row r="2003" spans="29:32" x14ac:dyDescent="0.2">
      <c r="AC2003" s="33"/>
      <c r="AE2003" s="33"/>
      <c r="AF2003" s="33"/>
    </row>
    <row r="2004" spans="29:32" x14ac:dyDescent="0.2">
      <c r="AC2004" s="33"/>
      <c r="AE2004" s="33"/>
      <c r="AF2004" s="33"/>
    </row>
    <row r="2005" spans="29:32" x14ac:dyDescent="0.2">
      <c r="AC2005" s="33"/>
      <c r="AE2005" s="33"/>
      <c r="AF2005" s="33"/>
    </row>
    <row r="2006" spans="29:32" x14ac:dyDescent="0.2">
      <c r="AC2006" s="33"/>
      <c r="AE2006" s="33"/>
      <c r="AF2006" s="33"/>
    </row>
    <row r="2007" spans="29:32" x14ac:dyDescent="0.2">
      <c r="AC2007" s="33"/>
      <c r="AE2007" s="33"/>
      <c r="AF2007" s="33"/>
    </row>
    <row r="2008" spans="29:32" x14ac:dyDescent="0.2">
      <c r="AC2008" s="33"/>
      <c r="AE2008" s="33"/>
      <c r="AF2008" s="33"/>
    </row>
    <row r="2009" spans="29:32" x14ac:dyDescent="0.2">
      <c r="AC2009" s="33"/>
      <c r="AE2009" s="33"/>
      <c r="AF2009" s="33"/>
    </row>
    <row r="2010" spans="29:32" x14ac:dyDescent="0.2">
      <c r="AC2010" s="33"/>
      <c r="AE2010" s="33"/>
      <c r="AF2010" s="33"/>
    </row>
    <row r="2011" spans="29:32" x14ac:dyDescent="0.2">
      <c r="AC2011" s="33"/>
      <c r="AE2011" s="33"/>
      <c r="AF2011" s="33"/>
    </row>
    <row r="2012" spans="29:32" x14ac:dyDescent="0.2">
      <c r="AC2012" s="33"/>
      <c r="AE2012" s="33"/>
      <c r="AF2012" s="33"/>
    </row>
    <row r="2013" spans="29:32" x14ac:dyDescent="0.2">
      <c r="AC2013" s="33"/>
      <c r="AE2013" s="33"/>
      <c r="AF2013" s="33"/>
    </row>
    <row r="2014" spans="29:32" x14ac:dyDescent="0.2">
      <c r="AC2014" s="33"/>
      <c r="AE2014" s="33"/>
      <c r="AF2014" s="33"/>
    </row>
    <row r="2015" spans="29:32" x14ac:dyDescent="0.2">
      <c r="AC2015" s="33"/>
      <c r="AE2015" s="33"/>
      <c r="AF2015" s="33"/>
    </row>
    <row r="2016" spans="29:32" x14ac:dyDescent="0.2">
      <c r="AC2016" s="33"/>
      <c r="AE2016" s="33"/>
      <c r="AF2016" s="33"/>
    </row>
    <row r="2017" spans="29:32" x14ac:dyDescent="0.2">
      <c r="AC2017" s="33"/>
      <c r="AE2017" s="33"/>
      <c r="AF2017" s="33"/>
    </row>
    <row r="2018" spans="29:32" x14ac:dyDescent="0.2">
      <c r="AC2018" s="33"/>
      <c r="AE2018" s="33"/>
      <c r="AF2018" s="33"/>
    </row>
    <row r="2019" spans="29:32" x14ac:dyDescent="0.2">
      <c r="AC2019" s="33"/>
      <c r="AE2019" s="33"/>
      <c r="AF2019" s="33"/>
    </row>
    <row r="2020" spans="29:32" x14ac:dyDescent="0.2">
      <c r="AC2020" s="33"/>
      <c r="AE2020" s="33"/>
      <c r="AF2020" s="33"/>
    </row>
    <row r="2021" spans="29:32" x14ac:dyDescent="0.2">
      <c r="AC2021" s="33"/>
      <c r="AE2021" s="33"/>
      <c r="AF2021" s="33"/>
    </row>
    <row r="2022" spans="29:32" x14ac:dyDescent="0.2">
      <c r="AC2022" s="33"/>
      <c r="AE2022" s="33"/>
      <c r="AF2022" s="33"/>
    </row>
    <row r="2023" spans="29:32" x14ac:dyDescent="0.2">
      <c r="AC2023" s="33"/>
      <c r="AE2023" s="33"/>
      <c r="AF2023" s="33"/>
    </row>
    <row r="2024" spans="29:32" x14ac:dyDescent="0.2">
      <c r="AC2024" s="33"/>
      <c r="AE2024" s="33"/>
      <c r="AF2024" s="33"/>
    </row>
    <row r="2025" spans="29:32" x14ac:dyDescent="0.2">
      <c r="AC2025" s="33"/>
      <c r="AE2025" s="33"/>
      <c r="AF2025" s="33"/>
    </row>
    <row r="2026" spans="29:32" x14ac:dyDescent="0.2">
      <c r="AC2026" s="33"/>
      <c r="AE2026" s="33"/>
      <c r="AF2026" s="33"/>
    </row>
    <row r="2027" spans="29:32" x14ac:dyDescent="0.2">
      <c r="AC2027" s="33"/>
      <c r="AE2027" s="33"/>
      <c r="AF2027" s="33"/>
    </row>
    <row r="2028" spans="29:32" x14ac:dyDescent="0.2">
      <c r="AC2028" s="33"/>
      <c r="AE2028" s="33"/>
      <c r="AF2028" s="33"/>
    </row>
    <row r="2029" spans="29:32" x14ac:dyDescent="0.2">
      <c r="AC2029" s="33"/>
      <c r="AE2029" s="33"/>
      <c r="AF2029" s="33"/>
    </row>
    <row r="2030" spans="29:32" x14ac:dyDescent="0.2">
      <c r="AC2030" s="33"/>
      <c r="AE2030" s="33"/>
      <c r="AF2030" s="33"/>
    </row>
    <row r="2031" spans="29:32" x14ac:dyDescent="0.2">
      <c r="AC2031" s="33"/>
      <c r="AE2031" s="33"/>
      <c r="AF2031" s="33"/>
    </row>
    <row r="2032" spans="29:32" x14ac:dyDescent="0.2">
      <c r="AC2032" s="33"/>
      <c r="AE2032" s="33"/>
      <c r="AF2032" s="33"/>
    </row>
    <row r="2033" spans="29:32" x14ac:dyDescent="0.2">
      <c r="AC2033" s="33"/>
      <c r="AE2033" s="33"/>
      <c r="AF2033" s="33"/>
    </row>
    <row r="2034" spans="29:32" x14ac:dyDescent="0.2">
      <c r="AC2034" s="33"/>
      <c r="AE2034" s="33"/>
      <c r="AF2034" s="33"/>
    </row>
    <row r="2035" spans="29:32" x14ac:dyDescent="0.2">
      <c r="AC2035" s="33"/>
      <c r="AE2035" s="33"/>
      <c r="AF2035" s="33"/>
    </row>
    <row r="2036" spans="29:32" x14ac:dyDescent="0.2">
      <c r="AC2036" s="33"/>
      <c r="AE2036" s="33"/>
      <c r="AF2036" s="33"/>
    </row>
    <row r="2037" spans="29:32" x14ac:dyDescent="0.2">
      <c r="AC2037" s="33"/>
      <c r="AE2037" s="33"/>
      <c r="AF2037" s="33"/>
    </row>
    <row r="2038" spans="29:32" x14ac:dyDescent="0.2">
      <c r="AC2038" s="33"/>
      <c r="AE2038" s="33"/>
      <c r="AF2038" s="33"/>
    </row>
    <row r="2039" spans="29:32" x14ac:dyDescent="0.2">
      <c r="AC2039" s="33"/>
      <c r="AE2039" s="33"/>
      <c r="AF2039" s="33"/>
    </row>
    <row r="2040" spans="29:32" x14ac:dyDescent="0.2">
      <c r="AC2040" s="33"/>
      <c r="AE2040" s="33"/>
      <c r="AF2040" s="33"/>
    </row>
    <row r="2041" spans="29:32" x14ac:dyDescent="0.2">
      <c r="AC2041" s="33"/>
      <c r="AE2041" s="33"/>
      <c r="AF2041" s="33"/>
    </row>
    <row r="2042" spans="29:32" x14ac:dyDescent="0.2">
      <c r="AC2042" s="33"/>
      <c r="AE2042" s="33"/>
      <c r="AF2042" s="33"/>
    </row>
    <row r="2043" spans="29:32" x14ac:dyDescent="0.2">
      <c r="AC2043" s="33"/>
      <c r="AE2043" s="33"/>
      <c r="AF2043" s="33"/>
    </row>
    <row r="2044" spans="29:32" x14ac:dyDescent="0.2">
      <c r="AC2044" s="33"/>
      <c r="AE2044" s="33"/>
      <c r="AF2044" s="33"/>
    </row>
    <row r="2045" spans="29:32" x14ac:dyDescent="0.2">
      <c r="AC2045" s="33"/>
      <c r="AE2045" s="33"/>
      <c r="AF2045" s="33"/>
    </row>
    <row r="2046" spans="29:32" x14ac:dyDescent="0.2">
      <c r="AC2046" s="33"/>
      <c r="AE2046" s="33"/>
      <c r="AF2046" s="33"/>
    </row>
    <row r="2047" spans="29:32" x14ac:dyDescent="0.2">
      <c r="AC2047" s="33"/>
      <c r="AE2047" s="33"/>
      <c r="AF2047" s="33"/>
    </row>
    <row r="2048" spans="29:32" x14ac:dyDescent="0.2">
      <c r="AC2048" s="33"/>
      <c r="AE2048" s="33"/>
      <c r="AF2048" s="33"/>
    </row>
    <row r="2049" spans="29:32" x14ac:dyDescent="0.2">
      <c r="AC2049" s="33"/>
      <c r="AE2049" s="33"/>
      <c r="AF2049" s="33"/>
    </row>
    <row r="2050" spans="29:32" x14ac:dyDescent="0.2">
      <c r="AC2050" s="33"/>
      <c r="AE2050" s="33"/>
      <c r="AF2050" s="33"/>
    </row>
    <row r="2051" spans="29:32" x14ac:dyDescent="0.2">
      <c r="AC2051" s="33"/>
      <c r="AE2051" s="33"/>
      <c r="AF2051" s="33"/>
    </row>
    <row r="2052" spans="29:32" x14ac:dyDescent="0.2">
      <c r="AC2052" s="33"/>
      <c r="AE2052" s="33"/>
      <c r="AF2052" s="33"/>
    </row>
    <row r="2053" spans="29:32" x14ac:dyDescent="0.2">
      <c r="AC2053" s="33"/>
      <c r="AE2053" s="33"/>
      <c r="AF2053" s="33"/>
    </row>
    <row r="2054" spans="29:32" x14ac:dyDescent="0.2">
      <c r="AC2054" s="33"/>
      <c r="AE2054" s="33"/>
      <c r="AF2054" s="33"/>
    </row>
    <row r="2055" spans="29:32" x14ac:dyDescent="0.2">
      <c r="AC2055" s="33"/>
      <c r="AE2055" s="33"/>
      <c r="AF2055" s="33"/>
    </row>
    <row r="2056" spans="29:32" x14ac:dyDescent="0.2">
      <c r="AC2056" s="33"/>
      <c r="AE2056" s="33"/>
      <c r="AF2056" s="33"/>
    </row>
    <row r="2057" spans="29:32" x14ac:dyDescent="0.2">
      <c r="AC2057" s="33"/>
      <c r="AE2057" s="33"/>
      <c r="AF2057" s="33"/>
    </row>
    <row r="2058" spans="29:32" x14ac:dyDescent="0.2">
      <c r="AC2058" s="33"/>
      <c r="AE2058" s="33"/>
      <c r="AF2058" s="33"/>
    </row>
    <row r="2059" spans="29:32" x14ac:dyDescent="0.2">
      <c r="AC2059" s="33"/>
      <c r="AE2059" s="33"/>
      <c r="AF2059" s="33"/>
    </row>
    <row r="2060" spans="29:32" x14ac:dyDescent="0.2">
      <c r="AC2060" s="33"/>
      <c r="AE2060" s="33"/>
      <c r="AF2060" s="33"/>
    </row>
    <row r="2061" spans="29:32" x14ac:dyDescent="0.2">
      <c r="AC2061" s="33"/>
      <c r="AE2061" s="33"/>
      <c r="AF2061" s="33"/>
    </row>
    <row r="2062" spans="29:32" x14ac:dyDescent="0.2">
      <c r="AC2062" s="33"/>
      <c r="AE2062" s="33"/>
      <c r="AF2062" s="33"/>
    </row>
    <row r="2063" spans="29:32" x14ac:dyDescent="0.2">
      <c r="AC2063" s="33"/>
      <c r="AE2063" s="33"/>
      <c r="AF2063" s="33"/>
    </row>
    <row r="2064" spans="29:32" x14ac:dyDescent="0.2">
      <c r="AC2064" s="33"/>
      <c r="AE2064" s="33"/>
      <c r="AF2064" s="33"/>
    </row>
    <row r="2065" spans="29:32" x14ac:dyDescent="0.2">
      <c r="AC2065" s="33"/>
      <c r="AE2065" s="33"/>
      <c r="AF2065" s="33"/>
    </row>
    <row r="2066" spans="29:32" x14ac:dyDescent="0.2">
      <c r="AC2066" s="33"/>
      <c r="AE2066" s="33"/>
      <c r="AF2066" s="33"/>
    </row>
    <row r="2067" spans="29:32" x14ac:dyDescent="0.2">
      <c r="AC2067" s="33"/>
      <c r="AE2067" s="33"/>
      <c r="AF2067" s="33"/>
    </row>
    <row r="2068" spans="29:32" x14ac:dyDescent="0.2">
      <c r="AC2068" s="33"/>
      <c r="AE2068" s="33"/>
      <c r="AF2068" s="33"/>
    </row>
    <row r="2069" spans="29:32" x14ac:dyDescent="0.2">
      <c r="AC2069" s="33"/>
      <c r="AE2069" s="33"/>
      <c r="AF2069" s="33"/>
    </row>
    <row r="2070" spans="29:32" x14ac:dyDescent="0.2">
      <c r="AC2070" s="33"/>
      <c r="AE2070" s="33"/>
      <c r="AF2070" s="33"/>
    </row>
    <row r="2071" spans="29:32" x14ac:dyDescent="0.2">
      <c r="AC2071" s="33"/>
      <c r="AE2071" s="33"/>
      <c r="AF2071" s="33"/>
    </row>
    <row r="2072" spans="29:32" x14ac:dyDescent="0.2">
      <c r="AC2072" s="33"/>
      <c r="AE2072" s="33"/>
      <c r="AF2072" s="33"/>
    </row>
    <row r="2073" spans="29:32" x14ac:dyDescent="0.2">
      <c r="AC2073" s="33"/>
      <c r="AE2073" s="33"/>
      <c r="AF2073" s="33"/>
    </row>
    <row r="2074" spans="29:32" x14ac:dyDescent="0.2">
      <c r="AC2074" s="33"/>
      <c r="AE2074" s="33"/>
      <c r="AF2074" s="33"/>
    </row>
    <row r="2075" spans="29:32" x14ac:dyDescent="0.2">
      <c r="AC2075" s="33"/>
      <c r="AE2075" s="33"/>
      <c r="AF2075" s="33"/>
    </row>
    <row r="2076" spans="29:32" x14ac:dyDescent="0.2">
      <c r="AC2076" s="33"/>
      <c r="AE2076" s="33"/>
      <c r="AF2076" s="33"/>
    </row>
    <row r="2077" spans="29:32" x14ac:dyDescent="0.2">
      <c r="AC2077" s="33"/>
      <c r="AE2077" s="33"/>
      <c r="AF2077" s="33"/>
    </row>
    <row r="2078" spans="29:32" x14ac:dyDescent="0.2">
      <c r="AC2078" s="33"/>
      <c r="AE2078" s="33"/>
      <c r="AF2078" s="33"/>
    </row>
    <row r="2079" spans="29:32" x14ac:dyDescent="0.2">
      <c r="AC2079" s="33"/>
      <c r="AE2079" s="33"/>
      <c r="AF2079" s="33"/>
    </row>
    <row r="2080" spans="29:32" x14ac:dyDescent="0.2">
      <c r="AC2080" s="33"/>
      <c r="AE2080" s="33"/>
      <c r="AF2080" s="33"/>
    </row>
    <row r="2081" spans="29:32" x14ac:dyDescent="0.2">
      <c r="AC2081" s="33"/>
      <c r="AE2081" s="33"/>
      <c r="AF2081" s="33"/>
    </row>
    <row r="2082" spans="29:32" x14ac:dyDescent="0.2">
      <c r="AC2082" s="33"/>
      <c r="AE2082" s="33"/>
      <c r="AF2082" s="33"/>
    </row>
    <row r="2083" spans="29:32" x14ac:dyDescent="0.2">
      <c r="AC2083" s="33"/>
      <c r="AE2083" s="33"/>
      <c r="AF2083" s="33"/>
    </row>
    <row r="2084" spans="29:32" x14ac:dyDescent="0.2">
      <c r="AC2084" s="33"/>
      <c r="AE2084" s="33"/>
      <c r="AF2084" s="33"/>
    </row>
    <row r="2085" spans="29:32" x14ac:dyDescent="0.2">
      <c r="AC2085" s="33"/>
      <c r="AE2085" s="33"/>
      <c r="AF2085" s="33"/>
    </row>
    <row r="2086" spans="29:32" x14ac:dyDescent="0.2">
      <c r="AC2086" s="33"/>
      <c r="AE2086" s="33"/>
      <c r="AF2086" s="33"/>
    </row>
    <row r="2087" spans="29:32" x14ac:dyDescent="0.2">
      <c r="AC2087" s="33"/>
      <c r="AE2087" s="33"/>
      <c r="AF2087" s="33"/>
    </row>
    <row r="2088" spans="29:32" x14ac:dyDescent="0.2">
      <c r="AC2088" s="33"/>
      <c r="AE2088" s="33"/>
      <c r="AF2088" s="33"/>
    </row>
    <row r="2089" spans="29:32" x14ac:dyDescent="0.2">
      <c r="AC2089" s="33"/>
      <c r="AE2089" s="33"/>
      <c r="AF2089" s="33"/>
    </row>
    <row r="2090" spans="29:32" x14ac:dyDescent="0.2">
      <c r="AC2090" s="33"/>
      <c r="AE2090" s="33"/>
      <c r="AF2090" s="33"/>
    </row>
    <row r="2091" spans="29:32" x14ac:dyDescent="0.2">
      <c r="AC2091" s="33"/>
      <c r="AE2091" s="33"/>
      <c r="AF2091" s="33"/>
    </row>
    <row r="2092" spans="29:32" x14ac:dyDescent="0.2">
      <c r="AC2092" s="33"/>
      <c r="AE2092" s="33"/>
      <c r="AF2092" s="33"/>
    </row>
    <row r="2093" spans="29:32" x14ac:dyDescent="0.2">
      <c r="AC2093" s="33"/>
      <c r="AE2093" s="33"/>
      <c r="AF2093" s="33"/>
    </row>
    <row r="2094" spans="29:32" x14ac:dyDescent="0.2">
      <c r="AC2094" s="33"/>
      <c r="AE2094" s="33"/>
      <c r="AF2094" s="33"/>
    </row>
    <row r="2095" spans="29:32" x14ac:dyDescent="0.2">
      <c r="AC2095" s="33"/>
      <c r="AE2095" s="33"/>
      <c r="AF2095" s="33"/>
    </row>
    <row r="2096" spans="29:32" x14ac:dyDescent="0.2">
      <c r="AC2096" s="33"/>
      <c r="AE2096" s="33"/>
      <c r="AF2096" s="33"/>
    </row>
    <row r="2097" spans="29:32" x14ac:dyDescent="0.2">
      <c r="AC2097" s="33"/>
      <c r="AE2097" s="33"/>
      <c r="AF2097" s="33"/>
    </row>
    <row r="2098" spans="29:32" x14ac:dyDescent="0.2">
      <c r="AC2098" s="33"/>
      <c r="AE2098" s="33"/>
      <c r="AF2098" s="33"/>
    </row>
    <row r="2099" spans="29:32" x14ac:dyDescent="0.2">
      <c r="AC2099" s="33"/>
      <c r="AE2099" s="33"/>
      <c r="AF2099" s="33"/>
    </row>
    <row r="2100" spans="29:32" x14ac:dyDescent="0.2">
      <c r="AC2100" s="33"/>
      <c r="AE2100" s="33"/>
      <c r="AF2100" s="33"/>
    </row>
    <row r="2101" spans="29:32" x14ac:dyDescent="0.2">
      <c r="AC2101" s="33"/>
      <c r="AE2101" s="33"/>
      <c r="AF2101" s="33"/>
    </row>
    <row r="2102" spans="29:32" x14ac:dyDescent="0.2">
      <c r="AC2102" s="33"/>
      <c r="AE2102" s="33"/>
      <c r="AF2102" s="33"/>
    </row>
    <row r="2103" spans="29:32" x14ac:dyDescent="0.2">
      <c r="AC2103" s="33"/>
      <c r="AE2103" s="33"/>
      <c r="AF2103" s="33"/>
    </row>
    <row r="2104" spans="29:32" x14ac:dyDescent="0.2">
      <c r="AC2104" s="33"/>
      <c r="AE2104" s="33"/>
      <c r="AF2104" s="33"/>
    </row>
    <row r="2105" spans="29:32" x14ac:dyDescent="0.2">
      <c r="AC2105" s="33"/>
      <c r="AE2105" s="33"/>
      <c r="AF2105" s="33"/>
    </row>
    <row r="2106" spans="29:32" x14ac:dyDescent="0.2">
      <c r="AC2106" s="33"/>
      <c r="AE2106" s="33"/>
      <c r="AF2106" s="33"/>
    </row>
    <row r="2107" spans="29:32" x14ac:dyDescent="0.2">
      <c r="AC2107" s="33"/>
      <c r="AE2107" s="33"/>
      <c r="AF2107" s="33"/>
    </row>
    <row r="2108" spans="29:32" x14ac:dyDescent="0.2">
      <c r="AC2108" s="33"/>
      <c r="AE2108" s="33"/>
      <c r="AF2108" s="33"/>
    </row>
    <row r="2109" spans="29:32" x14ac:dyDescent="0.2">
      <c r="AC2109" s="33"/>
      <c r="AE2109" s="33"/>
      <c r="AF2109" s="33"/>
    </row>
    <row r="2110" spans="29:32" x14ac:dyDescent="0.2">
      <c r="AC2110" s="33"/>
      <c r="AE2110" s="33"/>
      <c r="AF2110" s="33"/>
    </row>
    <row r="2111" spans="29:32" x14ac:dyDescent="0.2">
      <c r="AC2111" s="33"/>
      <c r="AE2111" s="33"/>
      <c r="AF2111" s="33"/>
    </row>
    <row r="2112" spans="29:32" x14ac:dyDescent="0.2">
      <c r="AC2112" s="33"/>
      <c r="AE2112" s="33"/>
      <c r="AF2112" s="33"/>
    </row>
    <row r="2113" spans="29:32" x14ac:dyDescent="0.2">
      <c r="AC2113" s="33"/>
      <c r="AE2113" s="33"/>
      <c r="AF2113" s="33"/>
    </row>
    <row r="2114" spans="29:32" x14ac:dyDescent="0.2">
      <c r="AC2114" s="33"/>
      <c r="AE2114" s="33"/>
      <c r="AF2114" s="33"/>
    </row>
    <row r="2115" spans="29:32" x14ac:dyDescent="0.2">
      <c r="AC2115" s="33"/>
      <c r="AE2115" s="33"/>
      <c r="AF2115" s="33"/>
    </row>
    <row r="2116" spans="29:32" x14ac:dyDescent="0.2">
      <c r="AC2116" s="33"/>
      <c r="AE2116" s="33"/>
      <c r="AF2116" s="33"/>
    </row>
    <row r="2117" spans="29:32" x14ac:dyDescent="0.2">
      <c r="AC2117" s="33"/>
      <c r="AE2117" s="33"/>
      <c r="AF2117" s="33"/>
    </row>
    <row r="2118" spans="29:32" x14ac:dyDescent="0.2">
      <c r="AC2118" s="33"/>
      <c r="AE2118" s="33"/>
      <c r="AF2118" s="33"/>
    </row>
    <row r="2119" spans="29:32" x14ac:dyDescent="0.2">
      <c r="AC2119" s="33"/>
      <c r="AE2119" s="33"/>
      <c r="AF2119" s="33"/>
    </row>
    <row r="2120" spans="29:32" x14ac:dyDescent="0.2">
      <c r="AC2120" s="33"/>
      <c r="AE2120" s="33"/>
      <c r="AF2120" s="33"/>
    </row>
    <row r="2121" spans="29:32" x14ac:dyDescent="0.2">
      <c r="AC2121" s="33"/>
      <c r="AE2121" s="33"/>
      <c r="AF2121" s="33"/>
    </row>
    <row r="2122" spans="29:32" x14ac:dyDescent="0.2">
      <c r="AC2122" s="33"/>
      <c r="AE2122" s="33"/>
      <c r="AF2122" s="33"/>
    </row>
    <row r="2123" spans="29:32" x14ac:dyDescent="0.2">
      <c r="AC2123" s="33"/>
      <c r="AE2123" s="33"/>
      <c r="AF2123" s="33"/>
    </row>
    <row r="2124" spans="29:32" x14ac:dyDescent="0.2">
      <c r="AC2124" s="33"/>
      <c r="AE2124" s="33"/>
      <c r="AF2124" s="33"/>
    </row>
    <row r="2125" spans="29:32" x14ac:dyDescent="0.2">
      <c r="AC2125" s="33"/>
      <c r="AE2125" s="33"/>
      <c r="AF2125" s="33"/>
    </row>
    <row r="2126" spans="29:32" x14ac:dyDescent="0.2">
      <c r="AC2126" s="33"/>
      <c r="AE2126" s="33"/>
      <c r="AF2126" s="33"/>
    </row>
    <row r="2127" spans="29:32" x14ac:dyDescent="0.2">
      <c r="AC2127" s="33"/>
      <c r="AE2127" s="33"/>
      <c r="AF2127" s="33"/>
    </row>
    <row r="2128" spans="29:32" x14ac:dyDescent="0.2">
      <c r="AC2128" s="33"/>
      <c r="AE2128" s="33"/>
      <c r="AF2128" s="33"/>
    </row>
    <row r="2129" spans="29:32" x14ac:dyDescent="0.2">
      <c r="AC2129" s="33"/>
      <c r="AE2129" s="33"/>
      <c r="AF2129" s="33"/>
    </row>
    <row r="2130" spans="29:32" x14ac:dyDescent="0.2">
      <c r="AC2130" s="33"/>
      <c r="AE2130" s="33"/>
      <c r="AF2130" s="33"/>
    </row>
    <row r="2131" spans="29:32" x14ac:dyDescent="0.2">
      <c r="AC2131" s="33"/>
      <c r="AE2131" s="33"/>
      <c r="AF2131" s="33"/>
    </row>
    <row r="2132" spans="29:32" x14ac:dyDescent="0.2">
      <c r="AC2132" s="33"/>
      <c r="AE2132" s="33"/>
      <c r="AF2132" s="33"/>
    </row>
    <row r="2133" spans="29:32" x14ac:dyDescent="0.2">
      <c r="AC2133" s="33"/>
      <c r="AE2133" s="33"/>
      <c r="AF2133" s="33"/>
    </row>
    <row r="2134" spans="29:32" x14ac:dyDescent="0.2">
      <c r="AC2134" s="33"/>
      <c r="AE2134" s="33"/>
      <c r="AF2134" s="33"/>
    </row>
    <row r="2135" spans="29:32" x14ac:dyDescent="0.2">
      <c r="AC2135" s="33"/>
      <c r="AE2135" s="33"/>
      <c r="AF2135" s="33"/>
    </row>
    <row r="2136" spans="29:32" x14ac:dyDescent="0.2">
      <c r="AC2136" s="33"/>
      <c r="AE2136" s="33"/>
      <c r="AF2136" s="33"/>
    </row>
    <row r="2137" spans="29:32" x14ac:dyDescent="0.2">
      <c r="AC2137" s="33"/>
      <c r="AE2137" s="33"/>
      <c r="AF2137" s="33"/>
    </row>
    <row r="2138" spans="29:32" x14ac:dyDescent="0.2">
      <c r="AC2138" s="33"/>
      <c r="AE2138" s="33"/>
      <c r="AF2138" s="33"/>
    </row>
    <row r="2139" spans="29:32" x14ac:dyDescent="0.2">
      <c r="AC2139" s="33"/>
      <c r="AE2139" s="33"/>
      <c r="AF2139" s="33"/>
    </row>
    <row r="2140" spans="29:32" x14ac:dyDescent="0.2">
      <c r="AC2140" s="33"/>
      <c r="AE2140" s="33"/>
      <c r="AF2140" s="33"/>
    </row>
    <row r="2141" spans="29:32" x14ac:dyDescent="0.2">
      <c r="AC2141" s="33"/>
      <c r="AE2141" s="33"/>
      <c r="AF2141" s="33"/>
    </row>
    <row r="2142" spans="29:32" x14ac:dyDescent="0.2">
      <c r="AC2142" s="33"/>
      <c r="AE2142" s="33"/>
      <c r="AF2142" s="33"/>
    </row>
    <row r="2143" spans="29:32" x14ac:dyDescent="0.2">
      <c r="AC2143" s="33"/>
      <c r="AE2143" s="33"/>
      <c r="AF2143" s="33"/>
    </row>
    <row r="2144" spans="29:32" x14ac:dyDescent="0.2">
      <c r="AC2144" s="33"/>
      <c r="AE2144" s="33"/>
      <c r="AF2144" s="33"/>
    </row>
    <row r="2145" spans="29:32" x14ac:dyDescent="0.2">
      <c r="AC2145" s="33"/>
      <c r="AE2145" s="33"/>
      <c r="AF2145" s="33"/>
    </row>
    <row r="2146" spans="29:32" x14ac:dyDescent="0.2">
      <c r="AC2146" s="33"/>
      <c r="AE2146" s="33"/>
      <c r="AF2146" s="33"/>
    </row>
    <row r="2147" spans="29:32" x14ac:dyDescent="0.2">
      <c r="AC2147" s="33"/>
      <c r="AE2147" s="33"/>
      <c r="AF2147" s="33"/>
    </row>
    <row r="2148" spans="29:32" x14ac:dyDescent="0.2">
      <c r="AC2148" s="33"/>
      <c r="AE2148" s="33"/>
      <c r="AF2148" s="33"/>
    </row>
    <row r="2149" spans="29:32" x14ac:dyDescent="0.2">
      <c r="AC2149" s="33"/>
      <c r="AE2149" s="33"/>
      <c r="AF2149" s="33"/>
    </row>
    <row r="2150" spans="29:32" x14ac:dyDescent="0.2">
      <c r="AC2150" s="33"/>
      <c r="AE2150" s="33"/>
      <c r="AF2150" s="33"/>
    </row>
    <row r="2151" spans="29:32" x14ac:dyDescent="0.2">
      <c r="AC2151" s="33"/>
      <c r="AE2151" s="33"/>
      <c r="AF2151" s="33"/>
    </row>
    <row r="2152" spans="29:32" x14ac:dyDescent="0.2">
      <c r="AC2152" s="33"/>
      <c r="AE2152" s="33"/>
      <c r="AF2152" s="33"/>
    </row>
    <row r="2153" spans="29:32" x14ac:dyDescent="0.2">
      <c r="AC2153" s="33"/>
      <c r="AE2153" s="33"/>
      <c r="AF2153" s="33"/>
    </row>
    <row r="2154" spans="29:32" x14ac:dyDescent="0.2">
      <c r="AC2154" s="33"/>
      <c r="AE2154" s="33"/>
      <c r="AF2154" s="33"/>
    </row>
    <row r="2155" spans="29:32" x14ac:dyDescent="0.2">
      <c r="AC2155" s="33"/>
      <c r="AE2155" s="33"/>
      <c r="AF2155" s="33"/>
    </row>
    <row r="2156" spans="29:32" x14ac:dyDescent="0.2">
      <c r="AC2156" s="33"/>
      <c r="AE2156" s="33"/>
      <c r="AF2156" s="33"/>
    </row>
    <row r="2157" spans="29:32" x14ac:dyDescent="0.2">
      <c r="AC2157" s="33"/>
      <c r="AE2157" s="33"/>
      <c r="AF2157" s="33"/>
    </row>
    <row r="2158" spans="29:32" x14ac:dyDescent="0.2">
      <c r="AC2158" s="33"/>
      <c r="AE2158" s="33"/>
      <c r="AF2158" s="33"/>
    </row>
    <row r="2159" spans="29:32" x14ac:dyDescent="0.2">
      <c r="AC2159" s="33"/>
      <c r="AE2159" s="33"/>
      <c r="AF2159" s="33"/>
    </row>
    <row r="2160" spans="29:32" x14ac:dyDescent="0.2">
      <c r="AC2160" s="33"/>
      <c r="AE2160" s="33"/>
      <c r="AF2160" s="33"/>
    </row>
    <row r="2161" spans="29:32" x14ac:dyDescent="0.2">
      <c r="AC2161" s="33"/>
      <c r="AE2161" s="33"/>
      <c r="AF2161" s="33"/>
    </row>
    <row r="2162" spans="29:32" x14ac:dyDescent="0.2">
      <c r="AC2162" s="33"/>
      <c r="AE2162" s="33"/>
      <c r="AF2162" s="33"/>
    </row>
    <row r="2163" spans="29:32" x14ac:dyDescent="0.2">
      <c r="AC2163" s="33"/>
      <c r="AE2163" s="33"/>
      <c r="AF2163" s="33"/>
    </row>
    <row r="2164" spans="29:32" x14ac:dyDescent="0.2">
      <c r="AC2164" s="33"/>
      <c r="AE2164" s="33"/>
      <c r="AF2164" s="33"/>
    </row>
    <row r="2165" spans="29:32" x14ac:dyDescent="0.2">
      <c r="AC2165" s="33"/>
      <c r="AE2165" s="33"/>
      <c r="AF2165" s="33"/>
    </row>
    <row r="2166" spans="29:32" x14ac:dyDescent="0.2">
      <c r="AC2166" s="33"/>
      <c r="AE2166" s="33"/>
      <c r="AF2166" s="33"/>
    </row>
    <row r="2167" spans="29:32" x14ac:dyDescent="0.2">
      <c r="AC2167" s="33"/>
      <c r="AE2167" s="33"/>
      <c r="AF2167" s="33"/>
    </row>
    <row r="2168" spans="29:32" x14ac:dyDescent="0.2">
      <c r="AC2168" s="33"/>
      <c r="AE2168" s="33"/>
      <c r="AF2168" s="33"/>
    </row>
    <row r="2169" spans="29:32" x14ac:dyDescent="0.2">
      <c r="AC2169" s="33"/>
      <c r="AE2169" s="33"/>
      <c r="AF2169" s="33"/>
    </row>
    <row r="2170" spans="29:32" x14ac:dyDescent="0.2">
      <c r="AC2170" s="33"/>
      <c r="AE2170" s="33"/>
      <c r="AF2170" s="33"/>
    </row>
    <row r="2171" spans="29:32" x14ac:dyDescent="0.2">
      <c r="AC2171" s="33"/>
      <c r="AE2171" s="33"/>
      <c r="AF2171" s="33"/>
    </row>
    <row r="2172" spans="29:32" x14ac:dyDescent="0.2">
      <c r="AC2172" s="33"/>
      <c r="AE2172" s="33"/>
      <c r="AF2172" s="33"/>
    </row>
    <row r="2173" spans="29:32" x14ac:dyDescent="0.2">
      <c r="AC2173" s="33"/>
      <c r="AE2173" s="33"/>
      <c r="AF2173" s="33"/>
    </row>
    <row r="2174" spans="29:32" x14ac:dyDescent="0.2">
      <c r="AC2174" s="33"/>
      <c r="AE2174" s="33"/>
      <c r="AF2174" s="33"/>
    </row>
    <row r="2175" spans="29:32" x14ac:dyDescent="0.2">
      <c r="AC2175" s="33"/>
      <c r="AE2175" s="33"/>
      <c r="AF2175" s="33"/>
    </row>
    <row r="2176" spans="29:32" x14ac:dyDescent="0.2">
      <c r="AC2176" s="33"/>
      <c r="AE2176" s="33"/>
      <c r="AF2176" s="33"/>
    </row>
    <row r="2177" spans="29:32" x14ac:dyDescent="0.2">
      <c r="AC2177" s="33"/>
      <c r="AE2177" s="33"/>
      <c r="AF2177" s="33"/>
    </row>
    <row r="2178" spans="29:32" x14ac:dyDescent="0.2">
      <c r="AC2178" s="33"/>
      <c r="AE2178" s="33"/>
      <c r="AF2178" s="33"/>
    </row>
    <row r="2179" spans="29:32" x14ac:dyDescent="0.2">
      <c r="AC2179" s="33"/>
      <c r="AE2179" s="33"/>
      <c r="AF2179" s="33"/>
    </row>
    <row r="2180" spans="29:32" x14ac:dyDescent="0.2">
      <c r="AC2180" s="33"/>
      <c r="AE2180" s="33"/>
      <c r="AF2180" s="33"/>
    </row>
    <row r="2181" spans="29:32" x14ac:dyDescent="0.2">
      <c r="AC2181" s="33"/>
      <c r="AE2181" s="33"/>
      <c r="AF2181" s="33"/>
    </row>
    <row r="2182" spans="29:32" x14ac:dyDescent="0.2">
      <c r="AC2182" s="33"/>
      <c r="AE2182" s="33"/>
      <c r="AF2182" s="33"/>
    </row>
    <row r="2183" spans="29:32" x14ac:dyDescent="0.2">
      <c r="AC2183" s="33"/>
      <c r="AE2183" s="33"/>
      <c r="AF2183" s="33"/>
    </row>
    <row r="2184" spans="29:32" x14ac:dyDescent="0.2">
      <c r="AC2184" s="33"/>
      <c r="AE2184" s="33"/>
      <c r="AF2184" s="33"/>
    </row>
    <row r="2185" spans="29:32" x14ac:dyDescent="0.2">
      <c r="AC2185" s="33"/>
      <c r="AE2185" s="33"/>
      <c r="AF2185" s="33"/>
    </row>
    <row r="2186" spans="29:32" x14ac:dyDescent="0.2">
      <c r="AC2186" s="33"/>
      <c r="AE2186" s="33"/>
      <c r="AF2186" s="33"/>
    </row>
    <row r="2187" spans="29:32" x14ac:dyDescent="0.2">
      <c r="AC2187" s="33"/>
      <c r="AE2187" s="33"/>
      <c r="AF2187" s="33"/>
    </row>
    <row r="2188" spans="29:32" x14ac:dyDescent="0.2">
      <c r="AC2188" s="33"/>
      <c r="AE2188" s="33"/>
      <c r="AF2188" s="33"/>
    </row>
    <row r="2189" spans="29:32" x14ac:dyDescent="0.2">
      <c r="AC2189" s="33"/>
      <c r="AE2189" s="33"/>
      <c r="AF2189" s="33"/>
    </row>
    <row r="2190" spans="29:32" x14ac:dyDescent="0.2">
      <c r="AC2190" s="33"/>
      <c r="AE2190" s="33"/>
      <c r="AF2190" s="33"/>
    </row>
    <row r="2191" spans="29:32" x14ac:dyDescent="0.2">
      <c r="AC2191" s="33"/>
      <c r="AE2191" s="33"/>
      <c r="AF2191" s="33"/>
    </row>
    <row r="2192" spans="29:32" x14ac:dyDescent="0.2">
      <c r="AC2192" s="33"/>
      <c r="AE2192" s="33"/>
      <c r="AF2192" s="33"/>
    </row>
    <row r="2193" spans="29:32" x14ac:dyDescent="0.2">
      <c r="AC2193" s="33"/>
      <c r="AE2193" s="33"/>
      <c r="AF2193" s="33"/>
    </row>
    <row r="2194" spans="29:32" x14ac:dyDescent="0.2">
      <c r="AC2194" s="33"/>
      <c r="AE2194" s="33"/>
      <c r="AF2194" s="33"/>
    </row>
    <row r="2195" spans="29:32" x14ac:dyDescent="0.2">
      <c r="AC2195" s="33"/>
      <c r="AE2195" s="33"/>
      <c r="AF2195" s="33"/>
    </row>
    <row r="2196" spans="29:32" x14ac:dyDescent="0.2">
      <c r="AC2196" s="33"/>
      <c r="AE2196" s="33"/>
      <c r="AF2196" s="33"/>
    </row>
    <row r="2197" spans="29:32" x14ac:dyDescent="0.2">
      <c r="AC2197" s="33"/>
      <c r="AE2197" s="33"/>
      <c r="AF2197" s="33"/>
    </row>
    <row r="2198" spans="29:32" x14ac:dyDescent="0.2">
      <c r="AC2198" s="33"/>
      <c r="AE2198" s="33"/>
      <c r="AF2198" s="33"/>
    </row>
    <row r="2199" spans="29:32" x14ac:dyDescent="0.2">
      <c r="AC2199" s="33"/>
      <c r="AE2199" s="33"/>
      <c r="AF2199" s="33"/>
    </row>
    <row r="2200" spans="29:32" x14ac:dyDescent="0.2">
      <c r="AC2200" s="33"/>
      <c r="AE2200" s="33"/>
      <c r="AF2200" s="33"/>
    </row>
    <row r="2201" spans="29:32" x14ac:dyDescent="0.2">
      <c r="AC2201" s="33"/>
      <c r="AE2201" s="33"/>
      <c r="AF2201" s="33"/>
    </row>
    <row r="2202" spans="29:32" x14ac:dyDescent="0.2">
      <c r="AC2202" s="33"/>
      <c r="AE2202" s="33"/>
      <c r="AF2202" s="33"/>
    </row>
    <row r="2203" spans="29:32" x14ac:dyDescent="0.2">
      <c r="AC2203" s="33"/>
      <c r="AE2203" s="33"/>
      <c r="AF2203" s="33"/>
    </row>
    <row r="2204" spans="29:32" x14ac:dyDescent="0.2">
      <c r="AC2204" s="33"/>
      <c r="AE2204" s="33"/>
      <c r="AF2204" s="33"/>
    </row>
    <row r="2205" spans="29:32" x14ac:dyDescent="0.2">
      <c r="AC2205" s="33"/>
      <c r="AE2205" s="33"/>
      <c r="AF2205" s="33"/>
    </row>
    <row r="2206" spans="29:32" x14ac:dyDescent="0.2">
      <c r="AC2206" s="33"/>
      <c r="AE2206" s="33"/>
      <c r="AF2206" s="33"/>
    </row>
    <row r="2207" spans="29:32" x14ac:dyDescent="0.2">
      <c r="AC2207" s="33"/>
      <c r="AE2207" s="33"/>
      <c r="AF2207" s="33"/>
    </row>
    <row r="2208" spans="29:32" x14ac:dyDescent="0.2">
      <c r="AC2208" s="33"/>
      <c r="AE2208" s="33"/>
      <c r="AF2208" s="33"/>
    </row>
    <row r="2209" spans="29:32" x14ac:dyDescent="0.2">
      <c r="AC2209" s="33"/>
      <c r="AE2209" s="33"/>
      <c r="AF2209" s="33"/>
    </row>
    <row r="2210" spans="29:32" x14ac:dyDescent="0.2">
      <c r="AC2210" s="33"/>
      <c r="AE2210" s="33"/>
      <c r="AF2210" s="33"/>
    </row>
    <row r="2211" spans="29:32" x14ac:dyDescent="0.2">
      <c r="AC2211" s="33"/>
      <c r="AE2211" s="33"/>
      <c r="AF2211" s="33"/>
    </row>
    <row r="2212" spans="29:32" x14ac:dyDescent="0.2">
      <c r="AC2212" s="33"/>
      <c r="AE2212" s="33"/>
      <c r="AF2212" s="33"/>
    </row>
    <row r="2213" spans="29:32" x14ac:dyDescent="0.2">
      <c r="AC2213" s="33"/>
      <c r="AE2213" s="33"/>
      <c r="AF2213" s="33"/>
    </row>
    <row r="2214" spans="29:32" x14ac:dyDescent="0.2">
      <c r="AC2214" s="33"/>
      <c r="AE2214" s="33"/>
      <c r="AF2214" s="33"/>
    </row>
    <row r="2215" spans="29:32" x14ac:dyDescent="0.2">
      <c r="AC2215" s="33"/>
      <c r="AE2215" s="33"/>
      <c r="AF2215" s="33"/>
    </row>
    <row r="2216" spans="29:32" x14ac:dyDescent="0.2">
      <c r="AC2216" s="33"/>
      <c r="AE2216" s="33"/>
      <c r="AF2216" s="33"/>
    </row>
    <row r="2217" spans="29:32" x14ac:dyDescent="0.2">
      <c r="AC2217" s="33"/>
      <c r="AE2217" s="33"/>
      <c r="AF2217" s="33"/>
    </row>
    <row r="2218" spans="29:32" x14ac:dyDescent="0.2">
      <c r="AC2218" s="33"/>
      <c r="AE2218" s="33"/>
      <c r="AF2218" s="33"/>
    </row>
    <row r="2219" spans="29:32" x14ac:dyDescent="0.2">
      <c r="AC2219" s="33"/>
      <c r="AE2219" s="33"/>
      <c r="AF2219" s="33"/>
    </row>
    <row r="2220" spans="29:32" x14ac:dyDescent="0.2">
      <c r="AC2220" s="33"/>
      <c r="AE2220" s="33"/>
      <c r="AF2220" s="33"/>
    </row>
    <row r="2221" spans="29:32" x14ac:dyDescent="0.2">
      <c r="AC2221" s="33"/>
      <c r="AE2221" s="33"/>
      <c r="AF2221" s="33"/>
    </row>
    <row r="2222" spans="29:32" x14ac:dyDescent="0.2">
      <c r="AC2222" s="33"/>
      <c r="AE2222" s="33"/>
      <c r="AF2222" s="33"/>
    </row>
    <row r="2223" spans="29:32" x14ac:dyDescent="0.2">
      <c r="AC2223" s="33"/>
      <c r="AE2223" s="33"/>
      <c r="AF2223" s="33"/>
    </row>
    <row r="2224" spans="29:32" x14ac:dyDescent="0.2">
      <c r="AC2224" s="33"/>
      <c r="AE2224" s="33"/>
      <c r="AF2224" s="33"/>
    </row>
    <row r="2225" spans="29:32" x14ac:dyDescent="0.2">
      <c r="AC2225" s="33"/>
      <c r="AE2225" s="33"/>
      <c r="AF2225" s="33"/>
    </row>
    <row r="2226" spans="29:32" x14ac:dyDescent="0.2">
      <c r="AC2226" s="33"/>
      <c r="AE2226" s="33"/>
      <c r="AF2226" s="33"/>
    </row>
    <row r="2227" spans="29:32" x14ac:dyDescent="0.2">
      <c r="AC2227" s="33"/>
      <c r="AE2227" s="33"/>
      <c r="AF2227" s="33"/>
    </row>
    <row r="2228" spans="29:32" x14ac:dyDescent="0.2">
      <c r="AC2228" s="33"/>
      <c r="AE2228" s="33"/>
      <c r="AF2228" s="33"/>
    </row>
    <row r="2229" spans="29:32" x14ac:dyDescent="0.2">
      <c r="AC2229" s="33"/>
      <c r="AE2229" s="33"/>
      <c r="AF2229" s="33"/>
    </row>
    <row r="2230" spans="29:32" x14ac:dyDescent="0.2">
      <c r="AC2230" s="33"/>
      <c r="AE2230" s="33"/>
      <c r="AF2230" s="33"/>
    </row>
    <row r="2231" spans="29:32" x14ac:dyDescent="0.2">
      <c r="AC2231" s="33"/>
      <c r="AE2231" s="33"/>
      <c r="AF2231" s="33"/>
    </row>
    <row r="2232" spans="29:32" x14ac:dyDescent="0.2">
      <c r="AC2232" s="33"/>
      <c r="AE2232" s="33"/>
      <c r="AF2232" s="33"/>
    </row>
    <row r="2233" spans="29:32" x14ac:dyDescent="0.2">
      <c r="AC2233" s="33"/>
      <c r="AE2233" s="33"/>
      <c r="AF2233" s="33"/>
    </row>
    <row r="2234" spans="29:32" x14ac:dyDescent="0.2">
      <c r="AC2234" s="33"/>
      <c r="AE2234" s="33"/>
      <c r="AF2234" s="33"/>
    </row>
    <row r="2235" spans="29:32" x14ac:dyDescent="0.2">
      <c r="AC2235" s="33"/>
      <c r="AE2235" s="33"/>
      <c r="AF2235" s="33"/>
    </row>
    <row r="2236" spans="29:32" x14ac:dyDescent="0.2">
      <c r="AC2236" s="33"/>
      <c r="AE2236" s="33"/>
      <c r="AF2236" s="33"/>
    </row>
    <row r="2237" spans="29:32" x14ac:dyDescent="0.2">
      <c r="AC2237" s="33"/>
      <c r="AE2237" s="33"/>
      <c r="AF2237" s="33"/>
    </row>
    <row r="2238" spans="29:32" x14ac:dyDescent="0.2">
      <c r="AC2238" s="33"/>
      <c r="AE2238" s="33"/>
      <c r="AF2238" s="33"/>
    </row>
    <row r="2239" spans="29:32" x14ac:dyDescent="0.2">
      <c r="AC2239" s="33"/>
      <c r="AE2239" s="33"/>
      <c r="AF2239" s="33"/>
    </row>
    <row r="2240" spans="29:32" x14ac:dyDescent="0.2">
      <c r="AC2240" s="33"/>
      <c r="AE2240" s="33"/>
      <c r="AF2240" s="33"/>
    </row>
    <row r="2241" spans="29:32" x14ac:dyDescent="0.2">
      <c r="AC2241" s="33"/>
      <c r="AE2241" s="33"/>
      <c r="AF2241" s="33"/>
    </row>
    <row r="2242" spans="29:32" x14ac:dyDescent="0.2">
      <c r="AC2242" s="33"/>
      <c r="AE2242" s="33"/>
      <c r="AF2242" s="33"/>
    </row>
    <row r="2243" spans="29:32" x14ac:dyDescent="0.2">
      <c r="AC2243" s="33"/>
      <c r="AE2243" s="33"/>
      <c r="AF2243" s="33"/>
    </row>
    <row r="2244" spans="29:32" x14ac:dyDescent="0.2">
      <c r="AC2244" s="33"/>
      <c r="AE2244" s="33"/>
      <c r="AF2244" s="33"/>
    </row>
    <row r="2245" spans="29:32" x14ac:dyDescent="0.2">
      <c r="AC2245" s="33"/>
      <c r="AE2245" s="33"/>
      <c r="AF2245" s="33"/>
    </row>
    <row r="2246" spans="29:32" x14ac:dyDescent="0.2">
      <c r="AC2246" s="33"/>
      <c r="AE2246" s="33"/>
      <c r="AF2246" s="33"/>
    </row>
    <row r="2247" spans="29:32" x14ac:dyDescent="0.2">
      <c r="AC2247" s="33"/>
      <c r="AE2247" s="33"/>
      <c r="AF2247" s="33"/>
    </row>
    <row r="2248" spans="29:32" x14ac:dyDescent="0.2">
      <c r="AC2248" s="33"/>
      <c r="AE2248" s="33"/>
      <c r="AF2248" s="33"/>
    </row>
    <row r="2249" spans="29:32" x14ac:dyDescent="0.2">
      <c r="AC2249" s="33"/>
      <c r="AE2249" s="33"/>
      <c r="AF2249" s="33"/>
    </row>
    <row r="2250" spans="29:32" x14ac:dyDescent="0.2">
      <c r="AC2250" s="33"/>
      <c r="AE2250" s="33"/>
      <c r="AF2250" s="33"/>
    </row>
    <row r="2251" spans="29:32" x14ac:dyDescent="0.2">
      <c r="AC2251" s="33"/>
      <c r="AE2251" s="33"/>
      <c r="AF2251" s="33"/>
    </row>
    <row r="2252" spans="29:32" x14ac:dyDescent="0.2">
      <c r="AC2252" s="33"/>
      <c r="AE2252" s="33"/>
      <c r="AF2252" s="33"/>
    </row>
    <row r="2253" spans="29:32" x14ac:dyDescent="0.2">
      <c r="AC2253" s="33"/>
      <c r="AE2253" s="33"/>
      <c r="AF2253" s="33"/>
    </row>
    <row r="2254" spans="29:32" x14ac:dyDescent="0.2">
      <c r="AC2254" s="33"/>
      <c r="AE2254" s="33"/>
      <c r="AF2254" s="33"/>
    </row>
    <row r="2255" spans="29:32" x14ac:dyDescent="0.2">
      <c r="AC2255" s="33"/>
      <c r="AE2255" s="33"/>
      <c r="AF2255" s="33"/>
    </row>
    <row r="2256" spans="29:32" x14ac:dyDescent="0.2">
      <c r="AC2256" s="33"/>
      <c r="AE2256" s="33"/>
      <c r="AF2256" s="33"/>
    </row>
    <row r="2257" spans="29:32" x14ac:dyDescent="0.2">
      <c r="AC2257" s="33"/>
      <c r="AE2257" s="33"/>
      <c r="AF2257" s="33"/>
    </row>
    <row r="2258" spans="29:32" x14ac:dyDescent="0.2">
      <c r="AC2258" s="33"/>
      <c r="AE2258" s="33"/>
      <c r="AF2258" s="33"/>
    </row>
    <row r="2259" spans="29:32" x14ac:dyDescent="0.2">
      <c r="AC2259" s="33"/>
      <c r="AE2259" s="33"/>
      <c r="AF2259" s="33"/>
    </row>
    <row r="2260" spans="29:32" x14ac:dyDescent="0.2">
      <c r="AC2260" s="33"/>
      <c r="AE2260" s="33"/>
      <c r="AF2260" s="33"/>
    </row>
    <row r="2261" spans="29:32" x14ac:dyDescent="0.2">
      <c r="AC2261" s="33"/>
      <c r="AE2261" s="33"/>
      <c r="AF2261" s="33"/>
    </row>
    <row r="2262" spans="29:32" x14ac:dyDescent="0.2">
      <c r="AC2262" s="33"/>
      <c r="AE2262" s="33"/>
      <c r="AF2262" s="33"/>
    </row>
    <row r="2263" spans="29:32" x14ac:dyDescent="0.2">
      <c r="AC2263" s="33"/>
      <c r="AE2263" s="33"/>
      <c r="AF2263" s="33"/>
    </row>
    <row r="2264" spans="29:32" x14ac:dyDescent="0.2">
      <c r="AC2264" s="33"/>
      <c r="AE2264" s="33"/>
      <c r="AF2264" s="33"/>
    </row>
    <row r="2265" spans="29:32" x14ac:dyDescent="0.2">
      <c r="AC2265" s="33"/>
      <c r="AE2265" s="33"/>
      <c r="AF2265" s="33"/>
    </row>
    <row r="2266" spans="29:32" x14ac:dyDescent="0.2">
      <c r="AC2266" s="33"/>
      <c r="AE2266" s="33"/>
      <c r="AF2266" s="33"/>
    </row>
    <row r="2267" spans="29:32" x14ac:dyDescent="0.2">
      <c r="AC2267" s="33"/>
      <c r="AE2267" s="33"/>
      <c r="AF2267" s="33"/>
    </row>
    <row r="2268" spans="29:32" x14ac:dyDescent="0.2">
      <c r="AC2268" s="33"/>
      <c r="AE2268" s="33"/>
      <c r="AF2268" s="33"/>
    </row>
    <row r="2269" spans="29:32" x14ac:dyDescent="0.2">
      <c r="AC2269" s="33"/>
      <c r="AE2269" s="33"/>
      <c r="AF2269" s="33"/>
    </row>
    <row r="2270" spans="29:32" x14ac:dyDescent="0.2">
      <c r="AC2270" s="33"/>
      <c r="AE2270" s="33"/>
      <c r="AF2270" s="33"/>
    </row>
    <row r="2271" spans="29:32" x14ac:dyDescent="0.2">
      <c r="AC2271" s="33"/>
      <c r="AE2271" s="33"/>
      <c r="AF2271" s="33"/>
    </row>
    <row r="2272" spans="29:32" x14ac:dyDescent="0.2">
      <c r="AC2272" s="33"/>
      <c r="AE2272" s="33"/>
      <c r="AF2272" s="33"/>
    </row>
    <row r="2273" spans="29:32" x14ac:dyDescent="0.2">
      <c r="AC2273" s="33"/>
      <c r="AE2273" s="33"/>
      <c r="AF2273" s="33"/>
    </row>
    <row r="2274" spans="29:32" x14ac:dyDescent="0.2">
      <c r="AC2274" s="33"/>
      <c r="AE2274" s="33"/>
      <c r="AF2274" s="33"/>
    </row>
    <row r="2275" spans="29:32" x14ac:dyDescent="0.2">
      <c r="AC2275" s="33"/>
      <c r="AE2275" s="33"/>
      <c r="AF2275" s="33"/>
    </row>
    <row r="2276" spans="29:32" x14ac:dyDescent="0.2">
      <c r="AC2276" s="33"/>
      <c r="AE2276" s="33"/>
      <c r="AF2276" s="33"/>
    </row>
    <row r="2277" spans="29:32" x14ac:dyDescent="0.2">
      <c r="AC2277" s="33"/>
      <c r="AE2277" s="33"/>
      <c r="AF2277" s="33"/>
    </row>
    <row r="2278" spans="29:32" x14ac:dyDescent="0.2">
      <c r="AC2278" s="33"/>
      <c r="AE2278" s="33"/>
      <c r="AF2278" s="33"/>
    </row>
    <row r="2279" spans="29:32" x14ac:dyDescent="0.2">
      <c r="AC2279" s="33"/>
      <c r="AE2279" s="33"/>
      <c r="AF2279" s="33"/>
    </row>
    <row r="2280" spans="29:32" x14ac:dyDescent="0.2">
      <c r="AC2280" s="33"/>
      <c r="AE2280" s="33"/>
      <c r="AF2280" s="33"/>
    </row>
    <row r="2281" spans="29:32" x14ac:dyDescent="0.2">
      <c r="AC2281" s="33"/>
      <c r="AE2281" s="33"/>
      <c r="AF2281" s="33"/>
    </row>
    <row r="2282" spans="29:32" x14ac:dyDescent="0.2">
      <c r="AC2282" s="33"/>
      <c r="AE2282" s="33"/>
      <c r="AF2282" s="33"/>
    </row>
    <row r="2283" spans="29:32" x14ac:dyDescent="0.2">
      <c r="AC2283" s="33"/>
      <c r="AE2283" s="33"/>
      <c r="AF2283" s="33"/>
    </row>
    <row r="2284" spans="29:32" x14ac:dyDescent="0.2">
      <c r="AC2284" s="33"/>
      <c r="AE2284" s="33"/>
      <c r="AF2284" s="33"/>
    </row>
    <row r="2285" spans="29:32" x14ac:dyDescent="0.2">
      <c r="AC2285" s="33"/>
      <c r="AE2285" s="33"/>
      <c r="AF2285" s="33"/>
    </row>
    <row r="2286" spans="29:32" x14ac:dyDescent="0.2">
      <c r="AC2286" s="33"/>
      <c r="AE2286" s="33"/>
      <c r="AF2286" s="33"/>
    </row>
    <row r="2287" spans="29:32" x14ac:dyDescent="0.2">
      <c r="AC2287" s="33"/>
      <c r="AE2287" s="33"/>
      <c r="AF2287" s="33"/>
    </row>
    <row r="2288" spans="29:32" x14ac:dyDescent="0.2">
      <c r="AC2288" s="33"/>
      <c r="AE2288" s="33"/>
      <c r="AF2288" s="33"/>
    </row>
    <row r="2289" spans="29:32" x14ac:dyDescent="0.2">
      <c r="AC2289" s="33"/>
      <c r="AE2289" s="33"/>
      <c r="AF2289" s="33"/>
    </row>
    <row r="2290" spans="29:32" x14ac:dyDescent="0.2">
      <c r="AC2290" s="33"/>
      <c r="AE2290" s="33"/>
      <c r="AF2290" s="33"/>
    </row>
    <row r="2291" spans="29:32" x14ac:dyDescent="0.2">
      <c r="AC2291" s="33"/>
      <c r="AE2291" s="33"/>
      <c r="AF2291" s="33"/>
    </row>
    <row r="2292" spans="29:32" x14ac:dyDescent="0.2">
      <c r="AC2292" s="33"/>
      <c r="AE2292" s="33"/>
      <c r="AF2292" s="33"/>
    </row>
    <row r="2293" spans="29:32" x14ac:dyDescent="0.2">
      <c r="AC2293" s="33"/>
      <c r="AE2293" s="33"/>
      <c r="AF2293" s="33"/>
    </row>
    <row r="2294" spans="29:32" x14ac:dyDescent="0.2">
      <c r="AC2294" s="33"/>
      <c r="AE2294" s="33"/>
      <c r="AF2294" s="33"/>
    </row>
    <row r="2295" spans="29:32" x14ac:dyDescent="0.2">
      <c r="AC2295" s="33"/>
      <c r="AE2295" s="33"/>
      <c r="AF2295" s="33"/>
    </row>
    <row r="2296" spans="29:32" x14ac:dyDescent="0.2">
      <c r="AC2296" s="33"/>
      <c r="AE2296" s="33"/>
      <c r="AF2296" s="33"/>
    </row>
    <row r="2297" spans="29:32" x14ac:dyDescent="0.2">
      <c r="AC2297" s="33"/>
      <c r="AE2297" s="33"/>
      <c r="AF2297" s="33"/>
    </row>
    <row r="2298" spans="29:32" x14ac:dyDescent="0.2">
      <c r="AC2298" s="33"/>
      <c r="AE2298" s="33"/>
      <c r="AF2298" s="33"/>
    </row>
    <row r="2299" spans="29:32" x14ac:dyDescent="0.2">
      <c r="AC2299" s="33"/>
      <c r="AE2299" s="33"/>
      <c r="AF2299" s="33"/>
    </row>
    <row r="2300" spans="29:32" x14ac:dyDescent="0.2">
      <c r="AC2300" s="33"/>
      <c r="AE2300" s="33"/>
      <c r="AF2300" s="33"/>
    </row>
    <row r="2301" spans="29:32" x14ac:dyDescent="0.2">
      <c r="AC2301" s="33"/>
      <c r="AE2301" s="33"/>
      <c r="AF2301" s="33"/>
    </row>
    <row r="2302" spans="29:32" x14ac:dyDescent="0.2">
      <c r="AC2302" s="33"/>
      <c r="AE2302" s="33"/>
      <c r="AF2302" s="33"/>
    </row>
    <row r="2303" spans="29:32" x14ac:dyDescent="0.2">
      <c r="AC2303" s="33"/>
      <c r="AE2303" s="33"/>
      <c r="AF2303" s="33"/>
    </row>
    <row r="2304" spans="29:32" x14ac:dyDescent="0.2">
      <c r="AC2304" s="33"/>
      <c r="AE2304" s="33"/>
      <c r="AF2304" s="33"/>
    </row>
    <row r="2305" spans="29:32" x14ac:dyDescent="0.2">
      <c r="AC2305" s="33"/>
      <c r="AE2305" s="33"/>
      <c r="AF2305" s="33"/>
    </row>
    <row r="2306" spans="29:32" x14ac:dyDescent="0.2">
      <c r="AC2306" s="33"/>
      <c r="AE2306" s="33"/>
      <c r="AF2306" s="33"/>
    </row>
    <row r="2307" spans="29:32" x14ac:dyDescent="0.2">
      <c r="AC2307" s="33"/>
      <c r="AE2307" s="33"/>
      <c r="AF2307" s="33"/>
    </row>
    <row r="2308" spans="29:32" x14ac:dyDescent="0.2">
      <c r="AC2308" s="33"/>
      <c r="AE2308" s="33"/>
      <c r="AF2308" s="33"/>
    </row>
    <row r="2309" spans="29:32" x14ac:dyDescent="0.2">
      <c r="AC2309" s="33"/>
      <c r="AE2309" s="33"/>
      <c r="AF2309" s="33"/>
    </row>
    <row r="2310" spans="29:32" x14ac:dyDescent="0.2">
      <c r="AC2310" s="33"/>
      <c r="AE2310" s="33"/>
      <c r="AF2310" s="33"/>
    </row>
    <row r="2311" spans="29:32" x14ac:dyDescent="0.2">
      <c r="AC2311" s="33"/>
      <c r="AE2311" s="33"/>
      <c r="AF2311" s="33"/>
    </row>
    <row r="2312" spans="29:32" x14ac:dyDescent="0.2">
      <c r="AC2312" s="33"/>
      <c r="AE2312" s="33"/>
      <c r="AF2312" s="33"/>
    </row>
    <row r="2313" spans="29:32" x14ac:dyDescent="0.2">
      <c r="AC2313" s="33"/>
      <c r="AE2313" s="33"/>
      <c r="AF2313" s="33"/>
    </row>
    <row r="2314" spans="29:32" x14ac:dyDescent="0.2">
      <c r="AC2314" s="33"/>
      <c r="AE2314" s="33"/>
      <c r="AF2314" s="33"/>
    </row>
    <row r="2315" spans="29:32" x14ac:dyDescent="0.2">
      <c r="AC2315" s="33"/>
      <c r="AE2315" s="33"/>
      <c r="AF2315" s="33"/>
    </row>
    <row r="2316" spans="29:32" x14ac:dyDescent="0.2">
      <c r="AC2316" s="33"/>
      <c r="AE2316" s="33"/>
      <c r="AF2316" s="33"/>
    </row>
    <row r="2317" spans="29:32" x14ac:dyDescent="0.2">
      <c r="AC2317" s="33"/>
      <c r="AE2317" s="33"/>
      <c r="AF2317" s="33"/>
    </row>
    <row r="2318" spans="29:32" x14ac:dyDescent="0.2">
      <c r="AC2318" s="33"/>
      <c r="AE2318" s="33"/>
      <c r="AF2318" s="33"/>
    </row>
    <row r="2319" spans="29:32" x14ac:dyDescent="0.2">
      <c r="AC2319" s="33"/>
      <c r="AE2319" s="33"/>
      <c r="AF2319" s="33"/>
    </row>
    <row r="2320" spans="29:32" x14ac:dyDescent="0.2">
      <c r="AC2320" s="33"/>
      <c r="AE2320" s="33"/>
      <c r="AF2320" s="33"/>
    </row>
    <row r="2321" spans="29:32" x14ac:dyDescent="0.2">
      <c r="AC2321" s="33"/>
      <c r="AE2321" s="33"/>
      <c r="AF2321" s="33"/>
    </row>
    <row r="2322" spans="29:32" x14ac:dyDescent="0.2">
      <c r="AC2322" s="33"/>
      <c r="AE2322" s="33"/>
      <c r="AF2322" s="33"/>
    </row>
    <row r="2323" spans="29:32" x14ac:dyDescent="0.2">
      <c r="AC2323" s="33"/>
      <c r="AE2323" s="33"/>
      <c r="AF2323" s="33"/>
    </row>
    <row r="2324" spans="29:32" x14ac:dyDescent="0.2">
      <c r="AC2324" s="33"/>
      <c r="AE2324" s="33"/>
      <c r="AF2324" s="33"/>
    </row>
    <row r="2325" spans="29:32" x14ac:dyDescent="0.2">
      <c r="AC2325" s="33"/>
      <c r="AE2325" s="33"/>
      <c r="AF2325" s="33"/>
    </row>
    <row r="2326" spans="29:32" x14ac:dyDescent="0.2">
      <c r="AC2326" s="33"/>
      <c r="AE2326" s="33"/>
      <c r="AF2326" s="33"/>
    </row>
    <row r="2327" spans="29:32" x14ac:dyDescent="0.2">
      <c r="AC2327" s="33"/>
      <c r="AE2327" s="33"/>
      <c r="AF2327" s="33"/>
    </row>
    <row r="2328" spans="29:32" x14ac:dyDescent="0.2">
      <c r="AC2328" s="33"/>
      <c r="AE2328" s="33"/>
      <c r="AF2328" s="33"/>
    </row>
    <row r="2329" spans="29:32" x14ac:dyDescent="0.2">
      <c r="AC2329" s="33"/>
      <c r="AE2329" s="33"/>
      <c r="AF2329" s="33"/>
    </row>
    <row r="2330" spans="29:32" x14ac:dyDescent="0.2">
      <c r="AC2330" s="33"/>
      <c r="AE2330" s="33"/>
      <c r="AF2330" s="33"/>
    </row>
    <row r="2331" spans="29:32" x14ac:dyDescent="0.2">
      <c r="AC2331" s="33"/>
      <c r="AE2331" s="33"/>
      <c r="AF2331" s="33"/>
    </row>
    <row r="2332" spans="29:32" x14ac:dyDescent="0.2">
      <c r="AC2332" s="33"/>
      <c r="AE2332" s="33"/>
      <c r="AF2332" s="33"/>
    </row>
    <row r="2333" spans="29:32" x14ac:dyDescent="0.2">
      <c r="AC2333" s="33"/>
      <c r="AE2333" s="33"/>
      <c r="AF2333" s="33"/>
    </row>
    <row r="2334" spans="29:32" x14ac:dyDescent="0.2">
      <c r="AC2334" s="33"/>
      <c r="AE2334" s="33"/>
      <c r="AF2334" s="33"/>
    </row>
    <row r="2335" spans="29:32" x14ac:dyDescent="0.2">
      <c r="AC2335" s="33"/>
      <c r="AE2335" s="33"/>
      <c r="AF2335" s="33"/>
    </row>
    <row r="2336" spans="29:32" x14ac:dyDescent="0.2">
      <c r="AC2336" s="33"/>
      <c r="AE2336" s="33"/>
      <c r="AF2336" s="33"/>
    </row>
    <row r="2337" spans="29:32" x14ac:dyDescent="0.2">
      <c r="AC2337" s="33"/>
      <c r="AE2337" s="33"/>
      <c r="AF2337" s="33"/>
    </row>
    <row r="2338" spans="29:32" x14ac:dyDescent="0.2">
      <c r="AC2338" s="33"/>
      <c r="AE2338" s="33"/>
      <c r="AF2338" s="33"/>
    </row>
    <row r="2339" spans="29:32" x14ac:dyDescent="0.2">
      <c r="AC2339" s="33"/>
      <c r="AE2339" s="33"/>
      <c r="AF2339" s="33"/>
    </row>
    <row r="2340" spans="29:32" x14ac:dyDescent="0.2">
      <c r="AC2340" s="33"/>
      <c r="AE2340" s="33"/>
      <c r="AF2340" s="33"/>
    </row>
    <row r="2341" spans="29:32" x14ac:dyDescent="0.2">
      <c r="AC2341" s="33"/>
      <c r="AE2341" s="33"/>
      <c r="AF2341" s="33"/>
    </row>
    <row r="2342" spans="29:32" x14ac:dyDescent="0.2">
      <c r="AC2342" s="33"/>
      <c r="AE2342" s="33"/>
      <c r="AF2342" s="33"/>
    </row>
    <row r="2343" spans="29:32" x14ac:dyDescent="0.2">
      <c r="AC2343" s="33"/>
      <c r="AE2343" s="33"/>
      <c r="AF2343" s="33"/>
    </row>
    <row r="2344" spans="29:32" x14ac:dyDescent="0.2">
      <c r="AC2344" s="33"/>
      <c r="AE2344" s="33"/>
      <c r="AF2344" s="33"/>
    </row>
    <row r="2345" spans="29:32" x14ac:dyDescent="0.2">
      <c r="AC2345" s="33"/>
      <c r="AE2345" s="33"/>
      <c r="AF2345" s="33"/>
    </row>
    <row r="2346" spans="29:32" x14ac:dyDescent="0.2">
      <c r="AC2346" s="33"/>
      <c r="AE2346" s="33"/>
      <c r="AF2346" s="33"/>
    </row>
    <row r="2347" spans="29:32" x14ac:dyDescent="0.2">
      <c r="AC2347" s="33"/>
      <c r="AE2347" s="33"/>
      <c r="AF2347" s="33"/>
    </row>
    <row r="2348" spans="29:32" x14ac:dyDescent="0.2">
      <c r="AC2348" s="33"/>
      <c r="AE2348" s="33"/>
      <c r="AF2348" s="33"/>
    </row>
    <row r="2349" spans="29:32" x14ac:dyDescent="0.2">
      <c r="AC2349" s="33"/>
      <c r="AE2349" s="33"/>
      <c r="AF2349" s="33"/>
    </row>
    <row r="2350" spans="29:32" x14ac:dyDescent="0.2">
      <c r="AC2350" s="33"/>
      <c r="AE2350" s="33"/>
      <c r="AF2350" s="33"/>
    </row>
    <row r="2351" spans="29:32" x14ac:dyDescent="0.2">
      <c r="AC2351" s="33"/>
      <c r="AE2351" s="33"/>
      <c r="AF2351" s="33"/>
    </row>
    <row r="2352" spans="29:32" x14ac:dyDescent="0.2">
      <c r="AC2352" s="33"/>
      <c r="AE2352" s="33"/>
      <c r="AF2352" s="33"/>
    </row>
    <row r="2353" spans="29:32" x14ac:dyDescent="0.2">
      <c r="AC2353" s="33"/>
      <c r="AE2353" s="33"/>
      <c r="AF2353" s="33"/>
    </row>
    <row r="2354" spans="29:32" x14ac:dyDescent="0.2">
      <c r="AC2354" s="33"/>
      <c r="AE2354" s="33"/>
      <c r="AF2354" s="33"/>
    </row>
    <row r="2355" spans="29:32" x14ac:dyDescent="0.2">
      <c r="AC2355" s="33"/>
      <c r="AE2355" s="33"/>
      <c r="AF2355" s="33"/>
    </row>
    <row r="2356" spans="29:32" x14ac:dyDescent="0.2">
      <c r="AC2356" s="33"/>
      <c r="AE2356" s="33"/>
      <c r="AF2356" s="33"/>
    </row>
    <row r="2357" spans="29:32" x14ac:dyDescent="0.2">
      <c r="AC2357" s="33"/>
      <c r="AE2357" s="33"/>
      <c r="AF2357" s="33"/>
    </row>
    <row r="2358" spans="29:32" x14ac:dyDescent="0.2">
      <c r="AC2358" s="33"/>
      <c r="AE2358" s="33"/>
      <c r="AF2358" s="33"/>
    </row>
    <row r="2359" spans="29:32" x14ac:dyDescent="0.2">
      <c r="AC2359" s="33"/>
      <c r="AE2359" s="33"/>
      <c r="AF2359" s="33"/>
    </row>
    <row r="2360" spans="29:32" x14ac:dyDescent="0.2">
      <c r="AC2360" s="33"/>
      <c r="AE2360" s="33"/>
      <c r="AF2360" s="33"/>
    </row>
    <row r="2361" spans="29:32" x14ac:dyDescent="0.2">
      <c r="AC2361" s="33"/>
      <c r="AE2361" s="33"/>
      <c r="AF2361" s="33"/>
    </row>
    <row r="2362" spans="29:32" x14ac:dyDescent="0.2">
      <c r="AC2362" s="33"/>
      <c r="AE2362" s="33"/>
      <c r="AF2362" s="33"/>
    </row>
    <row r="2363" spans="29:32" x14ac:dyDescent="0.2">
      <c r="AC2363" s="33"/>
      <c r="AE2363" s="33"/>
      <c r="AF2363" s="33"/>
    </row>
    <row r="2364" spans="29:32" x14ac:dyDescent="0.2">
      <c r="AC2364" s="33"/>
      <c r="AE2364" s="33"/>
      <c r="AF2364" s="33"/>
    </row>
    <row r="2365" spans="29:32" x14ac:dyDescent="0.2">
      <c r="AC2365" s="33"/>
      <c r="AE2365" s="33"/>
      <c r="AF2365" s="33"/>
    </row>
    <row r="2366" spans="29:32" x14ac:dyDescent="0.2">
      <c r="AC2366" s="33"/>
      <c r="AE2366" s="33"/>
      <c r="AF2366" s="33"/>
    </row>
    <row r="2367" spans="29:32" x14ac:dyDescent="0.2">
      <c r="AC2367" s="33"/>
      <c r="AE2367" s="33"/>
      <c r="AF2367" s="33"/>
    </row>
    <row r="2368" spans="29:32" x14ac:dyDescent="0.2">
      <c r="AC2368" s="33"/>
      <c r="AE2368" s="33"/>
      <c r="AF2368" s="33"/>
    </row>
    <row r="2369" spans="29:32" x14ac:dyDescent="0.2">
      <c r="AC2369" s="33"/>
      <c r="AE2369" s="33"/>
      <c r="AF2369" s="33"/>
    </row>
    <row r="2370" spans="29:32" x14ac:dyDescent="0.2">
      <c r="AC2370" s="33"/>
      <c r="AE2370" s="33"/>
      <c r="AF2370" s="33"/>
    </row>
    <row r="2371" spans="29:32" x14ac:dyDescent="0.2">
      <c r="AC2371" s="33"/>
      <c r="AE2371" s="33"/>
      <c r="AF2371" s="33"/>
    </row>
    <row r="2372" spans="29:32" x14ac:dyDescent="0.2">
      <c r="AC2372" s="33"/>
      <c r="AE2372" s="33"/>
      <c r="AF2372" s="33"/>
    </row>
    <row r="2373" spans="29:32" x14ac:dyDescent="0.2">
      <c r="AC2373" s="33"/>
      <c r="AE2373" s="33"/>
      <c r="AF2373" s="33"/>
    </row>
    <row r="2374" spans="29:32" x14ac:dyDescent="0.2">
      <c r="AC2374" s="33"/>
      <c r="AE2374" s="33"/>
      <c r="AF2374" s="33"/>
    </row>
    <row r="2375" spans="29:32" x14ac:dyDescent="0.2">
      <c r="AC2375" s="33"/>
      <c r="AE2375" s="33"/>
      <c r="AF2375" s="33"/>
    </row>
    <row r="2376" spans="29:32" x14ac:dyDescent="0.2">
      <c r="AC2376" s="33"/>
      <c r="AE2376" s="33"/>
      <c r="AF2376" s="33"/>
    </row>
    <row r="2377" spans="29:32" x14ac:dyDescent="0.2">
      <c r="AC2377" s="33"/>
      <c r="AE2377" s="33"/>
      <c r="AF2377" s="33"/>
    </row>
    <row r="2378" spans="29:32" x14ac:dyDescent="0.2">
      <c r="AC2378" s="33"/>
      <c r="AE2378" s="33"/>
      <c r="AF2378" s="33"/>
    </row>
    <row r="2379" spans="29:32" x14ac:dyDescent="0.2">
      <c r="AC2379" s="33"/>
      <c r="AE2379" s="33"/>
      <c r="AF2379" s="33"/>
    </row>
    <row r="2380" spans="29:32" x14ac:dyDescent="0.2">
      <c r="AC2380" s="33"/>
      <c r="AE2380" s="33"/>
      <c r="AF2380" s="33"/>
    </row>
    <row r="2381" spans="29:32" x14ac:dyDescent="0.2">
      <c r="AC2381" s="33"/>
      <c r="AE2381" s="33"/>
      <c r="AF2381" s="33"/>
    </row>
    <row r="2382" spans="29:32" x14ac:dyDescent="0.2">
      <c r="AC2382" s="33"/>
      <c r="AE2382" s="33"/>
      <c r="AF2382" s="33"/>
    </row>
    <row r="2383" spans="29:32" x14ac:dyDescent="0.2">
      <c r="AC2383" s="33"/>
      <c r="AE2383" s="33"/>
      <c r="AF2383" s="33"/>
    </row>
    <row r="2384" spans="29:32" x14ac:dyDescent="0.2">
      <c r="AC2384" s="33"/>
      <c r="AE2384" s="33"/>
      <c r="AF2384" s="33"/>
    </row>
    <row r="2385" spans="29:32" x14ac:dyDescent="0.2">
      <c r="AC2385" s="33"/>
      <c r="AE2385" s="33"/>
      <c r="AF2385" s="33"/>
    </row>
    <row r="2386" spans="29:32" x14ac:dyDescent="0.2">
      <c r="AC2386" s="33"/>
      <c r="AE2386" s="33"/>
      <c r="AF2386" s="33"/>
    </row>
    <row r="2387" spans="29:32" x14ac:dyDescent="0.2">
      <c r="AC2387" s="33"/>
      <c r="AE2387" s="33"/>
      <c r="AF2387" s="33"/>
    </row>
    <row r="2388" spans="29:32" x14ac:dyDescent="0.2">
      <c r="AC2388" s="33"/>
      <c r="AE2388" s="33"/>
      <c r="AF2388" s="33"/>
    </row>
    <row r="2389" spans="29:32" x14ac:dyDescent="0.2">
      <c r="AC2389" s="33"/>
      <c r="AE2389" s="33"/>
      <c r="AF2389" s="33"/>
    </row>
    <row r="2390" spans="29:32" x14ac:dyDescent="0.2">
      <c r="AC2390" s="33"/>
      <c r="AE2390" s="33"/>
      <c r="AF2390" s="33"/>
    </row>
    <row r="2391" spans="29:32" x14ac:dyDescent="0.2">
      <c r="AC2391" s="33"/>
      <c r="AE2391" s="33"/>
      <c r="AF2391" s="33"/>
    </row>
    <row r="2392" spans="29:32" x14ac:dyDescent="0.2">
      <c r="AC2392" s="33"/>
      <c r="AE2392" s="33"/>
      <c r="AF2392" s="33"/>
    </row>
    <row r="2393" spans="29:32" x14ac:dyDescent="0.2">
      <c r="AC2393" s="33"/>
      <c r="AE2393" s="33"/>
      <c r="AF2393" s="33"/>
    </row>
    <row r="2394" spans="29:32" x14ac:dyDescent="0.2">
      <c r="AC2394" s="33"/>
      <c r="AE2394" s="33"/>
      <c r="AF2394" s="33"/>
    </row>
    <row r="2395" spans="29:32" x14ac:dyDescent="0.2">
      <c r="AC2395" s="33"/>
      <c r="AE2395" s="33"/>
      <c r="AF2395" s="33"/>
    </row>
    <row r="2396" spans="29:32" x14ac:dyDescent="0.2">
      <c r="AC2396" s="33"/>
      <c r="AE2396" s="33"/>
      <c r="AF2396" s="33"/>
    </row>
    <row r="2397" spans="29:32" x14ac:dyDescent="0.2">
      <c r="AC2397" s="33"/>
      <c r="AE2397" s="33"/>
      <c r="AF2397" s="33"/>
    </row>
    <row r="2398" spans="29:32" x14ac:dyDescent="0.2">
      <c r="AC2398" s="33"/>
      <c r="AE2398" s="33"/>
      <c r="AF2398" s="33"/>
    </row>
    <row r="2399" spans="29:32" x14ac:dyDescent="0.2">
      <c r="AC2399" s="33"/>
      <c r="AE2399" s="33"/>
      <c r="AF2399" s="33"/>
    </row>
    <row r="2400" spans="29:32" x14ac:dyDescent="0.2">
      <c r="AC2400" s="33"/>
      <c r="AE2400" s="33"/>
      <c r="AF2400" s="33"/>
    </row>
    <row r="2401" spans="29:32" x14ac:dyDescent="0.2">
      <c r="AC2401" s="33"/>
      <c r="AE2401" s="33"/>
      <c r="AF2401" s="33"/>
    </row>
    <row r="2402" spans="29:32" x14ac:dyDescent="0.2">
      <c r="AC2402" s="33"/>
      <c r="AE2402" s="33"/>
      <c r="AF2402" s="33"/>
    </row>
    <row r="2403" spans="29:32" x14ac:dyDescent="0.2">
      <c r="AC2403" s="33"/>
      <c r="AE2403" s="33"/>
      <c r="AF2403" s="33"/>
    </row>
    <row r="2404" spans="29:32" x14ac:dyDescent="0.2">
      <c r="AC2404" s="33"/>
      <c r="AE2404" s="33"/>
      <c r="AF2404" s="33"/>
    </row>
    <row r="2405" spans="29:32" x14ac:dyDescent="0.2">
      <c r="AC2405" s="33"/>
      <c r="AE2405" s="33"/>
      <c r="AF2405" s="33"/>
    </row>
    <row r="2406" spans="29:32" x14ac:dyDescent="0.2">
      <c r="AC2406" s="33"/>
      <c r="AE2406" s="33"/>
      <c r="AF2406" s="33"/>
    </row>
    <row r="2407" spans="29:32" x14ac:dyDescent="0.2">
      <c r="AC2407" s="33"/>
      <c r="AE2407" s="33"/>
      <c r="AF2407" s="33"/>
    </row>
    <row r="2408" spans="29:32" x14ac:dyDescent="0.2">
      <c r="AC2408" s="33"/>
      <c r="AE2408" s="33"/>
      <c r="AF2408" s="33"/>
    </row>
    <row r="2409" spans="29:32" x14ac:dyDescent="0.2">
      <c r="AC2409" s="33"/>
      <c r="AE2409" s="33"/>
      <c r="AF2409" s="33"/>
    </row>
    <row r="2410" spans="29:32" x14ac:dyDescent="0.2">
      <c r="AC2410" s="33"/>
      <c r="AE2410" s="33"/>
      <c r="AF2410" s="33"/>
    </row>
    <row r="2411" spans="29:32" x14ac:dyDescent="0.2">
      <c r="AC2411" s="33"/>
      <c r="AE2411" s="33"/>
      <c r="AF2411" s="33"/>
    </row>
    <row r="2412" spans="29:32" x14ac:dyDescent="0.2">
      <c r="AC2412" s="33"/>
      <c r="AE2412" s="33"/>
      <c r="AF2412" s="33"/>
    </row>
    <row r="2413" spans="29:32" x14ac:dyDescent="0.2">
      <c r="AC2413" s="33"/>
      <c r="AE2413" s="33"/>
      <c r="AF2413" s="33"/>
    </row>
    <row r="2414" spans="29:32" x14ac:dyDescent="0.2">
      <c r="AC2414" s="33"/>
      <c r="AE2414" s="33"/>
      <c r="AF2414" s="33"/>
    </row>
    <row r="2415" spans="29:32" x14ac:dyDescent="0.2">
      <c r="AC2415" s="33"/>
      <c r="AE2415" s="33"/>
      <c r="AF2415" s="33"/>
    </row>
    <row r="2416" spans="29:32" x14ac:dyDescent="0.2">
      <c r="AC2416" s="33"/>
      <c r="AE2416" s="33"/>
      <c r="AF2416" s="33"/>
    </row>
    <row r="2417" spans="29:32" x14ac:dyDescent="0.2">
      <c r="AC2417" s="33"/>
      <c r="AE2417" s="33"/>
      <c r="AF2417" s="33"/>
    </row>
    <row r="2418" spans="29:32" x14ac:dyDescent="0.2">
      <c r="AC2418" s="33"/>
      <c r="AE2418" s="33"/>
      <c r="AF2418" s="33"/>
    </row>
    <row r="2419" spans="29:32" x14ac:dyDescent="0.2">
      <c r="AC2419" s="33"/>
      <c r="AE2419" s="33"/>
      <c r="AF2419" s="33"/>
    </row>
    <row r="2420" spans="29:32" x14ac:dyDescent="0.2">
      <c r="AC2420" s="33"/>
      <c r="AE2420" s="33"/>
      <c r="AF2420" s="33"/>
    </row>
    <row r="2421" spans="29:32" x14ac:dyDescent="0.2">
      <c r="AC2421" s="33"/>
      <c r="AE2421" s="33"/>
      <c r="AF2421" s="33"/>
    </row>
    <row r="2422" spans="29:32" x14ac:dyDescent="0.2">
      <c r="AC2422" s="33"/>
      <c r="AE2422" s="33"/>
      <c r="AF2422" s="33"/>
    </row>
    <row r="2423" spans="29:32" x14ac:dyDescent="0.2">
      <c r="AC2423" s="33"/>
      <c r="AE2423" s="33"/>
      <c r="AF2423" s="33"/>
    </row>
    <row r="2424" spans="29:32" x14ac:dyDescent="0.2">
      <c r="AC2424" s="33"/>
      <c r="AE2424" s="33"/>
      <c r="AF2424" s="33"/>
    </row>
    <row r="2425" spans="29:32" x14ac:dyDescent="0.2">
      <c r="AC2425" s="33"/>
      <c r="AE2425" s="33"/>
      <c r="AF2425" s="33"/>
    </row>
    <row r="2426" spans="29:32" x14ac:dyDescent="0.2">
      <c r="AC2426" s="33"/>
      <c r="AE2426" s="33"/>
      <c r="AF2426" s="33"/>
    </row>
    <row r="2427" spans="29:32" x14ac:dyDescent="0.2">
      <c r="AC2427" s="33"/>
      <c r="AE2427" s="33"/>
      <c r="AF2427" s="33"/>
    </row>
    <row r="2428" spans="29:32" x14ac:dyDescent="0.2">
      <c r="AC2428" s="33"/>
      <c r="AE2428" s="33"/>
      <c r="AF2428" s="33"/>
    </row>
    <row r="2429" spans="29:32" x14ac:dyDescent="0.2">
      <c r="AC2429" s="33"/>
      <c r="AE2429" s="33"/>
      <c r="AF2429" s="33"/>
    </row>
    <row r="2430" spans="29:32" x14ac:dyDescent="0.2">
      <c r="AC2430" s="33"/>
      <c r="AE2430" s="33"/>
      <c r="AF2430" s="33"/>
    </row>
    <row r="2431" spans="29:32" x14ac:dyDescent="0.2">
      <c r="AC2431" s="33"/>
      <c r="AE2431" s="33"/>
      <c r="AF2431" s="33"/>
    </row>
    <row r="2432" spans="29:32" x14ac:dyDescent="0.2">
      <c r="AC2432" s="33"/>
      <c r="AE2432" s="33"/>
      <c r="AF2432" s="33"/>
    </row>
    <row r="2433" spans="29:32" x14ac:dyDescent="0.2">
      <c r="AC2433" s="33"/>
      <c r="AE2433" s="33"/>
      <c r="AF2433" s="33"/>
    </row>
    <row r="2434" spans="29:32" x14ac:dyDescent="0.2">
      <c r="AC2434" s="33"/>
      <c r="AE2434" s="33"/>
      <c r="AF2434" s="33"/>
    </row>
    <row r="2435" spans="29:32" x14ac:dyDescent="0.2">
      <c r="AC2435" s="33"/>
      <c r="AE2435" s="33"/>
      <c r="AF2435" s="33"/>
    </row>
    <row r="2436" spans="29:32" x14ac:dyDescent="0.2">
      <c r="AC2436" s="33"/>
      <c r="AE2436" s="33"/>
      <c r="AF2436" s="33"/>
    </row>
    <row r="2437" spans="29:32" x14ac:dyDescent="0.2">
      <c r="AC2437" s="33"/>
      <c r="AE2437" s="33"/>
      <c r="AF2437" s="33"/>
    </row>
    <row r="2438" spans="29:32" x14ac:dyDescent="0.2">
      <c r="AC2438" s="33"/>
      <c r="AE2438" s="33"/>
      <c r="AF2438" s="33"/>
    </row>
    <row r="2439" spans="29:32" x14ac:dyDescent="0.2">
      <c r="AC2439" s="33"/>
      <c r="AE2439" s="33"/>
      <c r="AF2439" s="33"/>
    </row>
    <row r="2440" spans="29:32" x14ac:dyDescent="0.2">
      <c r="AC2440" s="33"/>
      <c r="AE2440" s="33"/>
      <c r="AF2440" s="33"/>
    </row>
    <row r="2441" spans="29:32" x14ac:dyDescent="0.2">
      <c r="AC2441" s="33"/>
      <c r="AE2441" s="33"/>
      <c r="AF2441" s="33"/>
    </row>
    <row r="2442" spans="29:32" x14ac:dyDescent="0.2">
      <c r="AC2442" s="33"/>
      <c r="AE2442" s="33"/>
      <c r="AF2442" s="33"/>
    </row>
    <row r="2443" spans="29:32" x14ac:dyDescent="0.2">
      <c r="AC2443" s="33"/>
      <c r="AE2443" s="33"/>
      <c r="AF2443" s="33"/>
    </row>
    <row r="2444" spans="29:32" x14ac:dyDescent="0.2">
      <c r="AC2444" s="33"/>
      <c r="AE2444" s="33"/>
      <c r="AF2444" s="33"/>
    </row>
    <row r="2445" spans="29:32" x14ac:dyDescent="0.2">
      <c r="AC2445" s="33"/>
      <c r="AE2445" s="33"/>
      <c r="AF2445" s="33"/>
    </row>
    <row r="2446" spans="29:32" x14ac:dyDescent="0.2">
      <c r="AC2446" s="33"/>
      <c r="AE2446" s="33"/>
      <c r="AF2446" s="33"/>
    </row>
    <row r="2447" spans="29:32" x14ac:dyDescent="0.2">
      <c r="AC2447" s="33"/>
      <c r="AE2447" s="33"/>
      <c r="AF2447" s="33"/>
    </row>
    <row r="2448" spans="29:32" x14ac:dyDescent="0.2">
      <c r="AC2448" s="33"/>
      <c r="AE2448" s="33"/>
      <c r="AF2448" s="33"/>
    </row>
    <row r="2449" spans="29:32" x14ac:dyDescent="0.2">
      <c r="AC2449" s="33"/>
      <c r="AE2449" s="33"/>
      <c r="AF2449" s="33"/>
    </row>
    <row r="2450" spans="29:32" x14ac:dyDescent="0.2">
      <c r="AC2450" s="33"/>
      <c r="AE2450" s="33"/>
      <c r="AF2450" s="33"/>
    </row>
    <row r="2451" spans="29:32" x14ac:dyDescent="0.2">
      <c r="AC2451" s="33"/>
      <c r="AE2451" s="33"/>
      <c r="AF2451" s="33"/>
    </row>
    <row r="2452" spans="29:32" x14ac:dyDescent="0.2">
      <c r="AC2452" s="33"/>
      <c r="AE2452" s="33"/>
      <c r="AF2452" s="33"/>
    </row>
    <row r="2453" spans="29:32" x14ac:dyDescent="0.2">
      <c r="AC2453" s="33"/>
      <c r="AE2453" s="33"/>
      <c r="AF2453" s="33"/>
    </row>
    <row r="2454" spans="29:32" x14ac:dyDescent="0.2">
      <c r="AC2454" s="33"/>
      <c r="AE2454" s="33"/>
      <c r="AF2454" s="33"/>
    </row>
    <row r="2455" spans="29:32" x14ac:dyDescent="0.2">
      <c r="AC2455" s="33"/>
      <c r="AE2455" s="33"/>
      <c r="AF2455" s="33"/>
    </row>
    <row r="2456" spans="29:32" x14ac:dyDescent="0.2">
      <c r="AC2456" s="33"/>
      <c r="AE2456" s="33"/>
      <c r="AF2456" s="33"/>
    </row>
    <row r="2457" spans="29:32" x14ac:dyDescent="0.2">
      <c r="AC2457" s="33"/>
      <c r="AE2457" s="33"/>
      <c r="AF2457" s="33"/>
    </row>
    <row r="2458" spans="29:32" x14ac:dyDescent="0.2">
      <c r="AC2458" s="33"/>
      <c r="AE2458" s="33"/>
      <c r="AF2458" s="33"/>
    </row>
    <row r="2459" spans="29:32" x14ac:dyDescent="0.2">
      <c r="AC2459" s="33"/>
      <c r="AE2459" s="33"/>
      <c r="AF2459" s="33"/>
    </row>
    <row r="2460" spans="29:32" x14ac:dyDescent="0.2">
      <c r="AC2460" s="33"/>
      <c r="AE2460" s="33"/>
      <c r="AF2460" s="33"/>
    </row>
    <row r="2461" spans="29:32" x14ac:dyDescent="0.2">
      <c r="AC2461" s="33"/>
      <c r="AE2461" s="33"/>
      <c r="AF2461" s="33"/>
    </row>
    <row r="2462" spans="29:32" x14ac:dyDescent="0.2">
      <c r="AC2462" s="33"/>
      <c r="AE2462" s="33"/>
      <c r="AF2462" s="33"/>
    </row>
    <row r="2463" spans="29:32" x14ac:dyDescent="0.2">
      <c r="AC2463" s="33"/>
      <c r="AE2463" s="33"/>
      <c r="AF2463" s="33"/>
    </row>
    <row r="2464" spans="29:32" x14ac:dyDescent="0.2">
      <c r="AC2464" s="33"/>
      <c r="AE2464" s="33"/>
      <c r="AF2464" s="33"/>
    </row>
    <row r="2465" spans="29:32" x14ac:dyDescent="0.2">
      <c r="AC2465" s="33"/>
      <c r="AE2465" s="33"/>
      <c r="AF2465" s="33"/>
    </row>
    <row r="2466" spans="29:32" x14ac:dyDescent="0.2">
      <c r="AC2466" s="33"/>
      <c r="AE2466" s="33"/>
      <c r="AF2466" s="33"/>
    </row>
    <row r="2467" spans="29:32" x14ac:dyDescent="0.2">
      <c r="AC2467" s="33"/>
      <c r="AE2467" s="33"/>
      <c r="AF2467" s="33"/>
    </row>
    <row r="2468" spans="29:32" x14ac:dyDescent="0.2">
      <c r="AC2468" s="33"/>
      <c r="AE2468" s="33"/>
      <c r="AF2468" s="33"/>
    </row>
    <row r="2469" spans="29:32" x14ac:dyDescent="0.2">
      <c r="AC2469" s="33"/>
      <c r="AE2469" s="33"/>
      <c r="AF2469" s="33"/>
    </row>
    <row r="2470" spans="29:32" x14ac:dyDescent="0.2">
      <c r="AC2470" s="33"/>
      <c r="AE2470" s="33"/>
      <c r="AF2470" s="33"/>
    </row>
    <row r="2471" spans="29:32" x14ac:dyDescent="0.2">
      <c r="AC2471" s="33"/>
      <c r="AE2471" s="33"/>
      <c r="AF2471" s="33"/>
    </row>
    <row r="2472" spans="29:32" x14ac:dyDescent="0.2">
      <c r="AC2472" s="33"/>
      <c r="AE2472" s="33"/>
      <c r="AF2472" s="33"/>
    </row>
    <row r="2473" spans="29:32" x14ac:dyDescent="0.2">
      <c r="AC2473" s="33"/>
      <c r="AE2473" s="33"/>
      <c r="AF2473" s="33"/>
    </row>
    <row r="2474" spans="29:32" x14ac:dyDescent="0.2">
      <c r="AC2474" s="33"/>
      <c r="AE2474" s="33"/>
      <c r="AF2474" s="33"/>
    </row>
    <row r="2475" spans="29:32" x14ac:dyDescent="0.2">
      <c r="AC2475" s="33"/>
      <c r="AE2475" s="33"/>
      <c r="AF2475" s="33"/>
    </row>
    <row r="2476" spans="29:32" x14ac:dyDescent="0.2">
      <c r="AC2476" s="33"/>
      <c r="AE2476" s="33"/>
      <c r="AF2476" s="33"/>
    </row>
    <row r="2477" spans="29:32" x14ac:dyDescent="0.2">
      <c r="AC2477" s="33"/>
      <c r="AE2477" s="33"/>
      <c r="AF2477" s="33"/>
    </row>
    <row r="2478" spans="29:32" x14ac:dyDescent="0.2">
      <c r="AC2478" s="33"/>
      <c r="AE2478" s="33"/>
      <c r="AF2478" s="33"/>
    </row>
    <row r="2479" spans="29:32" x14ac:dyDescent="0.2">
      <c r="AC2479" s="33"/>
      <c r="AE2479" s="33"/>
      <c r="AF2479" s="33"/>
    </row>
    <row r="2480" spans="29:32" x14ac:dyDescent="0.2">
      <c r="AC2480" s="33"/>
      <c r="AE2480" s="33"/>
      <c r="AF2480" s="33"/>
    </row>
    <row r="2481" spans="29:32" x14ac:dyDescent="0.2">
      <c r="AC2481" s="33"/>
      <c r="AE2481" s="33"/>
      <c r="AF2481" s="33"/>
    </row>
    <row r="2482" spans="29:32" x14ac:dyDescent="0.2">
      <c r="AC2482" s="33"/>
      <c r="AE2482" s="33"/>
      <c r="AF2482" s="33"/>
    </row>
    <row r="2483" spans="29:32" x14ac:dyDescent="0.2">
      <c r="AC2483" s="33"/>
      <c r="AE2483" s="33"/>
      <c r="AF2483" s="33"/>
    </row>
    <row r="2484" spans="29:32" x14ac:dyDescent="0.2">
      <c r="AC2484" s="33"/>
      <c r="AE2484" s="33"/>
      <c r="AF2484" s="33"/>
    </row>
    <row r="2485" spans="29:32" x14ac:dyDescent="0.2">
      <c r="AC2485" s="33"/>
      <c r="AE2485" s="33"/>
      <c r="AF2485" s="33"/>
    </row>
    <row r="2486" spans="29:32" x14ac:dyDescent="0.2">
      <c r="AC2486" s="33"/>
      <c r="AE2486" s="33"/>
      <c r="AF2486" s="33"/>
    </row>
    <row r="2487" spans="29:32" x14ac:dyDescent="0.2">
      <c r="AC2487" s="33"/>
      <c r="AE2487" s="33"/>
      <c r="AF2487" s="33"/>
    </row>
    <row r="2488" spans="29:32" x14ac:dyDescent="0.2">
      <c r="AC2488" s="33"/>
      <c r="AE2488" s="33"/>
      <c r="AF2488" s="33"/>
    </row>
    <row r="2489" spans="29:32" x14ac:dyDescent="0.2">
      <c r="AC2489" s="33"/>
      <c r="AE2489" s="33"/>
      <c r="AF2489" s="33"/>
    </row>
    <row r="2490" spans="29:32" x14ac:dyDescent="0.2">
      <c r="AC2490" s="33"/>
      <c r="AE2490" s="33"/>
      <c r="AF2490" s="33"/>
    </row>
    <row r="2491" spans="29:32" x14ac:dyDescent="0.2">
      <c r="AC2491" s="33"/>
      <c r="AE2491" s="33"/>
      <c r="AF2491" s="33"/>
    </row>
    <row r="2492" spans="29:32" x14ac:dyDescent="0.2">
      <c r="AC2492" s="33"/>
      <c r="AE2492" s="33"/>
      <c r="AF2492" s="33"/>
    </row>
    <row r="2493" spans="29:32" x14ac:dyDescent="0.2">
      <c r="AC2493" s="33"/>
      <c r="AE2493" s="33"/>
      <c r="AF2493" s="33"/>
    </row>
    <row r="2494" spans="29:32" x14ac:dyDescent="0.2">
      <c r="AC2494" s="33"/>
      <c r="AE2494" s="33"/>
      <c r="AF2494" s="33"/>
    </row>
    <row r="2495" spans="29:32" x14ac:dyDescent="0.2">
      <c r="AC2495" s="33"/>
      <c r="AE2495" s="33"/>
      <c r="AF2495" s="33"/>
    </row>
    <row r="2496" spans="29:32" x14ac:dyDescent="0.2">
      <c r="AC2496" s="33"/>
      <c r="AE2496" s="33"/>
      <c r="AF2496" s="33"/>
    </row>
    <row r="2497" spans="29:32" x14ac:dyDescent="0.2">
      <c r="AC2497" s="33"/>
      <c r="AE2497" s="33"/>
      <c r="AF2497" s="33"/>
    </row>
    <row r="2498" spans="29:32" x14ac:dyDescent="0.2">
      <c r="AC2498" s="33"/>
      <c r="AE2498" s="33"/>
      <c r="AF2498" s="33"/>
    </row>
    <row r="2499" spans="29:32" x14ac:dyDescent="0.2">
      <c r="AC2499" s="33"/>
      <c r="AE2499" s="33"/>
      <c r="AF2499" s="33"/>
    </row>
    <row r="2500" spans="29:32" x14ac:dyDescent="0.2">
      <c r="AC2500" s="33"/>
      <c r="AE2500" s="33"/>
      <c r="AF2500" s="33"/>
    </row>
    <row r="2501" spans="29:32" x14ac:dyDescent="0.2">
      <c r="AC2501" s="33"/>
      <c r="AE2501" s="33"/>
      <c r="AF2501" s="33"/>
    </row>
    <row r="2502" spans="29:32" x14ac:dyDescent="0.2">
      <c r="AC2502" s="33"/>
      <c r="AE2502" s="33"/>
      <c r="AF2502" s="33"/>
    </row>
    <row r="2503" spans="29:32" x14ac:dyDescent="0.2">
      <c r="AC2503" s="33"/>
      <c r="AE2503" s="33"/>
      <c r="AF2503" s="33"/>
    </row>
    <row r="2504" spans="29:32" x14ac:dyDescent="0.2">
      <c r="AC2504" s="33"/>
      <c r="AE2504" s="33"/>
      <c r="AF2504" s="33"/>
    </row>
    <row r="2505" spans="29:32" x14ac:dyDescent="0.2">
      <c r="AC2505" s="33"/>
      <c r="AE2505" s="33"/>
      <c r="AF2505" s="33"/>
    </row>
    <row r="2506" spans="29:32" x14ac:dyDescent="0.2">
      <c r="AC2506" s="33"/>
      <c r="AE2506" s="33"/>
      <c r="AF2506" s="33"/>
    </row>
    <row r="2507" spans="29:32" x14ac:dyDescent="0.2">
      <c r="AC2507" s="33"/>
      <c r="AE2507" s="33"/>
      <c r="AF2507" s="33"/>
    </row>
    <row r="2508" spans="29:32" x14ac:dyDescent="0.2">
      <c r="AC2508" s="33"/>
      <c r="AE2508" s="33"/>
      <c r="AF2508" s="33"/>
    </row>
    <row r="2509" spans="29:32" x14ac:dyDescent="0.2">
      <c r="AC2509" s="33"/>
      <c r="AE2509" s="33"/>
      <c r="AF2509" s="33"/>
    </row>
    <row r="2510" spans="29:32" x14ac:dyDescent="0.2">
      <c r="AC2510" s="33"/>
      <c r="AE2510" s="33"/>
      <c r="AF2510" s="33"/>
    </row>
    <row r="2511" spans="29:32" x14ac:dyDescent="0.2">
      <c r="AC2511" s="33"/>
      <c r="AE2511" s="33"/>
      <c r="AF2511" s="33"/>
    </row>
    <row r="2512" spans="29:32" x14ac:dyDescent="0.2">
      <c r="AC2512" s="33"/>
      <c r="AE2512" s="33"/>
      <c r="AF2512" s="33"/>
    </row>
    <row r="2513" spans="29:32" x14ac:dyDescent="0.2">
      <c r="AC2513" s="33"/>
      <c r="AE2513" s="33"/>
      <c r="AF2513" s="33"/>
    </row>
    <row r="2514" spans="29:32" x14ac:dyDescent="0.2">
      <c r="AC2514" s="33"/>
      <c r="AE2514" s="33"/>
      <c r="AF2514" s="33"/>
    </row>
    <row r="2515" spans="29:32" x14ac:dyDescent="0.2">
      <c r="AC2515" s="33"/>
      <c r="AE2515" s="33"/>
      <c r="AF2515" s="33"/>
    </row>
    <row r="2516" spans="29:32" x14ac:dyDescent="0.2">
      <c r="AC2516" s="33"/>
      <c r="AE2516" s="33"/>
      <c r="AF2516" s="33"/>
    </row>
    <row r="2517" spans="29:32" x14ac:dyDescent="0.2">
      <c r="AC2517" s="33"/>
      <c r="AE2517" s="33"/>
      <c r="AF2517" s="33"/>
    </row>
    <row r="2518" spans="29:32" x14ac:dyDescent="0.2">
      <c r="AC2518" s="33"/>
      <c r="AE2518" s="33"/>
      <c r="AF2518" s="33"/>
    </row>
    <row r="2519" spans="29:32" x14ac:dyDescent="0.2">
      <c r="AC2519" s="33"/>
      <c r="AE2519" s="33"/>
      <c r="AF2519" s="33"/>
    </row>
    <row r="2520" spans="29:32" x14ac:dyDescent="0.2">
      <c r="AC2520" s="33"/>
      <c r="AE2520" s="33"/>
      <c r="AF2520" s="33"/>
    </row>
    <row r="2521" spans="29:32" x14ac:dyDescent="0.2">
      <c r="AC2521" s="33"/>
      <c r="AE2521" s="33"/>
      <c r="AF2521" s="33"/>
    </row>
    <row r="2522" spans="29:32" x14ac:dyDescent="0.2">
      <c r="AC2522" s="33"/>
      <c r="AE2522" s="33"/>
      <c r="AF2522" s="33"/>
    </row>
    <row r="2523" spans="29:32" x14ac:dyDescent="0.2">
      <c r="AC2523" s="33"/>
      <c r="AE2523" s="33"/>
      <c r="AF2523" s="33"/>
    </row>
    <row r="2524" spans="29:32" x14ac:dyDescent="0.2">
      <c r="AC2524" s="33"/>
      <c r="AE2524" s="33"/>
      <c r="AF2524" s="33"/>
    </row>
    <row r="2525" spans="29:32" x14ac:dyDescent="0.2">
      <c r="AC2525" s="33"/>
      <c r="AE2525" s="33"/>
      <c r="AF2525" s="33"/>
    </row>
    <row r="2526" spans="29:32" x14ac:dyDescent="0.2">
      <c r="AC2526" s="33"/>
      <c r="AE2526" s="33"/>
      <c r="AF2526" s="33"/>
    </row>
    <row r="2527" spans="29:32" x14ac:dyDescent="0.2">
      <c r="AC2527" s="33"/>
      <c r="AE2527" s="33"/>
      <c r="AF2527" s="33"/>
    </row>
    <row r="2528" spans="29:32" x14ac:dyDescent="0.2">
      <c r="AC2528" s="33"/>
      <c r="AE2528" s="33"/>
      <c r="AF2528" s="33"/>
    </row>
    <row r="2529" spans="29:32" x14ac:dyDescent="0.2">
      <c r="AC2529" s="33"/>
      <c r="AE2529" s="33"/>
      <c r="AF2529" s="33"/>
    </row>
    <row r="2530" spans="29:32" x14ac:dyDescent="0.2">
      <c r="AC2530" s="33"/>
      <c r="AE2530" s="33"/>
      <c r="AF2530" s="33"/>
    </row>
    <row r="2531" spans="29:32" x14ac:dyDescent="0.2">
      <c r="AC2531" s="33"/>
      <c r="AE2531" s="33"/>
      <c r="AF2531" s="33"/>
    </row>
    <row r="2532" spans="29:32" x14ac:dyDescent="0.2">
      <c r="AC2532" s="33"/>
      <c r="AE2532" s="33"/>
      <c r="AF2532" s="33"/>
    </row>
    <row r="2533" spans="29:32" x14ac:dyDescent="0.2">
      <c r="AC2533" s="33"/>
      <c r="AE2533" s="33"/>
      <c r="AF2533" s="33"/>
    </row>
    <row r="2534" spans="29:32" x14ac:dyDescent="0.2">
      <c r="AC2534" s="33"/>
      <c r="AE2534" s="33"/>
      <c r="AF2534" s="33"/>
    </row>
    <row r="2535" spans="29:32" x14ac:dyDescent="0.2">
      <c r="AC2535" s="33"/>
      <c r="AE2535" s="33"/>
      <c r="AF2535" s="33"/>
    </row>
    <row r="2536" spans="29:32" x14ac:dyDescent="0.2">
      <c r="AC2536" s="33"/>
      <c r="AE2536" s="33"/>
      <c r="AF2536" s="33"/>
    </row>
    <row r="2537" spans="29:32" x14ac:dyDescent="0.2">
      <c r="AC2537" s="33"/>
      <c r="AE2537" s="33"/>
      <c r="AF2537" s="33"/>
    </row>
    <row r="2538" spans="29:32" x14ac:dyDescent="0.2">
      <c r="AC2538" s="33"/>
      <c r="AE2538" s="33"/>
      <c r="AF2538" s="33"/>
    </row>
    <row r="2539" spans="29:32" x14ac:dyDescent="0.2">
      <c r="AC2539" s="33"/>
      <c r="AE2539" s="33"/>
      <c r="AF2539" s="33"/>
    </row>
    <row r="2540" spans="29:32" x14ac:dyDescent="0.2">
      <c r="AC2540" s="33"/>
      <c r="AE2540" s="33"/>
      <c r="AF2540" s="33"/>
    </row>
    <row r="2541" spans="29:32" x14ac:dyDescent="0.2">
      <c r="AC2541" s="33"/>
      <c r="AE2541" s="33"/>
      <c r="AF2541" s="33"/>
    </row>
    <row r="2542" spans="29:32" x14ac:dyDescent="0.2">
      <c r="AC2542" s="33"/>
      <c r="AE2542" s="33"/>
      <c r="AF2542" s="33"/>
    </row>
    <row r="2543" spans="29:32" x14ac:dyDescent="0.2">
      <c r="AC2543" s="33"/>
      <c r="AE2543" s="33"/>
      <c r="AF2543" s="33"/>
    </row>
    <row r="2544" spans="29:32" x14ac:dyDescent="0.2">
      <c r="AC2544" s="33"/>
      <c r="AE2544" s="33"/>
      <c r="AF2544" s="33"/>
    </row>
    <row r="2545" spans="29:32" x14ac:dyDescent="0.2">
      <c r="AC2545" s="33"/>
      <c r="AE2545" s="33"/>
      <c r="AF2545" s="33"/>
    </row>
    <row r="2546" spans="29:32" x14ac:dyDescent="0.2">
      <c r="AC2546" s="33"/>
      <c r="AE2546" s="33"/>
      <c r="AF2546" s="33"/>
    </row>
    <row r="2547" spans="29:32" x14ac:dyDescent="0.2">
      <c r="AC2547" s="33"/>
      <c r="AE2547" s="33"/>
      <c r="AF2547" s="33"/>
    </row>
    <row r="2548" spans="29:32" x14ac:dyDescent="0.2">
      <c r="AC2548" s="33"/>
      <c r="AE2548" s="33"/>
      <c r="AF2548" s="33"/>
    </row>
    <row r="2549" spans="29:32" x14ac:dyDescent="0.2">
      <c r="AC2549" s="33"/>
      <c r="AE2549" s="33"/>
      <c r="AF2549" s="33"/>
    </row>
    <row r="2550" spans="29:32" x14ac:dyDescent="0.2">
      <c r="AC2550" s="33"/>
      <c r="AE2550" s="33"/>
      <c r="AF2550" s="33"/>
    </row>
    <row r="2551" spans="29:32" x14ac:dyDescent="0.2">
      <c r="AC2551" s="33"/>
      <c r="AE2551" s="33"/>
      <c r="AF2551" s="33"/>
    </row>
    <row r="2552" spans="29:32" x14ac:dyDescent="0.2">
      <c r="AC2552" s="33"/>
      <c r="AE2552" s="33"/>
      <c r="AF2552" s="33"/>
    </row>
    <row r="2553" spans="29:32" x14ac:dyDescent="0.2">
      <c r="AC2553" s="33"/>
      <c r="AE2553" s="33"/>
      <c r="AF2553" s="33"/>
    </row>
    <row r="2554" spans="29:32" x14ac:dyDescent="0.2">
      <c r="AC2554" s="33"/>
      <c r="AE2554" s="33"/>
      <c r="AF2554" s="33"/>
    </row>
    <row r="2555" spans="29:32" x14ac:dyDescent="0.2">
      <c r="AC2555" s="33"/>
      <c r="AE2555" s="33"/>
      <c r="AF2555" s="33"/>
    </row>
    <row r="2556" spans="29:32" x14ac:dyDescent="0.2">
      <c r="AC2556" s="33"/>
      <c r="AE2556" s="33"/>
      <c r="AF2556" s="33"/>
    </row>
    <row r="2557" spans="29:32" x14ac:dyDescent="0.2">
      <c r="AC2557" s="33"/>
      <c r="AE2557" s="33"/>
      <c r="AF2557" s="33"/>
    </row>
    <row r="2558" spans="29:32" x14ac:dyDescent="0.2">
      <c r="AC2558" s="33"/>
      <c r="AE2558" s="33"/>
      <c r="AF2558" s="33"/>
    </row>
    <row r="2559" spans="29:32" x14ac:dyDescent="0.2">
      <c r="AC2559" s="33"/>
      <c r="AE2559" s="33"/>
      <c r="AF2559" s="33"/>
    </row>
    <row r="2560" spans="29:32" x14ac:dyDescent="0.2">
      <c r="AC2560" s="33"/>
      <c r="AE2560" s="33"/>
      <c r="AF2560" s="33"/>
    </row>
    <row r="2561" spans="29:32" x14ac:dyDescent="0.2">
      <c r="AC2561" s="33"/>
      <c r="AE2561" s="33"/>
      <c r="AF2561" s="33"/>
    </row>
    <row r="2562" spans="29:32" x14ac:dyDescent="0.2">
      <c r="AC2562" s="33"/>
      <c r="AE2562" s="33"/>
      <c r="AF2562" s="33"/>
    </row>
    <row r="2563" spans="29:32" x14ac:dyDescent="0.2">
      <c r="AC2563" s="33"/>
      <c r="AE2563" s="33"/>
      <c r="AF2563" s="33"/>
    </row>
    <row r="2564" spans="29:32" x14ac:dyDescent="0.2">
      <c r="AC2564" s="33"/>
      <c r="AE2564" s="33"/>
      <c r="AF2564" s="33"/>
    </row>
    <row r="2565" spans="29:32" x14ac:dyDescent="0.2">
      <c r="AC2565" s="33"/>
      <c r="AE2565" s="33"/>
      <c r="AF2565" s="33"/>
    </row>
    <row r="2566" spans="29:32" x14ac:dyDescent="0.2">
      <c r="AC2566" s="33"/>
      <c r="AE2566" s="33"/>
      <c r="AF2566" s="33"/>
    </row>
    <row r="2567" spans="29:32" x14ac:dyDescent="0.2">
      <c r="AC2567" s="33"/>
      <c r="AE2567" s="33"/>
      <c r="AF2567" s="33"/>
    </row>
    <row r="2568" spans="29:32" x14ac:dyDescent="0.2">
      <c r="AC2568" s="33"/>
      <c r="AE2568" s="33"/>
      <c r="AF2568" s="33"/>
    </row>
    <row r="2569" spans="29:32" x14ac:dyDescent="0.2">
      <c r="AC2569" s="33"/>
      <c r="AE2569" s="33"/>
      <c r="AF2569" s="33"/>
    </row>
    <row r="2570" spans="29:32" x14ac:dyDescent="0.2">
      <c r="AC2570" s="33"/>
      <c r="AE2570" s="33"/>
      <c r="AF2570" s="33"/>
    </row>
    <row r="2571" spans="29:32" x14ac:dyDescent="0.2">
      <c r="AC2571" s="33"/>
      <c r="AE2571" s="33"/>
      <c r="AF2571" s="33"/>
    </row>
    <row r="2572" spans="29:32" x14ac:dyDescent="0.2">
      <c r="AC2572" s="33"/>
      <c r="AE2572" s="33"/>
      <c r="AF2572" s="33"/>
    </row>
    <row r="2573" spans="29:32" x14ac:dyDescent="0.2">
      <c r="AC2573" s="33"/>
      <c r="AE2573" s="33"/>
      <c r="AF2573" s="33"/>
    </row>
    <row r="2574" spans="29:32" x14ac:dyDescent="0.2">
      <c r="AC2574" s="33"/>
      <c r="AE2574" s="33"/>
      <c r="AF2574" s="33"/>
    </row>
    <row r="2575" spans="29:32" x14ac:dyDescent="0.2">
      <c r="AC2575" s="33"/>
      <c r="AE2575" s="33"/>
      <c r="AF2575" s="33"/>
    </row>
    <row r="2576" spans="29:32" x14ac:dyDescent="0.2">
      <c r="AC2576" s="33"/>
      <c r="AE2576" s="33"/>
      <c r="AF2576" s="33"/>
    </row>
    <row r="2577" spans="29:32" x14ac:dyDescent="0.2">
      <c r="AC2577" s="33"/>
      <c r="AE2577" s="33"/>
      <c r="AF2577" s="33"/>
    </row>
    <row r="2578" spans="29:32" x14ac:dyDescent="0.2">
      <c r="AC2578" s="33"/>
      <c r="AE2578" s="33"/>
      <c r="AF2578" s="33"/>
    </row>
    <row r="2579" spans="29:32" x14ac:dyDescent="0.2">
      <c r="AC2579" s="33"/>
      <c r="AE2579" s="33"/>
      <c r="AF2579" s="33"/>
    </row>
    <row r="2580" spans="29:32" x14ac:dyDescent="0.2">
      <c r="AC2580" s="33"/>
      <c r="AE2580" s="33"/>
      <c r="AF2580" s="33"/>
    </row>
    <row r="2581" spans="29:32" x14ac:dyDescent="0.2">
      <c r="AC2581" s="33"/>
      <c r="AE2581" s="33"/>
      <c r="AF2581" s="33"/>
    </row>
    <row r="2582" spans="29:32" x14ac:dyDescent="0.2">
      <c r="AC2582" s="33"/>
      <c r="AE2582" s="33"/>
      <c r="AF2582" s="33"/>
    </row>
    <row r="2583" spans="29:32" x14ac:dyDescent="0.2">
      <c r="AC2583" s="33"/>
      <c r="AE2583" s="33"/>
      <c r="AF2583" s="33"/>
    </row>
    <row r="2584" spans="29:32" x14ac:dyDescent="0.2">
      <c r="AC2584" s="33"/>
      <c r="AE2584" s="33"/>
      <c r="AF2584" s="33"/>
    </row>
    <row r="2585" spans="29:32" x14ac:dyDescent="0.2">
      <c r="AC2585" s="33"/>
      <c r="AE2585" s="33"/>
      <c r="AF2585" s="33"/>
    </row>
    <row r="2586" spans="29:32" x14ac:dyDescent="0.2">
      <c r="AC2586" s="33"/>
      <c r="AE2586" s="33"/>
      <c r="AF2586" s="33"/>
    </row>
    <row r="2587" spans="29:32" x14ac:dyDescent="0.2">
      <c r="AC2587" s="33"/>
      <c r="AE2587" s="33"/>
      <c r="AF2587" s="33"/>
    </row>
    <row r="2588" spans="29:32" x14ac:dyDescent="0.2">
      <c r="AC2588" s="33"/>
      <c r="AE2588" s="33"/>
      <c r="AF2588" s="33"/>
    </row>
    <row r="2589" spans="29:32" x14ac:dyDescent="0.2">
      <c r="AC2589" s="33"/>
      <c r="AE2589" s="33"/>
      <c r="AF2589" s="33"/>
    </row>
    <row r="2590" spans="29:32" x14ac:dyDescent="0.2">
      <c r="AC2590" s="33"/>
      <c r="AE2590" s="33"/>
      <c r="AF2590" s="33"/>
    </row>
    <row r="2591" spans="29:32" x14ac:dyDescent="0.2">
      <c r="AC2591" s="33"/>
      <c r="AE2591" s="33"/>
      <c r="AF2591" s="33"/>
    </row>
    <row r="2592" spans="29:32" x14ac:dyDescent="0.2">
      <c r="AC2592" s="33"/>
      <c r="AE2592" s="33"/>
      <c r="AF2592" s="33"/>
    </row>
    <row r="2593" spans="29:32" x14ac:dyDescent="0.2">
      <c r="AC2593" s="33"/>
      <c r="AE2593" s="33"/>
      <c r="AF2593" s="33"/>
    </row>
    <row r="2594" spans="29:32" x14ac:dyDescent="0.2">
      <c r="AC2594" s="33"/>
      <c r="AE2594" s="33"/>
      <c r="AF2594" s="33"/>
    </row>
    <row r="2595" spans="29:32" x14ac:dyDescent="0.2">
      <c r="AC2595" s="33"/>
      <c r="AE2595" s="33"/>
      <c r="AF2595" s="33"/>
    </row>
    <row r="2596" spans="29:32" x14ac:dyDescent="0.2">
      <c r="AC2596" s="33"/>
      <c r="AE2596" s="33"/>
      <c r="AF2596" s="33"/>
    </row>
    <row r="2597" spans="29:32" x14ac:dyDescent="0.2">
      <c r="AC2597" s="33"/>
      <c r="AE2597" s="33"/>
      <c r="AF2597" s="33"/>
    </row>
    <row r="2598" spans="29:32" x14ac:dyDescent="0.2">
      <c r="AC2598" s="33"/>
      <c r="AE2598" s="33"/>
      <c r="AF2598" s="33"/>
    </row>
    <row r="2599" spans="29:32" x14ac:dyDescent="0.2">
      <c r="AC2599" s="33"/>
      <c r="AE2599" s="33"/>
      <c r="AF2599" s="33"/>
    </row>
    <row r="2600" spans="29:32" x14ac:dyDescent="0.2">
      <c r="AC2600" s="33"/>
      <c r="AE2600" s="33"/>
      <c r="AF2600" s="33"/>
    </row>
    <row r="2601" spans="29:32" x14ac:dyDescent="0.2">
      <c r="AC2601" s="33"/>
      <c r="AE2601" s="33"/>
      <c r="AF2601" s="33"/>
    </row>
    <row r="2602" spans="29:32" x14ac:dyDescent="0.2">
      <c r="AC2602" s="33"/>
      <c r="AE2602" s="33"/>
      <c r="AF2602" s="33"/>
    </row>
    <row r="2603" spans="29:32" x14ac:dyDescent="0.2">
      <c r="AC2603" s="33"/>
      <c r="AE2603" s="33"/>
      <c r="AF2603" s="33"/>
    </row>
    <row r="2604" spans="29:32" x14ac:dyDescent="0.2">
      <c r="AC2604" s="33"/>
      <c r="AE2604" s="33"/>
      <c r="AF2604" s="33"/>
    </row>
    <row r="2605" spans="29:32" x14ac:dyDescent="0.2">
      <c r="AC2605" s="33"/>
      <c r="AE2605" s="33"/>
      <c r="AF2605" s="33"/>
    </row>
    <row r="2606" spans="29:32" x14ac:dyDescent="0.2">
      <c r="AC2606" s="33"/>
      <c r="AE2606" s="33"/>
      <c r="AF2606" s="33"/>
    </row>
    <row r="2607" spans="29:32" x14ac:dyDescent="0.2">
      <c r="AC2607" s="33"/>
      <c r="AE2607" s="33"/>
      <c r="AF2607" s="33"/>
    </row>
    <row r="2608" spans="29:32" x14ac:dyDescent="0.2">
      <c r="AC2608" s="33"/>
      <c r="AE2608" s="33"/>
      <c r="AF2608" s="33"/>
    </row>
    <row r="2609" spans="29:32" x14ac:dyDescent="0.2">
      <c r="AC2609" s="33"/>
      <c r="AE2609" s="33"/>
      <c r="AF2609" s="33"/>
    </row>
    <row r="2610" spans="29:32" x14ac:dyDescent="0.2">
      <c r="AC2610" s="33"/>
      <c r="AE2610" s="33"/>
      <c r="AF2610" s="33"/>
    </row>
    <row r="2611" spans="29:32" x14ac:dyDescent="0.2">
      <c r="AC2611" s="33"/>
      <c r="AE2611" s="33"/>
      <c r="AF2611" s="33"/>
    </row>
    <row r="2612" spans="29:32" x14ac:dyDescent="0.2">
      <c r="AC2612" s="33"/>
      <c r="AE2612" s="33"/>
      <c r="AF2612" s="33"/>
    </row>
    <row r="2613" spans="29:32" x14ac:dyDescent="0.2">
      <c r="AC2613" s="33"/>
      <c r="AE2613" s="33"/>
      <c r="AF2613" s="33"/>
    </row>
    <row r="2614" spans="29:32" x14ac:dyDescent="0.2">
      <c r="AC2614" s="33"/>
      <c r="AE2614" s="33"/>
      <c r="AF2614" s="33"/>
    </row>
    <row r="2615" spans="29:32" x14ac:dyDescent="0.2">
      <c r="AC2615" s="33"/>
      <c r="AE2615" s="33"/>
      <c r="AF2615" s="33"/>
    </row>
    <row r="2616" spans="29:32" x14ac:dyDescent="0.2">
      <c r="AC2616" s="33"/>
      <c r="AE2616" s="33"/>
      <c r="AF2616" s="33"/>
    </row>
    <row r="2617" spans="29:32" x14ac:dyDescent="0.2">
      <c r="AC2617" s="33"/>
      <c r="AE2617" s="33"/>
      <c r="AF2617" s="33"/>
    </row>
    <row r="2618" spans="29:32" x14ac:dyDescent="0.2">
      <c r="AC2618" s="33"/>
      <c r="AE2618" s="33"/>
      <c r="AF2618" s="33"/>
    </row>
    <row r="2619" spans="29:32" x14ac:dyDescent="0.2">
      <c r="AC2619" s="33"/>
      <c r="AE2619" s="33"/>
      <c r="AF2619" s="33"/>
    </row>
    <row r="2620" spans="29:32" x14ac:dyDescent="0.2">
      <c r="AC2620" s="33"/>
      <c r="AE2620" s="33"/>
      <c r="AF2620" s="33"/>
    </row>
    <row r="2621" spans="29:32" x14ac:dyDescent="0.2">
      <c r="AC2621" s="33"/>
      <c r="AE2621" s="33"/>
      <c r="AF2621" s="33"/>
    </row>
    <row r="2622" spans="29:32" x14ac:dyDescent="0.2">
      <c r="AC2622" s="33"/>
      <c r="AE2622" s="33"/>
      <c r="AF2622" s="33"/>
    </row>
    <row r="2623" spans="29:32" x14ac:dyDescent="0.2">
      <c r="AC2623" s="33"/>
      <c r="AE2623" s="33"/>
      <c r="AF2623" s="33"/>
    </row>
    <row r="2624" spans="29:32" x14ac:dyDescent="0.2">
      <c r="AC2624" s="33"/>
      <c r="AE2624" s="33"/>
      <c r="AF2624" s="33"/>
    </row>
    <row r="2625" spans="29:32" x14ac:dyDescent="0.2">
      <c r="AC2625" s="33"/>
      <c r="AE2625" s="33"/>
      <c r="AF2625" s="33"/>
    </row>
    <row r="2626" spans="29:32" x14ac:dyDescent="0.2">
      <c r="AC2626" s="33"/>
      <c r="AE2626" s="33"/>
      <c r="AF2626" s="33"/>
    </row>
    <row r="2627" spans="29:32" x14ac:dyDescent="0.2">
      <c r="AC2627" s="33"/>
      <c r="AE2627" s="33"/>
      <c r="AF2627" s="33"/>
    </row>
    <row r="2628" spans="29:32" x14ac:dyDescent="0.2">
      <c r="AC2628" s="33"/>
      <c r="AE2628" s="33"/>
      <c r="AF2628" s="33"/>
    </row>
    <row r="2629" spans="29:32" x14ac:dyDescent="0.2">
      <c r="AC2629" s="33"/>
      <c r="AE2629" s="33"/>
      <c r="AF2629" s="33"/>
    </row>
    <row r="2630" spans="29:32" x14ac:dyDescent="0.2">
      <c r="AC2630" s="33"/>
      <c r="AE2630" s="33"/>
      <c r="AF2630" s="33"/>
    </row>
    <row r="2631" spans="29:32" x14ac:dyDescent="0.2">
      <c r="AC2631" s="33"/>
      <c r="AE2631" s="33"/>
      <c r="AF2631" s="33"/>
    </row>
    <row r="2632" spans="29:32" x14ac:dyDescent="0.2">
      <c r="AC2632" s="33"/>
      <c r="AE2632" s="33"/>
      <c r="AF2632" s="33"/>
    </row>
    <row r="2633" spans="29:32" x14ac:dyDescent="0.2">
      <c r="AC2633" s="33"/>
      <c r="AE2633" s="33"/>
      <c r="AF2633" s="33"/>
    </row>
    <row r="2634" spans="29:32" x14ac:dyDescent="0.2">
      <c r="AC2634" s="33"/>
      <c r="AE2634" s="33"/>
      <c r="AF2634" s="33"/>
    </row>
    <row r="2635" spans="29:32" x14ac:dyDescent="0.2">
      <c r="AC2635" s="33"/>
      <c r="AE2635" s="33"/>
      <c r="AF2635" s="33"/>
    </row>
    <row r="2636" spans="29:32" x14ac:dyDescent="0.2">
      <c r="AC2636" s="33"/>
      <c r="AE2636" s="33"/>
      <c r="AF2636" s="33"/>
    </row>
    <row r="2637" spans="29:32" x14ac:dyDescent="0.2">
      <c r="AC2637" s="33"/>
      <c r="AE2637" s="33"/>
      <c r="AF2637" s="33"/>
    </row>
    <row r="2638" spans="29:32" x14ac:dyDescent="0.2">
      <c r="AC2638" s="33"/>
      <c r="AE2638" s="33"/>
      <c r="AF2638" s="33"/>
    </row>
    <row r="2639" spans="29:32" x14ac:dyDescent="0.2">
      <c r="AC2639" s="33"/>
      <c r="AE2639" s="33"/>
      <c r="AF2639" s="33"/>
    </row>
    <row r="2640" spans="29:32" x14ac:dyDescent="0.2">
      <c r="AC2640" s="33"/>
      <c r="AE2640" s="33"/>
      <c r="AF2640" s="33"/>
    </row>
    <row r="2641" spans="29:32" x14ac:dyDescent="0.2">
      <c r="AC2641" s="33"/>
      <c r="AE2641" s="33"/>
      <c r="AF2641" s="33"/>
    </row>
    <row r="2642" spans="29:32" x14ac:dyDescent="0.2">
      <c r="AC2642" s="33"/>
      <c r="AE2642" s="33"/>
      <c r="AF2642" s="33"/>
    </row>
    <row r="2643" spans="29:32" x14ac:dyDescent="0.2">
      <c r="AC2643" s="33"/>
      <c r="AE2643" s="33"/>
      <c r="AF2643" s="33"/>
    </row>
    <row r="2644" spans="29:32" x14ac:dyDescent="0.2">
      <c r="AC2644" s="33"/>
      <c r="AE2644" s="33"/>
      <c r="AF2644" s="33"/>
    </row>
    <row r="2645" spans="29:32" x14ac:dyDescent="0.2">
      <c r="AC2645" s="33"/>
      <c r="AE2645" s="33"/>
      <c r="AF2645" s="33"/>
    </row>
    <row r="2646" spans="29:32" x14ac:dyDescent="0.2">
      <c r="AC2646" s="33"/>
      <c r="AE2646" s="33"/>
      <c r="AF2646" s="33"/>
    </row>
    <row r="2647" spans="29:32" x14ac:dyDescent="0.2">
      <c r="AC2647" s="33"/>
      <c r="AE2647" s="33"/>
      <c r="AF2647" s="33"/>
    </row>
    <row r="2648" spans="29:32" x14ac:dyDescent="0.2">
      <c r="AC2648" s="33"/>
      <c r="AE2648" s="33"/>
      <c r="AF2648" s="33"/>
    </row>
    <row r="2649" spans="29:32" x14ac:dyDescent="0.2">
      <c r="AC2649" s="33"/>
      <c r="AE2649" s="33"/>
      <c r="AF2649" s="33"/>
    </row>
    <row r="2650" spans="29:32" x14ac:dyDescent="0.2">
      <c r="AC2650" s="33"/>
      <c r="AE2650" s="33"/>
      <c r="AF2650" s="33"/>
    </row>
    <row r="2651" spans="29:32" x14ac:dyDescent="0.2">
      <c r="AC2651" s="33"/>
      <c r="AE2651" s="33"/>
      <c r="AF2651" s="33"/>
    </row>
    <row r="2652" spans="29:32" x14ac:dyDescent="0.2">
      <c r="AC2652" s="33"/>
      <c r="AE2652" s="33"/>
      <c r="AF2652" s="33"/>
    </row>
    <row r="2653" spans="29:32" x14ac:dyDescent="0.2">
      <c r="AC2653" s="33"/>
      <c r="AE2653" s="33"/>
      <c r="AF2653" s="33"/>
    </row>
    <row r="2654" spans="29:32" x14ac:dyDescent="0.2">
      <c r="AC2654" s="33"/>
      <c r="AE2654" s="33"/>
      <c r="AF2654" s="33"/>
    </row>
    <row r="2655" spans="29:32" x14ac:dyDescent="0.2">
      <c r="AC2655" s="33"/>
      <c r="AE2655" s="33"/>
      <c r="AF2655" s="33"/>
    </row>
    <row r="2656" spans="29:32" x14ac:dyDescent="0.2">
      <c r="AC2656" s="33"/>
      <c r="AE2656" s="33"/>
      <c r="AF2656" s="33"/>
    </row>
    <row r="2657" spans="29:32" x14ac:dyDescent="0.2">
      <c r="AC2657" s="33"/>
      <c r="AE2657" s="33"/>
      <c r="AF2657" s="33"/>
    </row>
    <row r="2658" spans="29:32" x14ac:dyDescent="0.2">
      <c r="AC2658" s="33"/>
      <c r="AE2658" s="33"/>
      <c r="AF2658" s="33"/>
    </row>
    <row r="2659" spans="29:32" x14ac:dyDescent="0.2">
      <c r="AC2659" s="33"/>
      <c r="AE2659" s="33"/>
      <c r="AF2659" s="33"/>
    </row>
    <row r="2660" spans="29:32" x14ac:dyDescent="0.2">
      <c r="AC2660" s="33"/>
      <c r="AE2660" s="33"/>
      <c r="AF2660" s="33"/>
    </row>
    <row r="2661" spans="29:32" x14ac:dyDescent="0.2">
      <c r="AC2661" s="33"/>
      <c r="AE2661" s="33"/>
      <c r="AF2661" s="33"/>
    </row>
    <row r="2662" spans="29:32" x14ac:dyDescent="0.2">
      <c r="AC2662" s="33"/>
      <c r="AE2662" s="33"/>
      <c r="AF2662" s="33"/>
    </row>
    <row r="2663" spans="29:32" x14ac:dyDescent="0.2">
      <c r="AC2663" s="33"/>
      <c r="AE2663" s="33"/>
      <c r="AF2663" s="33"/>
    </row>
    <row r="2664" spans="29:32" x14ac:dyDescent="0.2">
      <c r="AC2664" s="33"/>
      <c r="AE2664" s="33"/>
      <c r="AF2664" s="33"/>
    </row>
    <row r="2665" spans="29:32" x14ac:dyDescent="0.2">
      <c r="AC2665" s="33"/>
      <c r="AE2665" s="33"/>
      <c r="AF2665" s="33"/>
    </row>
    <row r="2666" spans="29:32" x14ac:dyDescent="0.2">
      <c r="AC2666" s="33"/>
      <c r="AE2666" s="33"/>
      <c r="AF2666" s="33"/>
    </row>
    <row r="2667" spans="29:32" x14ac:dyDescent="0.2">
      <c r="AC2667" s="33"/>
      <c r="AE2667" s="33"/>
      <c r="AF2667" s="33"/>
    </row>
    <row r="2668" spans="29:32" x14ac:dyDescent="0.2">
      <c r="AC2668" s="33"/>
      <c r="AE2668" s="33"/>
      <c r="AF2668" s="33"/>
    </row>
    <row r="2669" spans="29:32" x14ac:dyDescent="0.2">
      <c r="AC2669" s="33"/>
      <c r="AE2669" s="33"/>
      <c r="AF2669" s="33"/>
    </row>
    <row r="2670" spans="29:32" x14ac:dyDescent="0.2">
      <c r="AC2670" s="33"/>
      <c r="AE2670" s="33"/>
      <c r="AF2670" s="33"/>
    </row>
    <row r="2671" spans="29:32" x14ac:dyDescent="0.2">
      <c r="AC2671" s="33"/>
      <c r="AE2671" s="33"/>
      <c r="AF2671" s="33"/>
    </row>
    <row r="2672" spans="29:32" x14ac:dyDescent="0.2">
      <c r="AC2672" s="33"/>
      <c r="AE2672" s="33"/>
      <c r="AF2672" s="33"/>
    </row>
    <row r="2673" spans="29:32" x14ac:dyDescent="0.2">
      <c r="AC2673" s="33"/>
      <c r="AE2673" s="33"/>
      <c r="AF2673" s="33"/>
    </row>
    <row r="2674" spans="29:32" x14ac:dyDescent="0.2">
      <c r="AC2674" s="33"/>
      <c r="AE2674" s="33"/>
      <c r="AF2674" s="33"/>
    </row>
    <row r="2675" spans="29:32" x14ac:dyDescent="0.2">
      <c r="AC2675" s="33"/>
      <c r="AE2675" s="33"/>
      <c r="AF2675" s="33"/>
    </row>
    <row r="2676" spans="29:32" x14ac:dyDescent="0.2">
      <c r="AC2676" s="33"/>
      <c r="AE2676" s="33"/>
      <c r="AF2676" s="33"/>
    </row>
    <row r="2677" spans="29:32" x14ac:dyDescent="0.2">
      <c r="AC2677" s="33"/>
      <c r="AE2677" s="33"/>
      <c r="AF2677" s="33"/>
    </row>
    <row r="2678" spans="29:32" x14ac:dyDescent="0.2">
      <c r="AC2678" s="33"/>
      <c r="AE2678" s="33"/>
      <c r="AF2678" s="33"/>
    </row>
    <row r="2679" spans="29:32" x14ac:dyDescent="0.2">
      <c r="AC2679" s="33"/>
      <c r="AE2679" s="33"/>
      <c r="AF2679" s="33"/>
    </row>
    <row r="2680" spans="29:32" x14ac:dyDescent="0.2">
      <c r="AC2680" s="33"/>
      <c r="AE2680" s="33"/>
      <c r="AF2680" s="33"/>
    </row>
    <row r="2681" spans="29:32" x14ac:dyDescent="0.2">
      <c r="AC2681" s="33"/>
      <c r="AE2681" s="33"/>
      <c r="AF2681" s="33"/>
    </row>
    <row r="2682" spans="29:32" x14ac:dyDescent="0.2">
      <c r="AC2682" s="33"/>
      <c r="AE2682" s="33"/>
      <c r="AF2682" s="33"/>
    </row>
    <row r="2683" spans="29:32" x14ac:dyDescent="0.2">
      <c r="AC2683" s="33"/>
      <c r="AE2683" s="33"/>
      <c r="AF2683" s="33"/>
    </row>
    <row r="2684" spans="29:32" x14ac:dyDescent="0.2">
      <c r="AC2684" s="33"/>
      <c r="AE2684" s="33"/>
      <c r="AF2684" s="33"/>
    </row>
    <row r="2685" spans="29:32" x14ac:dyDescent="0.2">
      <c r="AC2685" s="33"/>
      <c r="AE2685" s="33"/>
      <c r="AF2685" s="33"/>
    </row>
    <row r="2686" spans="29:32" x14ac:dyDescent="0.2">
      <c r="AC2686" s="33"/>
      <c r="AE2686" s="33"/>
      <c r="AF2686" s="33"/>
    </row>
    <row r="2687" spans="29:32" x14ac:dyDescent="0.2">
      <c r="AC2687" s="33"/>
      <c r="AE2687" s="33"/>
      <c r="AF2687" s="33"/>
    </row>
    <row r="2688" spans="29:32" x14ac:dyDescent="0.2">
      <c r="AC2688" s="33"/>
      <c r="AE2688" s="33"/>
      <c r="AF2688" s="33"/>
    </row>
    <row r="2689" spans="29:32" x14ac:dyDescent="0.2">
      <c r="AC2689" s="33"/>
      <c r="AE2689" s="33"/>
      <c r="AF2689" s="33"/>
    </row>
    <row r="2690" spans="29:32" x14ac:dyDescent="0.2">
      <c r="AC2690" s="33"/>
      <c r="AE2690" s="33"/>
      <c r="AF2690" s="33"/>
    </row>
    <row r="2691" spans="29:32" x14ac:dyDescent="0.2">
      <c r="AC2691" s="33"/>
      <c r="AE2691" s="33"/>
      <c r="AF2691" s="33"/>
    </row>
    <row r="2692" spans="29:32" x14ac:dyDescent="0.2">
      <c r="AC2692" s="33"/>
      <c r="AE2692" s="33"/>
      <c r="AF2692" s="33"/>
    </row>
    <row r="2693" spans="29:32" x14ac:dyDescent="0.2">
      <c r="AC2693" s="33"/>
      <c r="AE2693" s="33"/>
      <c r="AF2693" s="33"/>
    </row>
    <row r="2694" spans="29:32" x14ac:dyDescent="0.2">
      <c r="AC2694" s="33"/>
      <c r="AE2694" s="33"/>
      <c r="AF2694" s="33"/>
    </row>
    <row r="2695" spans="29:32" x14ac:dyDescent="0.2">
      <c r="AC2695" s="33"/>
      <c r="AE2695" s="33"/>
      <c r="AF2695" s="33"/>
    </row>
    <row r="2696" spans="29:32" x14ac:dyDescent="0.2">
      <c r="AC2696" s="33"/>
      <c r="AE2696" s="33"/>
      <c r="AF2696" s="33"/>
    </row>
    <row r="2697" spans="29:32" x14ac:dyDescent="0.2">
      <c r="AC2697" s="33"/>
      <c r="AE2697" s="33"/>
      <c r="AF2697" s="33"/>
    </row>
    <row r="2698" spans="29:32" x14ac:dyDescent="0.2">
      <c r="AC2698" s="33"/>
      <c r="AE2698" s="33"/>
      <c r="AF2698" s="33"/>
    </row>
    <row r="2699" spans="29:32" x14ac:dyDescent="0.2">
      <c r="AC2699" s="33"/>
      <c r="AE2699" s="33"/>
      <c r="AF2699" s="33"/>
    </row>
    <row r="2700" spans="29:32" x14ac:dyDescent="0.2">
      <c r="AC2700" s="33"/>
      <c r="AE2700" s="33"/>
      <c r="AF2700" s="33"/>
    </row>
    <row r="2701" spans="29:32" x14ac:dyDescent="0.2">
      <c r="AC2701" s="33"/>
      <c r="AE2701" s="33"/>
      <c r="AF2701" s="33"/>
    </row>
    <row r="2702" spans="29:32" x14ac:dyDescent="0.2">
      <c r="AC2702" s="33"/>
      <c r="AE2702" s="33"/>
      <c r="AF2702" s="33"/>
    </row>
    <row r="2703" spans="29:32" x14ac:dyDescent="0.2">
      <c r="AC2703" s="33"/>
      <c r="AE2703" s="33"/>
      <c r="AF2703" s="33"/>
    </row>
    <row r="2704" spans="29:32" x14ac:dyDescent="0.2">
      <c r="AC2704" s="33"/>
      <c r="AE2704" s="33"/>
      <c r="AF2704" s="33"/>
    </row>
    <row r="2705" spans="29:32" x14ac:dyDescent="0.2">
      <c r="AC2705" s="33"/>
      <c r="AE2705" s="33"/>
      <c r="AF2705" s="33"/>
    </row>
    <row r="2706" spans="29:32" x14ac:dyDescent="0.2">
      <c r="AC2706" s="33"/>
      <c r="AE2706" s="33"/>
      <c r="AF2706" s="33"/>
    </row>
    <row r="2707" spans="29:32" x14ac:dyDescent="0.2">
      <c r="AC2707" s="33"/>
      <c r="AE2707" s="33"/>
      <c r="AF2707" s="33"/>
    </row>
    <row r="2708" spans="29:32" x14ac:dyDescent="0.2">
      <c r="AC2708" s="33"/>
      <c r="AE2708" s="33"/>
      <c r="AF2708" s="33"/>
    </row>
    <row r="2709" spans="29:32" x14ac:dyDescent="0.2">
      <c r="AC2709" s="33"/>
      <c r="AE2709" s="33"/>
      <c r="AF2709" s="33"/>
    </row>
    <row r="2710" spans="29:32" x14ac:dyDescent="0.2">
      <c r="AC2710" s="33"/>
      <c r="AE2710" s="33"/>
      <c r="AF2710" s="33"/>
    </row>
    <row r="2711" spans="29:32" x14ac:dyDescent="0.2">
      <c r="AC2711" s="33"/>
      <c r="AE2711" s="33"/>
      <c r="AF2711" s="33"/>
    </row>
    <row r="2712" spans="29:32" x14ac:dyDescent="0.2">
      <c r="AC2712" s="33"/>
      <c r="AE2712" s="33"/>
      <c r="AF2712" s="33"/>
    </row>
    <row r="2713" spans="29:32" x14ac:dyDescent="0.2">
      <c r="AC2713" s="33"/>
      <c r="AE2713" s="33"/>
      <c r="AF2713" s="33"/>
    </row>
    <row r="2714" spans="29:32" x14ac:dyDescent="0.2">
      <c r="AC2714" s="33"/>
      <c r="AE2714" s="33"/>
      <c r="AF2714" s="33"/>
    </row>
    <row r="2715" spans="29:32" x14ac:dyDescent="0.2">
      <c r="AC2715" s="33"/>
      <c r="AE2715" s="33"/>
      <c r="AF2715" s="33"/>
    </row>
    <row r="2716" spans="29:32" x14ac:dyDescent="0.2">
      <c r="AC2716" s="33"/>
      <c r="AE2716" s="33"/>
      <c r="AF2716" s="33"/>
    </row>
    <row r="2717" spans="29:32" x14ac:dyDescent="0.2">
      <c r="AC2717" s="33"/>
      <c r="AE2717" s="33"/>
      <c r="AF2717" s="33"/>
    </row>
    <row r="2718" spans="29:32" x14ac:dyDescent="0.2">
      <c r="AC2718" s="33"/>
      <c r="AE2718" s="33"/>
      <c r="AF2718" s="33"/>
    </row>
    <row r="2719" spans="29:32" x14ac:dyDescent="0.2">
      <c r="AC2719" s="33"/>
      <c r="AE2719" s="33"/>
      <c r="AF2719" s="33"/>
    </row>
    <row r="2720" spans="29:32" x14ac:dyDescent="0.2">
      <c r="AC2720" s="33"/>
      <c r="AE2720" s="33"/>
      <c r="AF2720" s="33"/>
    </row>
    <row r="2721" spans="29:32" x14ac:dyDescent="0.2">
      <c r="AC2721" s="33"/>
      <c r="AE2721" s="33"/>
      <c r="AF2721" s="33"/>
    </row>
    <row r="2722" spans="29:32" x14ac:dyDescent="0.2">
      <c r="AC2722" s="33"/>
      <c r="AE2722" s="33"/>
      <c r="AF2722" s="33"/>
    </row>
    <row r="2723" spans="29:32" x14ac:dyDescent="0.2">
      <c r="AC2723" s="33"/>
      <c r="AE2723" s="33"/>
      <c r="AF2723" s="33"/>
    </row>
    <row r="2724" spans="29:32" x14ac:dyDescent="0.2">
      <c r="AC2724" s="33"/>
      <c r="AE2724" s="33"/>
      <c r="AF2724" s="33"/>
    </row>
    <row r="2725" spans="29:32" x14ac:dyDescent="0.2">
      <c r="AC2725" s="33"/>
      <c r="AE2725" s="33"/>
      <c r="AF2725" s="33"/>
    </row>
    <row r="2726" spans="29:32" x14ac:dyDescent="0.2">
      <c r="AC2726" s="33"/>
      <c r="AE2726" s="33"/>
      <c r="AF2726" s="33"/>
    </row>
    <row r="2727" spans="29:32" x14ac:dyDescent="0.2">
      <c r="AC2727" s="33"/>
      <c r="AE2727" s="33"/>
      <c r="AF2727" s="33"/>
    </row>
    <row r="2728" spans="29:32" x14ac:dyDescent="0.2">
      <c r="AC2728" s="33"/>
      <c r="AE2728" s="33"/>
      <c r="AF2728" s="33"/>
    </row>
    <row r="2729" spans="29:32" x14ac:dyDescent="0.2">
      <c r="AC2729" s="33"/>
      <c r="AE2729" s="33"/>
      <c r="AF2729" s="33"/>
    </row>
    <row r="2730" spans="29:32" x14ac:dyDescent="0.2">
      <c r="AC2730" s="33"/>
      <c r="AE2730" s="33"/>
      <c r="AF2730" s="33"/>
    </row>
    <row r="2731" spans="29:32" x14ac:dyDescent="0.2">
      <c r="AC2731" s="33"/>
      <c r="AE2731" s="33"/>
      <c r="AF2731" s="33"/>
    </row>
    <row r="2732" spans="29:32" x14ac:dyDescent="0.2">
      <c r="AC2732" s="33"/>
      <c r="AE2732" s="33"/>
      <c r="AF2732" s="33"/>
    </row>
    <row r="2733" spans="29:32" x14ac:dyDescent="0.2">
      <c r="AC2733" s="33"/>
      <c r="AE2733" s="33"/>
      <c r="AF2733" s="33"/>
    </row>
    <row r="2734" spans="29:32" x14ac:dyDescent="0.2">
      <c r="AC2734" s="33"/>
      <c r="AE2734" s="33"/>
      <c r="AF2734" s="33"/>
    </row>
    <row r="2735" spans="29:32" x14ac:dyDescent="0.2">
      <c r="AC2735" s="33"/>
      <c r="AE2735" s="33"/>
      <c r="AF2735" s="33"/>
    </row>
    <row r="2736" spans="29:32" x14ac:dyDescent="0.2">
      <c r="AC2736" s="33"/>
      <c r="AE2736" s="33"/>
      <c r="AF2736" s="33"/>
    </row>
    <row r="2737" spans="29:32" x14ac:dyDescent="0.2">
      <c r="AC2737" s="33"/>
      <c r="AE2737" s="33"/>
      <c r="AF2737" s="33"/>
    </row>
    <row r="2738" spans="29:32" x14ac:dyDescent="0.2">
      <c r="AC2738" s="33"/>
      <c r="AE2738" s="33"/>
      <c r="AF2738" s="33"/>
    </row>
    <row r="2739" spans="29:32" x14ac:dyDescent="0.2">
      <c r="AC2739" s="33"/>
      <c r="AE2739" s="33"/>
      <c r="AF2739" s="33"/>
    </row>
    <row r="2740" spans="29:32" x14ac:dyDescent="0.2">
      <c r="AC2740" s="33"/>
      <c r="AE2740" s="33"/>
      <c r="AF2740" s="33"/>
    </row>
    <row r="2741" spans="29:32" x14ac:dyDescent="0.2">
      <c r="AC2741" s="33"/>
      <c r="AE2741" s="33"/>
      <c r="AF2741" s="33"/>
    </row>
    <row r="2742" spans="29:32" x14ac:dyDescent="0.2">
      <c r="AC2742" s="33"/>
      <c r="AE2742" s="33"/>
      <c r="AF2742" s="33"/>
    </row>
    <row r="2743" spans="29:32" x14ac:dyDescent="0.2">
      <c r="AC2743" s="33"/>
      <c r="AE2743" s="33"/>
      <c r="AF2743" s="33"/>
    </row>
    <row r="2744" spans="29:32" x14ac:dyDescent="0.2">
      <c r="AC2744" s="33"/>
      <c r="AE2744" s="33"/>
      <c r="AF2744" s="33"/>
    </row>
    <row r="2745" spans="29:32" x14ac:dyDescent="0.2">
      <c r="AC2745" s="33"/>
      <c r="AE2745" s="33"/>
      <c r="AF2745" s="33"/>
    </row>
    <row r="2746" spans="29:32" x14ac:dyDescent="0.2">
      <c r="AC2746" s="33"/>
      <c r="AE2746" s="33"/>
      <c r="AF2746" s="33"/>
    </row>
    <row r="2747" spans="29:32" x14ac:dyDescent="0.2">
      <c r="AC2747" s="33"/>
      <c r="AE2747" s="33"/>
      <c r="AF2747" s="33"/>
    </row>
    <row r="2748" spans="29:32" x14ac:dyDescent="0.2">
      <c r="AC2748" s="33"/>
      <c r="AE2748" s="33"/>
      <c r="AF2748" s="33"/>
    </row>
    <row r="2749" spans="29:32" x14ac:dyDescent="0.2">
      <c r="AC2749" s="33"/>
      <c r="AE2749" s="33"/>
      <c r="AF2749" s="33"/>
    </row>
    <row r="2750" spans="29:32" x14ac:dyDescent="0.2">
      <c r="AC2750" s="33"/>
      <c r="AE2750" s="33"/>
      <c r="AF2750" s="33"/>
    </row>
    <row r="2751" spans="29:32" x14ac:dyDescent="0.2">
      <c r="AC2751" s="33"/>
      <c r="AE2751" s="33"/>
      <c r="AF2751" s="33"/>
    </row>
    <row r="2752" spans="29:32" x14ac:dyDescent="0.2">
      <c r="AC2752" s="33"/>
      <c r="AE2752" s="33"/>
      <c r="AF2752" s="33"/>
    </row>
    <row r="2753" spans="29:32" x14ac:dyDescent="0.2">
      <c r="AC2753" s="33"/>
      <c r="AE2753" s="33"/>
      <c r="AF2753" s="33"/>
    </row>
    <row r="2754" spans="29:32" x14ac:dyDescent="0.2">
      <c r="AC2754" s="33"/>
      <c r="AE2754" s="33"/>
      <c r="AF2754" s="33"/>
    </row>
    <row r="2755" spans="29:32" x14ac:dyDescent="0.2">
      <c r="AC2755" s="33"/>
      <c r="AE2755" s="33"/>
      <c r="AF2755" s="33"/>
    </row>
    <row r="2756" spans="29:32" x14ac:dyDescent="0.2">
      <c r="AC2756" s="33"/>
      <c r="AE2756" s="33"/>
      <c r="AF2756" s="33"/>
    </row>
    <row r="2757" spans="29:32" x14ac:dyDescent="0.2">
      <c r="AC2757" s="33"/>
      <c r="AE2757" s="33"/>
      <c r="AF2757" s="33"/>
    </row>
    <row r="2758" spans="29:32" x14ac:dyDescent="0.2">
      <c r="AC2758" s="33"/>
      <c r="AE2758" s="33"/>
      <c r="AF2758" s="33"/>
    </row>
    <row r="2759" spans="29:32" x14ac:dyDescent="0.2">
      <c r="AC2759" s="33"/>
      <c r="AE2759" s="33"/>
      <c r="AF2759" s="33"/>
    </row>
    <row r="2760" spans="29:32" x14ac:dyDescent="0.2">
      <c r="AC2760" s="33"/>
      <c r="AE2760" s="33"/>
      <c r="AF2760" s="33"/>
    </row>
    <row r="2761" spans="29:32" x14ac:dyDescent="0.2">
      <c r="AC2761" s="33"/>
      <c r="AE2761" s="33"/>
      <c r="AF2761" s="33"/>
    </row>
    <row r="2762" spans="29:32" x14ac:dyDescent="0.2">
      <c r="AC2762" s="33"/>
      <c r="AE2762" s="33"/>
      <c r="AF2762" s="33"/>
    </row>
    <row r="2763" spans="29:32" x14ac:dyDescent="0.2">
      <c r="AC2763" s="33"/>
      <c r="AE2763" s="33"/>
      <c r="AF2763" s="33"/>
    </row>
    <row r="2764" spans="29:32" x14ac:dyDescent="0.2">
      <c r="AC2764" s="33"/>
      <c r="AE2764" s="33"/>
      <c r="AF2764" s="33"/>
    </row>
    <row r="2765" spans="29:32" x14ac:dyDescent="0.2">
      <c r="AC2765" s="33"/>
      <c r="AE2765" s="33"/>
      <c r="AF2765" s="33"/>
    </row>
    <row r="2766" spans="29:32" x14ac:dyDescent="0.2">
      <c r="AC2766" s="33"/>
      <c r="AE2766" s="33"/>
      <c r="AF2766" s="33"/>
    </row>
    <row r="2767" spans="29:32" x14ac:dyDescent="0.2">
      <c r="AC2767" s="33"/>
      <c r="AE2767" s="33"/>
      <c r="AF2767" s="33"/>
    </row>
    <row r="2768" spans="29:32" x14ac:dyDescent="0.2">
      <c r="AC2768" s="33"/>
      <c r="AE2768" s="33"/>
      <c r="AF2768" s="33"/>
    </row>
    <row r="2769" spans="29:32" x14ac:dyDescent="0.2">
      <c r="AC2769" s="33"/>
      <c r="AE2769" s="33"/>
      <c r="AF2769" s="33"/>
    </row>
    <row r="2770" spans="29:32" x14ac:dyDescent="0.2">
      <c r="AC2770" s="33"/>
      <c r="AE2770" s="33"/>
      <c r="AF2770" s="33"/>
    </row>
    <row r="2771" spans="29:32" x14ac:dyDescent="0.2">
      <c r="AC2771" s="33"/>
      <c r="AE2771" s="33"/>
      <c r="AF2771" s="33"/>
    </row>
    <row r="2772" spans="29:32" x14ac:dyDescent="0.2">
      <c r="AC2772" s="33"/>
      <c r="AE2772" s="33"/>
      <c r="AF2772" s="33"/>
    </row>
    <row r="2773" spans="29:32" x14ac:dyDescent="0.2">
      <c r="AC2773" s="33"/>
      <c r="AE2773" s="33"/>
      <c r="AF2773" s="33"/>
    </row>
    <row r="2774" spans="29:32" x14ac:dyDescent="0.2">
      <c r="AC2774" s="33"/>
      <c r="AE2774" s="33"/>
      <c r="AF2774" s="33"/>
    </row>
    <row r="2775" spans="29:32" x14ac:dyDescent="0.2">
      <c r="AC2775" s="33"/>
      <c r="AE2775" s="33"/>
      <c r="AF2775" s="33"/>
    </row>
    <row r="2776" spans="29:32" x14ac:dyDescent="0.2">
      <c r="AC2776" s="33"/>
      <c r="AE2776" s="33"/>
      <c r="AF2776" s="33"/>
    </row>
    <row r="2777" spans="29:32" x14ac:dyDescent="0.2">
      <c r="AC2777" s="33"/>
      <c r="AE2777" s="33"/>
      <c r="AF2777" s="33"/>
    </row>
    <row r="2778" spans="29:32" x14ac:dyDescent="0.2">
      <c r="AC2778" s="33"/>
      <c r="AE2778" s="33"/>
      <c r="AF2778" s="33"/>
    </row>
    <row r="2779" spans="29:32" x14ac:dyDescent="0.2">
      <c r="AC2779" s="33"/>
      <c r="AE2779" s="33"/>
      <c r="AF2779" s="33"/>
    </row>
    <row r="2780" spans="29:32" x14ac:dyDescent="0.2">
      <c r="AC2780" s="33"/>
      <c r="AE2780" s="33"/>
      <c r="AF2780" s="33"/>
    </row>
    <row r="2781" spans="29:32" x14ac:dyDescent="0.2">
      <c r="AC2781" s="33"/>
      <c r="AE2781" s="33"/>
      <c r="AF2781" s="33"/>
    </row>
    <row r="2782" spans="29:32" x14ac:dyDescent="0.2">
      <c r="AC2782" s="33"/>
      <c r="AE2782" s="33"/>
      <c r="AF2782" s="33"/>
    </row>
    <row r="2783" spans="29:32" x14ac:dyDescent="0.2">
      <c r="AC2783" s="33"/>
      <c r="AE2783" s="33"/>
      <c r="AF2783" s="33"/>
    </row>
    <row r="2784" spans="29:32" x14ac:dyDescent="0.2">
      <c r="AC2784" s="33"/>
      <c r="AE2784" s="33"/>
      <c r="AF2784" s="33"/>
    </row>
    <row r="2785" spans="29:32" x14ac:dyDescent="0.2">
      <c r="AC2785" s="33"/>
      <c r="AE2785" s="33"/>
      <c r="AF2785" s="33"/>
    </row>
    <row r="2786" spans="29:32" x14ac:dyDescent="0.2">
      <c r="AC2786" s="33"/>
      <c r="AE2786" s="33"/>
      <c r="AF2786" s="33"/>
    </row>
    <row r="2787" spans="29:32" x14ac:dyDescent="0.2">
      <c r="AC2787" s="33"/>
      <c r="AE2787" s="33"/>
      <c r="AF2787" s="33"/>
    </row>
    <row r="2788" spans="29:32" x14ac:dyDescent="0.2">
      <c r="AC2788" s="33"/>
      <c r="AE2788" s="33"/>
      <c r="AF2788" s="33"/>
    </row>
    <row r="2789" spans="29:32" x14ac:dyDescent="0.2">
      <c r="AC2789" s="33"/>
      <c r="AE2789" s="33"/>
      <c r="AF2789" s="33"/>
    </row>
    <row r="2790" spans="29:32" x14ac:dyDescent="0.2">
      <c r="AC2790" s="33"/>
      <c r="AE2790" s="33"/>
      <c r="AF2790" s="33"/>
    </row>
    <row r="2791" spans="29:32" x14ac:dyDescent="0.2">
      <c r="AC2791" s="33"/>
      <c r="AE2791" s="33"/>
      <c r="AF2791" s="33"/>
    </row>
    <row r="2792" spans="29:32" x14ac:dyDescent="0.2">
      <c r="AC2792" s="33"/>
      <c r="AE2792" s="33"/>
      <c r="AF2792" s="33"/>
    </row>
    <row r="2793" spans="29:32" x14ac:dyDescent="0.2">
      <c r="AC2793" s="33"/>
      <c r="AE2793" s="33"/>
      <c r="AF2793" s="33"/>
    </row>
    <row r="2794" spans="29:32" x14ac:dyDescent="0.2">
      <c r="AC2794" s="33"/>
      <c r="AE2794" s="33"/>
      <c r="AF2794" s="33"/>
    </row>
    <row r="2795" spans="29:32" x14ac:dyDescent="0.2">
      <c r="AC2795" s="33"/>
      <c r="AE2795" s="33"/>
      <c r="AF2795" s="33"/>
    </row>
    <row r="2796" spans="29:32" x14ac:dyDescent="0.2">
      <c r="AC2796" s="33"/>
      <c r="AE2796" s="33"/>
      <c r="AF2796" s="33"/>
    </row>
    <row r="2797" spans="29:32" x14ac:dyDescent="0.2">
      <c r="AC2797" s="33"/>
      <c r="AE2797" s="33"/>
      <c r="AF2797" s="33"/>
    </row>
    <row r="2798" spans="29:32" x14ac:dyDescent="0.2">
      <c r="AC2798" s="33"/>
      <c r="AE2798" s="33"/>
      <c r="AF2798" s="33"/>
    </row>
    <row r="2799" spans="29:32" x14ac:dyDescent="0.2">
      <c r="AC2799" s="33"/>
      <c r="AE2799" s="33"/>
      <c r="AF2799" s="33"/>
    </row>
    <row r="2800" spans="29:32" x14ac:dyDescent="0.2">
      <c r="AC2800" s="33"/>
      <c r="AE2800" s="33"/>
      <c r="AF2800" s="33"/>
    </row>
    <row r="2801" spans="29:32" x14ac:dyDescent="0.2">
      <c r="AC2801" s="33"/>
      <c r="AE2801" s="33"/>
      <c r="AF2801" s="33"/>
    </row>
    <row r="2802" spans="29:32" x14ac:dyDescent="0.2">
      <c r="AC2802" s="33"/>
      <c r="AE2802" s="33"/>
      <c r="AF2802" s="33"/>
    </row>
    <row r="2803" spans="29:32" x14ac:dyDescent="0.2">
      <c r="AC2803" s="33"/>
      <c r="AE2803" s="33"/>
      <c r="AF2803" s="33"/>
    </row>
    <row r="2804" spans="29:32" x14ac:dyDescent="0.2">
      <c r="AC2804" s="33"/>
      <c r="AE2804" s="33"/>
      <c r="AF2804" s="33"/>
    </row>
    <row r="2805" spans="29:32" x14ac:dyDescent="0.2">
      <c r="AC2805" s="33"/>
      <c r="AE2805" s="33"/>
      <c r="AF2805" s="33"/>
    </row>
    <row r="2806" spans="29:32" x14ac:dyDescent="0.2">
      <c r="AC2806" s="33"/>
      <c r="AE2806" s="33"/>
      <c r="AF2806" s="33"/>
    </row>
    <row r="2807" spans="29:32" x14ac:dyDescent="0.2">
      <c r="AC2807" s="33"/>
      <c r="AE2807" s="33"/>
      <c r="AF2807" s="33"/>
    </row>
    <row r="2808" spans="29:32" x14ac:dyDescent="0.2">
      <c r="AC2808" s="33"/>
      <c r="AE2808" s="33"/>
      <c r="AF2808" s="33"/>
    </row>
    <row r="2809" spans="29:32" x14ac:dyDescent="0.2">
      <c r="AC2809" s="33"/>
      <c r="AE2809" s="33"/>
      <c r="AF2809" s="33"/>
    </row>
    <row r="2810" spans="29:32" x14ac:dyDescent="0.2">
      <c r="AC2810" s="33"/>
      <c r="AE2810" s="33"/>
      <c r="AF2810" s="33"/>
    </row>
    <row r="2811" spans="29:32" x14ac:dyDescent="0.2">
      <c r="AC2811" s="33"/>
      <c r="AE2811" s="33"/>
      <c r="AF2811" s="33"/>
    </row>
    <row r="2812" spans="29:32" x14ac:dyDescent="0.2">
      <c r="AC2812" s="33"/>
      <c r="AE2812" s="33"/>
      <c r="AF2812" s="33"/>
    </row>
    <row r="2813" spans="29:32" x14ac:dyDescent="0.2">
      <c r="AC2813" s="33"/>
      <c r="AE2813" s="33"/>
      <c r="AF2813" s="33"/>
    </row>
    <row r="2814" spans="29:32" x14ac:dyDescent="0.2">
      <c r="AC2814" s="33"/>
      <c r="AE2814" s="33"/>
      <c r="AF2814" s="33"/>
    </row>
    <row r="2815" spans="29:32" x14ac:dyDescent="0.2">
      <c r="AC2815" s="33"/>
      <c r="AE2815" s="33"/>
      <c r="AF2815" s="33"/>
    </row>
    <row r="2816" spans="29:32" x14ac:dyDescent="0.2">
      <c r="AC2816" s="33"/>
      <c r="AE2816" s="33"/>
      <c r="AF2816" s="33"/>
    </row>
    <row r="2817" spans="29:32" x14ac:dyDescent="0.2">
      <c r="AC2817" s="33"/>
      <c r="AE2817" s="33"/>
      <c r="AF2817" s="33"/>
    </row>
    <row r="2818" spans="29:32" x14ac:dyDescent="0.2">
      <c r="AC2818" s="33"/>
      <c r="AE2818" s="33"/>
      <c r="AF2818" s="33"/>
    </row>
    <row r="2819" spans="29:32" x14ac:dyDescent="0.2">
      <c r="AC2819" s="33"/>
      <c r="AE2819" s="33"/>
      <c r="AF2819" s="33"/>
    </row>
    <row r="2820" spans="29:32" x14ac:dyDescent="0.2">
      <c r="AC2820" s="33"/>
      <c r="AE2820" s="33"/>
      <c r="AF2820" s="33"/>
    </row>
    <row r="2821" spans="29:32" x14ac:dyDescent="0.2">
      <c r="AC2821" s="33"/>
      <c r="AE2821" s="33"/>
      <c r="AF2821" s="33"/>
    </row>
    <row r="2822" spans="29:32" x14ac:dyDescent="0.2">
      <c r="AC2822" s="33"/>
      <c r="AE2822" s="33"/>
      <c r="AF2822" s="33"/>
    </row>
    <row r="2823" spans="29:32" x14ac:dyDescent="0.2">
      <c r="AC2823" s="33"/>
      <c r="AE2823" s="33"/>
      <c r="AF2823" s="33"/>
    </row>
    <row r="2824" spans="29:32" x14ac:dyDescent="0.2">
      <c r="AC2824" s="33"/>
      <c r="AE2824" s="33"/>
      <c r="AF2824" s="33"/>
    </row>
    <row r="2825" spans="29:32" x14ac:dyDescent="0.2">
      <c r="AC2825" s="33"/>
      <c r="AE2825" s="33"/>
      <c r="AF2825" s="33"/>
    </row>
    <row r="2826" spans="29:32" x14ac:dyDescent="0.2">
      <c r="AC2826" s="33"/>
      <c r="AE2826" s="33"/>
      <c r="AF2826" s="33"/>
    </row>
    <row r="2827" spans="29:32" x14ac:dyDescent="0.2">
      <c r="AC2827" s="33"/>
      <c r="AE2827" s="33"/>
      <c r="AF2827" s="33"/>
    </row>
    <row r="2828" spans="29:32" x14ac:dyDescent="0.2">
      <c r="AC2828" s="33"/>
      <c r="AE2828" s="33"/>
      <c r="AF2828" s="33"/>
    </row>
    <row r="2829" spans="29:32" x14ac:dyDescent="0.2">
      <c r="AC2829" s="33"/>
      <c r="AE2829" s="33"/>
      <c r="AF2829" s="33"/>
    </row>
    <row r="2830" spans="29:32" x14ac:dyDescent="0.2">
      <c r="AC2830" s="33"/>
      <c r="AE2830" s="33"/>
      <c r="AF2830" s="33"/>
    </row>
    <row r="2831" spans="29:32" x14ac:dyDescent="0.2">
      <c r="AC2831" s="33"/>
      <c r="AE2831" s="33"/>
      <c r="AF2831" s="33"/>
    </row>
    <row r="2832" spans="29:32" x14ac:dyDescent="0.2">
      <c r="AC2832" s="33"/>
      <c r="AE2832" s="33"/>
      <c r="AF2832" s="33"/>
    </row>
    <row r="2833" spans="29:32" x14ac:dyDescent="0.2">
      <c r="AC2833" s="33"/>
      <c r="AE2833" s="33"/>
      <c r="AF2833" s="33"/>
    </row>
    <row r="2834" spans="29:32" x14ac:dyDescent="0.2">
      <c r="AC2834" s="33"/>
      <c r="AE2834" s="33"/>
      <c r="AF2834" s="33"/>
    </row>
    <row r="2835" spans="29:32" x14ac:dyDescent="0.2">
      <c r="AC2835" s="33"/>
      <c r="AE2835" s="33"/>
      <c r="AF2835" s="33"/>
    </row>
    <row r="2836" spans="29:32" x14ac:dyDescent="0.2">
      <c r="AC2836" s="33"/>
      <c r="AE2836" s="33"/>
      <c r="AF2836" s="33"/>
    </row>
    <row r="2837" spans="29:32" x14ac:dyDescent="0.2">
      <c r="AC2837" s="33"/>
      <c r="AE2837" s="33"/>
      <c r="AF2837" s="33"/>
    </row>
    <row r="2838" spans="29:32" x14ac:dyDescent="0.2">
      <c r="AC2838" s="33"/>
      <c r="AE2838" s="33"/>
      <c r="AF2838" s="33"/>
    </row>
    <row r="2839" spans="29:32" x14ac:dyDescent="0.2">
      <c r="AC2839" s="33"/>
      <c r="AE2839" s="33"/>
      <c r="AF2839" s="33"/>
    </row>
    <row r="2840" spans="29:32" x14ac:dyDescent="0.2">
      <c r="AC2840" s="33"/>
      <c r="AE2840" s="33"/>
      <c r="AF2840" s="33"/>
    </row>
    <row r="2841" spans="29:32" x14ac:dyDescent="0.2">
      <c r="AC2841" s="33"/>
      <c r="AE2841" s="33"/>
      <c r="AF2841" s="33"/>
    </row>
    <row r="2842" spans="29:32" x14ac:dyDescent="0.2">
      <c r="AC2842" s="33"/>
      <c r="AE2842" s="33"/>
      <c r="AF2842" s="33"/>
    </row>
    <row r="2843" spans="29:32" x14ac:dyDescent="0.2">
      <c r="AC2843" s="33"/>
      <c r="AE2843" s="33"/>
      <c r="AF2843" s="33"/>
    </row>
    <row r="2844" spans="29:32" x14ac:dyDescent="0.2">
      <c r="AC2844" s="33"/>
      <c r="AE2844" s="33"/>
      <c r="AF2844" s="33"/>
    </row>
    <row r="2845" spans="29:32" x14ac:dyDescent="0.2">
      <c r="AC2845" s="33"/>
      <c r="AE2845" s="33"/>
      <c r="AF2845" s="33"/>
    </row>
    <row r="2846" spans="29:32" x14ac:dyDescent="0.2">
      <c r="AC2846" s="33"/>
      <c r="AE2846" s="33"/>
      <c r="AF2846" s="33"/>
    </row>
    <row r="2847" spans="29:32" x14ac:dyDescent="0.2">
      <c r="AC2847" s="33"/>
      <c r="AE2847" s="33"/>
      <c r="AF2847" s="33"/>
    </row>
    <row r="2848" spans="29:32" x14ac:dyDescent="0.2">
      <c r="AC2848" s="33"/>
      <c r="AE2848" s="33"/>
      <c r="AF2848" s="33"/>
    </row>
    <row r="2849" spans="29:32" x14ac:dyDescent="0.2">
      <c r="AC2849" s="33"/>
      <c r="AE2849" s="33"/>
      <c r="AF2849" s="33"/>
    </row>
    <row r="2850" spans="29:32" x14ac:dyDescent="0.2">
      <c r="AC2850" s="33"/>
      <c r="AE2850" s="33"/>
      <c r="AF2850" s="33"/>
    </row>
    <row r="2851" spans="29:32" x14ac:dyDescent="0.2">
      <c r="AC2851" s="33"/>
      <c r="AE2851" s="33"/>
      <c r="AF2851" s="33"/>
    </row>
    <row r="2852" spans="29:32" x14ac:dyDescent="0.2">
      <c r="AC2852" s="33"/>
      <c r="AE2852" s="33"/>
      <c r="AF2852" s="33"/>
    </row>
    <row r="2853" spans="29:32" x14ac:dyDescent="0.2">
      <c r="AC2853" s="33"/>
      <c r="AE2853" s="33"/>
      <c r="AF2853" s="33"/>
    </row>
    <row r="2854" spans="29:32" x14ac:dyDescent="0.2">
      <c r="AC2854" s="33"/>
      <c r="AE2854" s="33"/>
      <c r="AF2854" s="33"/>
    </row>
    <row r="2855" spans="29:32" x14ac:dyDescent="0.2">
      <c r="AC2855" s="33"/>
      <c r="AE2855" s="33"/>
      <c r="AF2855" s="33"/>
    </row>
    <row r="2856" spans="29:32" x14ac:dyDescent="0.2">
      <c r="AC2856" s="33"/>
      <c r="AE2856" s="33"/>
      <c r="AF2856" s="33"/>
    </row>
    <row r="2857" spans="29:32" x14ac:dyDescent="0.2">
      <c r="AC2857" s="33"/>
      <c r="AE2857" s="33"/>
      <c r="AF2857" s="33"/>
    </row>
    <row r="2858" spans="29:32" x14ac:dyDescent="0.2">
      <c r="AC2858" s="33"/>
      <c r="AE2858" s="33"/>
      <c r="AF2858" s="33"/>
    </row>
    <row r="2859" spans="29:32" x14ac:dyDescent="0.2">
      <c r="AC2859" s="33"/>
      <c r="AE2859" s="33"/>
      <c r="AF2859" s="33"/>
    </row>
    <row r="2860" spans="29:32" x14ac:dyDescent="0.2">
      <c r="AC2860" s="33"/>
      <c r="AE2860" s="33"/>
      <c r="AF2860" s="33"/>
    </row>
    <row r="2861" spans="29:32" x14ac:dyDescent="0.2">
      <c r="AC2861" s="33"/>
      <c r="AE2861" s="33"/>
      <c r="AF2861" s="33"/>
    </row>
    <row r="2862" spans="29:32" x14ac:dyDescent="0.2">
      <c r="AC2862" s="33"/>
      <c r="AE2862" s="33"/>
      <c r="AF2862" s="33"/>
    </row>
    <row r="2863" spans="29:32" x14ac:dyDescent="0.2">
      <c r="AC2863" s="33"/>
      <c r="AE2863" s="33"/>
      <c r="AF2863" s="33"/>
    </row>
    <row r="2864" spans="29:32" x14ac:dyDescent="0.2">
      <c r="AC2864" s="33"/>
      <c r="AE2864" s="33"/>
      <c r="AF2864" s="33"/>
    </row>
    <row r="2865" spans="29:32" x14ac:dyDescent="0.2">
      <c r="AC2865" s="33"/>
      <c r="AE2865" s="33"/>
      <c r="AF2865" s="33"/>
    </row>
    <row r="2866" spans="29:32" x14ac:dyDescent="0.2">
      <c r="AC2866" s="33"/>
      <c r="AE2866" s="33"/>
      <c r="AF2866" s="33"/>
    </row>
    <row r="2867" spans="29:32" x14ac:dyDescent="0.2">
      <c r="AC2867" s="33"/>
      <c r="AE2867" s="33"/>
      <c r="AF2867" s="33"/>
    </row>
    <row r="2868" spans="29:32" x14ac:dyDescent="0.2">
      <c r="AC2868" s="33"/>
      <c r="AE2868" s="33"/>
      <c r="AF2868" s="33"/>
    </row>
    <row r="2869" spans="29:32" x14ac:dyDescent="0.2">
      <c r="AC2869" s="33"/>
      <c r="AE2869" s="33"/>
      <c r="AF2869" s="33"/>
    </row>
    <row r="2870" spans="29:32" x14ac:dyDescent="0.2">
      <c r="AC2870" s="33"/>
      <c r="AE2870" s="33"/>
      <c r="AF2870" s="33"/>
    </row>
    <row r="2871" spans="29:32" x14ac:dyDescent="0.2">
      <c r="AC2871" s="33"/>
      <c r="AE2871" s="33"/>
      <c r="AF2871" s="33"/>
    </row>
    <row r="2872" spans="29:32" x14ac:dyDescent="0.2">
      <c r="AC2872" s="33"/>
      <c r="AE2872" s="33"/>
      <c r="AF2872" s="33"/>
    </row>
    <row r="2873" spans="29:32" x14ac:dyDescent="0.2">
      <c r="AC2873" s="33"/>
      <c r="AE2873" s="33"/>
      <c r="AF2873" s="33"/>
    </row>
    <row r="2874" spans="29:32" x14ac:dyDescent="0.2">
      <c r="AC2874" s="33"/>
      <c r="AE2874" s="33"/>
      <c r="AF2874" s="33"/>
    </row>
    <row r="2875" spans="29:32" x14ac:dyDescent="0.2">
      <c r="AC2875" s="33"/>
      <c r="AE2875" s="33"/>
      <c r="AF2875" s="33"/>
    </row>
    <row r="2876" spans="29:32" x14ac:dyDescent="0.2">
      <c r="AC2876" s="33"/>
      <c r="AE2876" s="33"/>
      <c r="AF2876" s="33"/>
    </row>
    <row r="2877" spans="29:32" x14ac:dyDescent="0.2">
      <c r="AC2877" s="33"/>
      <c r="AE2877" s="33"/>
      <c r="AF2877" s="33"/>
    </row>
    <row r="2878" spans="29:32" x14ac:dyDescent="0.2">
      <c r="AC2878" s="33"/>
      <c r="AE2878" s="33"/>
      <c r="AF2878" s="33"/>
    </row>
    <row r="2879" spans="29:32" x14ac:dyDescent="0.2">
      <c r="AC2879" s="33"/>
      <c r="AE2879" s="33"/>
      <c r="AF2879" s="33"/>
    </row>
    <row r="2880" spans="29:32" x14ac:dyDescent="0.2">
      <c r="AC2880" s="33"/>
      <c r="AE2880" s="33"/>
      <c r="AF2880" s="33"/>
    </row>
    <row r="2881" spans="29:32" x14ac:dyDescent="0.2">
      <c r="AC2881" s="33"/>
      <c r="AE2881" s="33"/>
      <c r="AF2881" s="33"/>
    </row>
    <row r="2882" spans="29:32" x14ac:dyDescent="0.2">
      <c r="AC2882" s="33"/>
      <c r="AE2882" s="33"/>
      <c r="AF2882" s="33"/>
    </row>
    <row r="2883" spans="29:32" x14ac:dyDescent="0.2">
      <c r="AC2883" s="33"/>
      <c r="AE2883" s="33"/>
      <c r="AF2883" s="33"/>
    </row>
    <row r="2884" spans="29:32" x14ac:dyDescent="0.2">
      <c r="AC2884" s="33"/>
      <c r="AE2884" s="33"/>
      <c r="AF2884" s="33"/>
    </row>
    <row r="2885" spans="29:32" x14ac:dyDescent="0.2">
      <c r="AC2885" s="33"/>
      <c r="AE2885" s="33"/>
      <c r="AF2885" s="33"/>
    </row>
    <row r="2886" spans="29:32" x14ac:dyDescent="0.2">
      <c r="AC2886" s="33"/>
      <c r="AE2886" s="33"/>
      <c r="AF2886" s="33"/>
    </row>
    <row r="2887" spans="29:32" x14ac:dyDescent="0.2">
      <c r="AC2887" s="33"/>
      <c r="AE2887" s="33"/>
      <c r="AF2887" s="33"/>
    </row>
    <row r="2888" spans="29:32" x14ac:dyDescent="0.2">
      <c r="AC2888" s="33"/>
      <c r="AE2888" s="33"/>
      <c r="AF2888" s="33"/>
    </row>
    <row r="2889" spans="29:32" x14ac:dyDescent="0.2">
      <c r="AC2889" s="33"/>
      <c r="AE2889" s="33"/>
      <c r="AF2889" s="33"/>
    </row>
    <row r="2890" spans="29:32" x14ac:dyDescent="0.2">
      <c r="AC2890" s="33"/>
      <c r="AE2890" s="33"/>
      <c r="AF2890" s="33"/>
    </row>
    <row r="2891" spans="29:32" x14ac:dyDescent="0.2">
      <c r="AC2891" s="33"/>
      <c r="AE2891" s="33"/>
      <c r="AF2891" s="33"/>
    </row>
    <row r="2892" spans="29:32" x14ac:dyDescent="0.2">
      <c r="AC2892" s="33"/>
      <c r="AE2892" s="33"/>
      <c r="AF2892" s="33"/>
    </row>
    <row r="2893" spans="29:32" x14ac:dyDescent="0.2">
      <c r="AC2893" s="33"/>
      <c r="AE2893" s="33"/>
      <c r="AF2893" s="33"/>
    </row>
    <row r="2894" spans="29:32" x14ac:dyDescent="0.2">
      <c r="AC2894" s="33"/>
      <c r="AE2894" s="33"/>
      <c r="AF2894" s="33"/>
    </row>
    <row r="2895" spans="29:32" x14ac:dyDescent="0.2">
      <c r="AC2895" s="33"/>
      <c r="AE2895" s="33"/>
      <c r="AF2895" s="33"/>
    </row>
    <row r="2896" spans="29:32" x14ac:dyDescent="0.2">
      <c r="AC2896" s="33"/>
      <c r="AE2896" s="33"/>
      <c r="AF2896" s="33"/>
    </row>
    <row r="2897" spans="29:32" x14ac:dyDescent="0.2">
      <c r="AC2897" s="33"/>
      <c r="AE2897" s="33"/>
      <c r="AF2897" s="33"/>
    </row>
    <row r="2898" spans="29:32" x14ac:dyDescent="0.2">
      <c r="AC2898" s="33"/>
      <c r="AE2898" s="33"/>
      <c r="AF2898" s="33"/>
    </row>
    <row r="2899" spans="29:32" x14ac:dyDescent="0.2">
      <c r="AC2899" s="33"/>
      <c r="AE2899" s="33"/>
      <c r="AF2899" s="33"/>
    </row>
    <row r="2900" spans="29:32" x14ac:dyDescent="0.2">
      <c r="AC2900" s="33"/>
      <c r="AE2900" s="33"/>
      <c r="AF2900" s="33"/>
    </row>
    <row r="2901" spans="29:32" x14ac:dyDescent="0.2">
      <c r="AC2901" s="33"/>
      <c r="AE2901" s="33"/>
      <c r="AF2901" s="33"/>
    </row>
    <row r="2902" spans="29:32" x14ac:dyDescent="0.2">
      <c r="AC2902" s="33"/>
      <c r="AE2902" s="33"/>
      <c r="AF2902" s="33"/>
    </row>
    <row r="2903" spans="29:32" x14ac:dyDescent="0.2">
      <c r="AC2903" s="33"/>
      <c r="AE2903" s="33"/>
      <c r="AF2903" s="33"/>
    </row>
    <row r="2904" spans="29:32" x14ac:dyDescent="0.2">
      <c r="AC2904" s="33"/>
      <c r="AE2904" s="33"/>
      <c r="AF2904" s="33"/>
    </row>
    <row r="2905" spans="29:32" x14ac:dyDescent="0.2">
      <c r="AC2905" s="33"/>
      <c r="AE2905" s="33"/>
      <c r="AF2905" s="33"/>
    </row>
    <row r="2906" spans="29:32" x14ac:dyDescent="0.2">
      <c r="AC2906" s="33"/>
      <c r="AE2906" s="33"/>
      <c r="AF2906" s="33"/>
    </row>
    <row r="2907" spans="29:32" x14ac:dyDescent="0.2">
      <c r="AC2907" s="33"/>
      <c r="AE2907" s="33"/>
      <c r="AF2907" s="33"/>
    </row>
    <row r="2908" spans="29:32" x14ac:dyDescent="0.2">
      <c r="AC2908" s="33"/>
      <c r="AE2908" s="33"/>
      <c r="AF2908" s="33"/>
    </row>
    <row r="2909" spans="29:32" x14ac:dyDescent="0.2">
      <c r="AC2909" s="33"/>
      <c r="AE2909" s="33"/>
      <c r="AF2909" s="33"/>
    </row>
    <row r="2910" spans="29:32" x14ac:dyDescent="0.2">
      <c r="AC2910" s="33"/>
      <c r="AE2910" s="33"/>
      <c r="AF2910" s="33"/>
    </row>
    <row r="2911" spans="29:32" x14ac:dyDescent="0.2">
      <c r="AC2911" s="33"/>
      <c r="AE2911" s="33"/>
      <c r="AF2911" s="33"/>
    </row>
    <row r="2912" spans="29:32" x14ac:dyDescent="0.2">
      <c r="AC2912" s="33"/>
      <c r="AE2912" s="33"/>
      <c r="AF2912" s="33"/>
    </row>
    <row r="2913" spans="29:32" x14ac:dyDescent="0.2">
      <c r="AC2913" s="33"/>
      <c r="AE2913" s="33"/>
      <c r="AF2913" s="33"/>
    </row>
    <row r="2914" spans="29:32" x14ac:dyDescent="0.2">
      <c r="AC2914" s="33"/>
      <c r="AE2914" s="33"/>
      <c r="AF2914" s="33"/>
    </row>
    <row r="2915" spans="29:32" x14ac:dyDescent="0.2">
      <c r="AC2915" s="33"/>
      <c r="AE2915" s="33"/>
      <c r="AF2915" s="33"/>
    </row>
    <row r="2916" spans="29:32" x14ac:dyDescent="0.2">
      <c r="AC2916" s="33"/>
      <c r="AE2916" s="33"/>
      <c r="AF2916" s="33"/>
    </row>
    <row r="2917" spans="29:32" x14ac:dyDescent="0.2">
      <c r="AC2917" s="33"/>
      <c r="AE2917" s="33"/>
      <c r="AF2917" s="33"/>
    </row>
    <row r="2918" spans="29:32" x14ac:dyDescent="0.2">
      <c r="AC2918" s="33"/>
      <c r="AE2918" s="33"/>
      <c r="AF2918" s="33"/>
    </row>
    <row r="2919" spans="29:32" x14ac:dyDescent="0.2">
      <c r="AC2919" s="33"/>
      <c r="AE2919" s="33"/>
      <c r="AF2919" s="33"/>
    </row>
    <row r="2920" spans="29:32" x14ac:dyDescent="0.2">
      <c r="AC2920" s="33"/>
      <c r="AE2920" s="33"/>
      <c r="AF2920" s="33"/>
    </row>
    <row r="2921" spans="29:32" x14ac:dyDescent="0.2">
      <c r="AC2921" s="33"/>
      <c r="AE2921" s="33"/>
      <c r="AF2921" s="33"/>
    </row>
    <row r="2922" spans="29:32" x14ac:dyDescent="0.2">
      <c r="AC2922" s="33"/>
      <c r="AE2922" s="33"/>
      <c r="AF2922" s="33"/>
    </row>
    <row r="2923" spans="29:32" x14ac:dyDescent="0.2">
      <c r="AC2923" s="33"/>
      <c r="AE2923" s="33"/>
      <c r="AF2923" s="33"/>
    </row>
    <row r="2924" spans="29:32" x14ac:dyDescent="0.2">
      <c r="AC2924" s="33"/>
      <c r="AE2924" s="33"/>
      <c r="AF2924" s="33"/>
    </row>
    <row r="2925" spans="29:32" x14ac:dyDescent="0.2">
      <c r="AC2925" s="33"/>
      <c r="AE2925" s="33"/>
      <c r="AF2925" s="33"/>
    </row>
    <row r="2926" spans="29:32" x14ac:dyDescent="0.2">
      <c r="AC2926" s="33"/>
      <c r="AE2926" s="33"/>
      <c r="AF2926" s="33"/>
    </row>
    <row r="2927" spans="29:32" x14ac:dyDescent="0.2">
      <c r="AC2927" s="33"/>
      <c r="AE2927" s="33"/>
      <c r="AF2927" s="33"/>
    </row>
    <row r="2928" spans="29:32" x14ac:dyDescent="0.2">
      <c r="AC2928" s="33"/>
      <c r="AE2928" s="33"/>
      <c r="AF2928" s="33"/>
    </row>
    <row r="2929" spans="29:32" x14ac:dyDescent="0.2">
      <c r="AC2929" s="33"/>
      <c r="AE2929" s="33"/>
      <c r="AF2929" s="33"/>
    </row>
    <row r="2930" spans="29:32" x14ac:dyDescent="0.2">
      <c r="AC2930" s="33"/>
      <c r="AE2930" s="33"/>
      <c r="AF2930" s="33"/>
    </row>
    <row r="2931" spans="29:32" x14ac:dyDescent="0.2">
      <c r="AC2931" s="33"/>
      <c r="AE2931" s="33"/>
      <c r="AF2931" s="33"/>
    </row>
    <row r="2932" spans="29:32" x14ac:dyDescent="0.2">
      <c r="AC2932" s="33"/>
      <c r="AE2932" s="33"/>
      <c r="AF2932" s="33"/>
    </row>
    <row r="2933" spans="29:32" x14ac:dyDescent="0.2">
      <c r="AC2933" s="33"/>
      <c r="AE2933" s="33"/>
      <c r="AF2933" s="33"/>
    </row>
    <row r="2934" spans="29:32" x14ac:dyDescent="0.2">
      <c r="AC2934" s="33"/>
      <c r="AE2934" s="33"/>
      <c r="AF2934" s="33"/>
    </row>
    <row r="2935" spans="29:32" x14ac:dyDescent="0.2">
      <c r="AC2935" s="33"/>
      <c r="AE2935" s="33"/>
      <c r="AF2935" s="33"/>
    </row>
    <row r="2936" spans="29:32" x14ac:dyDescent="0.2">
      <c r="AC2936" s="33"/>
      <c r="AE2936" s="33"/>
      <c r="AF2936" s="33"/>
    </row>
    <row r="2937" spans="29:32" x14ac:dyDescent="0.2">
      <c r="AC2937" s="33"/>
      <c r="AE2937" s="33"/>
      <c r="AF2937" s="33"/>
    </row>
    <row r="2938" spans="29:32" x14ac:dyDescent="0.2">
      <c r="AC2938" s="33"/>
      <c r="AE2938" s="33"/>
      <c r="AF2938" s="33"/>
    </row>
    <row r="2939" spans="29:32" x14ac:dyDescent="0.2">
      <c r="AC2939" s="33"/>
      <c r="AE2939" s="33"/>
      <c r="AF2939" s="33"/>
    </row>
    <row r="2940" spans="29:32" x14ac:dyDescent="0.2">
      <c r="AC2940" s="33"/>
      <c r="AE2940" s="33"/>
      <c r="AF2940" s="33"/>
    </row>
    <row r="2941" spans="29:32" x14ac:dyDescent="0.2">
      <c r="AC2941" s="33"/>
      <c r="AE2941" s="33"/>
      <c r="AF2941" s="33"/>
    </row>
    <row r="2942" spans="29:32" x14ac:dyDescent="0.2">
      <c r="AC2942" s="33"/>
      <c r="AE2942" s="33"/>
      <c r="AF2942" s="33"/>
    </row>
    <row r="2943" spans="29:32" x14ac:dyDescent="0.2">
      <c r="AC2943" s="33"/>
      <c r="AE2943" s="33"/>
      <c r="AF2943" s="33"/>
    </row>
    <row r="2944" spans="29:32" x14ac:dyDescent="0.2">
      <c r="AC2944" s="33"/>
      <c r="AE2944" s="33"/>
      <c r="AF2944" s="33"/>
    </row>
    <row r="2945" spans="29:32" x14ac:dyDescent="0.2">
      <c r="AC2945" s="33"/>
      <c r="AE2945" s="33"/>
      <c r="AF2945" s="33"/>
    </row>
    <row r="2946" spans="29:32" x14ac:dyDescent="0.2">
      <c r="AC2946" s="33"/>
      <c r="AE2946" s="33"/>
      <c r="AF2946" s="33"/>
    </row>
    <row r="2947" spans="29:32" x14ac:dyDescent="0.2">
      <c r="AC2947" s="33"/>
      <c r="AE2947" s="33"/>
      <c r="AF2947" s="33"/>
    </row>
    <row r="2948" spans="29:32" x14ac:dyDescent="0.2">
      <c r="AC2948" s="33"/>
      <c r="AE2948" s="33"/>
      <c r="AF2948" s="33"/>
    </row>
    <row r="2949" spans="29:32" x14ac:dyDescent="0.2">
      <c r="AC2949" s="33"/>
      <c r="AE2949" s="33"/>
      <c r="AF2949" s="33"/>
    </row>
    <row r="2950" spans="29:32" x14ac:dyDescent="0.2">
      <c r="AC2950" s="33"/>
      <c r="AE2950" s="33"/>
      <c r="AF2950" s="33"/>
    </row>
    <row r="2951" spans="29:32" x14ac:dyDescent="0.2">
      <c r="AC2951" s="33"/>
      <c r="AE2951" s="33"/>
      <c r="AF2951" s="33"/>
    </row>
    <row r="2952" spans="29:32" x14ac:dyDescent="0.2">
      <c r="AC2952" s="33"/>
      <c r="AE2952" s="33"/>
      <c r="AF2952" s="33"/>
    </row>
    <row r="2953" spans="29:32" x14ac:dyDescent="0.2">
      <c r="AC2953" s="33"/>
      <c r="AE2953" s="33"/>
      <c r="AF2953" s="33"/>
    </row>
    <row r="2954" spans="29:32" x14ac:dyDescent="0.2">
      <c r="AC2954" s="33"/>
      <c r="AE2954" s="33"/>
      <c r="AF2954" s="33"/>
    </row>
    <row r="2955" spans="29:32" x14ac:dyDescent="0.2">
      <c r="AC2955" s="33"/>
      <c r="AE2955" s="33"/>
      <c r="AF2955" s="33"/>
    </row>
    <row r="2956" spans="29:32" x14ac:dyDescent="0.2">
      <c r="AC2956" s="33"/>
      <c r="AE2956" s="33"/>
      <c r="AF2956" s="33"/>
    </row>
    <row r="2957" spans="29:32" x14ac:dyDescent="0.2">
      <c r="AC2957" s="33"/>
      <c r="AE2957" s="33"/>
      <c r="AF2957" s="33"/>
    </row>
    <row r="2958" spans="29:32" x14ac:dyDescent="0.2">
      <c r="AC2958" s="33"/>
      <c r="AE2958" s="33"/>
      <c r="AF2958" s="33"/>
    </row>
    <row r="2959" spans="29:32" x14ac:dyDescent="0.2">
      <c r="AC2959" s="33"/>
      <c r="AE2959" s="33"/>
      <c r="AF2959" s="33"/>
    </row>
    <row r="2960" spans="29:32" x14ac:dyDescent="0.2">
      <c r="AC2960" s="33"/>
      <c r="AE2960" s="33"/>
      <c r="AF2960" s="33"/>
    </row>
    <row r="2961" spans="29:32" x14ac:dyDescent="0.2">
      <c r="AC2961" s="33"/>
      <c r="AE2961" s="33"/>
      <c r="AF2961" s="33"/>
    </row>
    <row r="2962" spans="29:32" x14ac:dyDescent="0.2">
      <c r="AC2962" s="33"/>
      <c r="AE2962" s="33"/>
      <c r="AF2962" s="33"/>
    </row>
    <row r="2963" spans="29:32" x14ac:dyDescent="0.2">
      <c r="AC2963" s="33"/>
      <c r="AE2963" s="33"/>
      <c r="AF2963" s="33"/>
    </row>
    <row r="2964" spans="29:32" x14ac:dyDescent="0.2">
      <c r="AC2964" s="33"/>
      <c r="AE2964" s="33"/>
      <c r="AF2964" s="33"/>
    </row>
    <row r="2965" spans="29:32" x14ac:dyDescent="0.2">
      <c r="AC2965" s="33"/>
      <c r="AE2965" s="33"/>
      <c r="AF2965" s="33"/>
    </row>
    <row r="2966" spans="29:32" x14ac:dyDescent="0.2">
      <c r="AC2966" s="33"/>
      <c r="AE2966" s="33"/>
      <c r="AF2966" s="33"/>
    </row>
    <row r="2967" spans="29:32" x14ac:dyDescent="0.2">
      <c r="AC2967" s="33"/>
      <c r="AE2967" s="33"/>
      <c r="AF2967" s="33"/>
    </row>
    <row r="2968" spans="29:32" x14ac:dyDescent="0.2">
      <c r="AC2968" s="33"/>
      <c r="AE2968" s="33"/>
      <c r="AF2968" s="33"/>
    </row>
    <row r="2969" spans="29:32" x14ac:dyDescent="0.2">
      <c r="AC2969" s="33"/>
      <c r="AE2969" s="33"/>
      <c r="AF2969" s="33"/>
    </row>
    <row r="2970" spans="29:32" x14ac:dyDescent="0.2">
      <c r="AC2970" s="33"/>
      <c r="AE2970" s="33"/>
      <c r="AF2970" s="33"/>
    </row>
    <row r="2971" spans="29:32" x14ac:dyDescent="0.2">
      <c r="AC2971" s="33"/>
      <c r="AE2971" s="33"/>
      <c r="AF2971" s="33"/>
    </row>
    <row r="2972" spans="29:32" x14ac:dyDescent="0.2">
      <c r="AC2972" s="33"/>
      <c r="AE2972" s="33"/>
      <c r="AF2972" s="33"/>
    </row>
    <row r="2973" spans="29:32" x14ac:dyDescent="0.2">
      <c r="AC2973" s="33"/>
      <c r="AE2973" s="33"/>
      <c r="AF2973" s="33"/>
    </row>
    <row r="2974" spans="29:32" x14ac:dyDescent="0.2">
      <c r="AC2974" s="33"/>
      <c r="AE2974" s="33"/>
      <c r="AF2974" s="33"/>
    </row>
    <row r="2975" spans="29:32" x14ac:dyDescent="0.2">
      <c r="AC2975" s="33"/>
      <c r="AE2975" s="33"/>
      <c r="AF2975" s="33"/>
    </row>
    <row r="2976" spans="29:32" x14ac:dyDescent="0.2">
      <c r="AC2976" s="33"/>
      <c r="AE2976" s="33"/>
      <c r="AF2976" s="33"/>
    </row>
    <row r="2977" spans="29:32" x14ac:dyDescent="0.2">
      <c r="AC2977" s="33"/>
      <c r="AE2977" s="33"/>
      <c r="AF2977" s="33"/>
    </row>
    <row r="2978" spans="29:32" x14ac:dyDescent="0.2">
      <c r="AC2978" s="33"/>
      <c r="AE2978" s="33"/>
      <c r="AF2978" s="33"/>
    </row>
    <row r="2979" spans="29:32" x14ac:dyDescent="0.2">
      <c r="AC2979" s="33"/>
      <c r="AE2979" s="33"/>
      <c r="AF2979" s="33"/>
    </row>
    <row r="2980" spans="29:32" x14ac:dyDescent="0.2">
      <c r="AC2980" s="33"/>
      <c r="AE2980" s="33"/>
      <c r="AF2980" s="33"/>
    </row>
    <row r="2981" spans="29:32" x14ac:dyDescent="0.2">
      <c r="AC2981" s="33"/>
      <c r="AE2981" s="33"/>
      <c r="AF2981" s="33"/>
    </row>
    <row r="2982" spans="29:32" x14ac:dyDescent="0.2">
      <c r="AC2982" s="33"/>
      <c r="AE2982" s="33"/>
      <c r="AF2982" s="33"/>
    </row>
    <row r="2983" spans="29:32" x14ac:dyDescent="0.2">
      <c r="AC2983" s="33"/>
      <c r="AE2983" s="33"/>
      <c r="AF2983" s="33"/>
    </row>
    <row r="2984" spans="29:32" x14ac:dyDescent="0.2">
      <c r="AC2984" s="33"/>
      <c r="AE2984" s="33"/>
      <c r="AF2984" s="33"/>
    </row>
    <row r="2985" spans="29:32" x14ac:dyDescent="0.2">
      <c r="AC2985" s="33"/>
      <c r="AE2985" s="33"/>
      <c r="AF2985" s="33"/>
    </row>
    <row r="2986" spans="29:32" x14ac:dyDescent="0.2">
      <c r="AC2986" s="33"/>
      <c r="AE2986" s="33"/>
      <c r="AF2986" s="33"/>
    </row>
    <row r="2987" spans="29:32" x14ac:dyDescent="0.2">
      <c r="AC2987" s="33"/>
      <c r="AE2987" s="33"/>
      <c r="AF2987" s="33"/>
    </row>
    <row r="2988" spans="29:32" x14ac:dyDescent="0.2">
      <c r="AC2988" s="33"/>
      <c r="AE2988" s="33"/>
      <c r="AF2988" s="33"/>
    </row>
    <row r="2989" spans="29:32" x14ac:dyDescent="0.2">
      <c r="AC2989" s="33"/>
      <c r="AE2989" s="33"/>
      <c r="AF2989" s="33"/>
    </row>
    <row r="2990" spans="29:32" x14ac:dyDescent="0.2">
      <c r="AC2990" s="33"/>
      <c r="AE2990" s="33"/>
      <c r="AF2990" s="33"/>
    </row>
    <row r="2991" spans="29:32" x14ac:dyDescent="0.2">
      <c r="AC2991" s="33"/>
      <c r="AE2991" s="33"/>
      <c r="AF2991" s="33"/>
    </row>
    <row r="2992" spans="29:32" x14ac:dyDescent="0.2">
      <c r="AC2992" s="33"/>
      <c r="AE2992" s="33"/>
      <c r="AF2992" s="33"/>
    </row>
    <row r="2993" spans="29:32" x14ac:dyDescent="0.2">
      <c r="AC2993" s="33"/>
      <c r="AE2993" s="33"/>
      <c r="AF2993" s="33"/>
    </row>
    <row r="2994" spans="29:32" x14ac:dyDescent="0.2">
      <c r="AC2994" s="33"/>
      <c r="AE2994" s="33"/>
      <c r="AF2994" s="33"/>
    </row>
    <row r="2995" spans="29:32" x14ac:dyDescent="0.2">
      <c r="AC2995" s="33"/>
      <c r="AE2995" s="33"/>
      <c r="AF2995" s="33"/>
    </row>
    <row r="2996" spans="29:32" x14ac:dyDescent="0.2">
      <c r="AC2996" s="33"/>
      <c r="AE2996" s="33"/>
      <c r="AF2996" s="33"/>
    </row>
    <row r="2997" spans="29:32" x14ac:dyDescent="0.2">
      <c r="AC2997" s="33"/>
      <c r="AE2997" s="33"/>
      <c r="AF2997" s="33"/>
    </row>
    <row r="2998" spans="29:32" x14ac:dyDescent="0.2">
      <c r="AC2998" s="33"/>
      <c r="AE2998" s="33"/>
      <c r="AF2998" s="33"/>
    </row>
    <row r="2999" spans="29:32" x14ac:dyDescent="0.2">
      <c r="AC2999" s="33"/>
      <c r="AE2999" s="33"/>
      <c r="AF2999" s="33"/>
    </row>
    <row r="3000" spans="29:32" x14ac:dyDescent="0.2">
      <c r="AC3000" s="33"/>
      <c r="AE3000" s="33"/>
      <c r="AF3000" s="33"/>
    </row>
    <row r="3001" spans="29:32" x14ac:dyDescent="0.2">
      <c r="AC3001" s="33"/>
      <c r="AE3001" s="33"/>
      <c r="AF3001" s="33"/>
    </row>
    <row r="3002" spans="29:32" x14ac:dyDescent="0.2">
      <c r="AC3002" s="33"/>
      <c r="AE3002" s="33"/>
      <c r="AF3002" s="33"/>
    </row>
    <row r="3003" spans="29:32" x14ac:dyDescent="0.2">
      <c r="AC3003" s="33"/>
      <c r="AE3003" s="33"/>
      <c r="AF3003" s="33"/>
    </row>
    <row r="3004" spans="29:32" x14ac:dyDescent="0.2">
      <c r="AC3004" s="33"/>
      <c r="AE3004" s="33"/>
      <c r="AF3004" s="33"/>
    </row>
    <row r="3005" spans="29:32" x14ac:dyDescent="0.2">
      <c r="AC3005" s="33"/>
      <c r="AE3005" s="33"/>
      <c r="AF3005" s="33"/>
    </row>
    <row r="3006" spans="29:32" x14ac:dyDescent="0.2">
      <c r="AC3006" s="33"/>
      <c r="AE3006" s="33"/>
      <c r="AF3006" s="33"/>
    </row>
    <row r="3007" spans="29:32" x14ac:dyDescent="0.2">
      <c r="AC3007" s="33"/>
      <c r="AE3007" s="33"/>
      <c r="AF3007" s="33"/>
    </row>
    <row r="3008" spans="29:32" x14ac:dyDescent="0.2">
      <c r="AC3008" s="33"/>
      <c r="AE3008" s="33"/>
      <c r="AF3008" s="33"/>
    </row>
    <row r="3009" spans="29:32" x14ac:dyDescent="0.2">
      <c r="AC3009" s="33"/>
      <c r="AE3009" s="33"/>
      <c r="AF3009" s="33"/>
    </row>
    <row r="3010" spans="29:32" x14ac:dyDescent="0.2">
      <c r="AC3010" s="33"/>
      <c r="AE3010" s="33"/>
      <c r="AF3010" s="33"/>
    </row>
    <row r="3011" spans="29:32" x14ac:dyDescent="0.2">
      <c r="AC3011" s="33"/>
      <c r="AE3011" s="33"/>
      <c r="AF3011" s="33"/>
    </row>
    <row r="3012" spans="29:32" x14ac:dyDescent="0.2">
      <c r="AC3012" s="33"/>
      <c r="AE3012" s="33"/>
      <c r="AF3012" s="33"/>
    </row>
    <row r="3013" spans="29:32" x14ac:dyDescent="0.2">
      <c r="AC3013" s="33"/>
      <c r="AE3013" s="33"/>
      <c r="AF3013" s="33"/>
    </row>
    <row r="3014" spans="29:32" x14ac:dyDescent="0.2">
      <c r="AC3014" s="33"/>
      <c r="AE3014" s="33"/>
      <c r="AF3014" s="33"/>
    </row>
    <row r="3015" spans="29:32" x14ac:dyDescent="0.2">
      <c r="AC3015" s="33"/>
      <c r="AE3015" s="33"/>
      <c r="AF3015" s="33"/>
    </row>
    <row r="3016" spans="29:32" x14ac:dyDescent="0.2">
      <c r="AC3016" s="33"/>
      <c r="AE3016" s="33"/>
      <c r="AF3016" s="33"/>
    </row>
    <row r="3017" spans="29:32" x14ac:dyDescent="0.2">
      <c r="AC3017" s="33"/>
      <c r="AE3017" s="33"/>
      <c r="AF3017" s="33"/>
    </row>
    <row r="3018" spans="29:32" x14ac:dyDescent="0.2">
      <c r="AC3018" s="33"/>
      <c r="AE3018" s="33"/>
      <c r="AF3018" s="33"/>
    </row>
    <row r="3019" spans="29:32" x14ac:dyDescent="0.2">
      <c r="AC3019" s="33"/>
      <c r="AE3019" s="33"/>
      <c r="AF3019" s="33"/>
    </row>
    <row r="3020" spans="29:32" x14ac:dyDescent="0.2">
      <c r="AC3020" s="33"/>
      <c r="AE3020" s="33"/>
      <c r="AF3020" s="33"/>
    </row>
    <row r="3021" spans="29:32" x14ac:dyDescent="0.2">
      <c r="AC3021" s="33"/>
      <c r="AE3021" s="33"/>
      <c r="AF3021" s="33"/>
    </row>
    <row r="3022" spans="29:32" x14ac:dyDescent="0.2">
      <c r="AC3022" s="33"/>
      <c r="AE3022" s="33"/>
      <c r="AF3022" s="33"/>
    </row>
    <row r="3023" spans="29:32" x14ac:dyDescent="0.2">
      <c r="AC3023" s="33"/>
      <c r="AE3023" s="33"/>
      <c r="AF3023" s="33"/>
    </row>
    <row r="3024" spans="29:32" x14ac:dyDescent="0.2">
      <c r="AC3024" s="33"/>
      <c r="AE3024" s="33"/>
      <c r="AF3024" s="33"/>
    </row>
    <row r="3025" spans="29:32" x14ac:dyDescent="0.2">
      <c r="AC3025" s="33"/>
      <c r="AE3025" s="33"/>
      <c r="AF3025" s="33"/>
    </row>
    <row r="3026" spans="29:32" x14ac:dyDescent="0.2">
      <c r="AC3026" s="33"/>
      <c r="AE3026" s="33"/>
      <c r="AF3026" s="33"/>
    </row>
    <row r="3027" spans="29:32" x14ac:dyDescent="0.2">
      <c r="AC3027" s="33"/>
      <c r="AE3027" s="33"/>
      <c r="AF3027" s="33"/>
    </row>
    <row r="3028" spans="29:32" x14ac:dyDescent="0.2">
      <c r="AC3028" s="33"/>
      <c r="AE3028" s="33"/>
      <c r="AF3028" s="33"/>
    </row>
    <row r="3029" spans="29:32" x14ac:dyDescent="0.2">
      <c r="AC3029" s="33"/>
      <c r="AE3029" s="33"/>
      <c r="AF3029" s="33"/>
    </row>
    <row r="3030" spans="29:32" x14ac:dyDescent="0.2">
      <c r="AC3030" s="33"/>
      <c r="AE3030" s="33"/>
      <c r="AF3030" s="33"/>
    </row>
    <row r="3031" spans="29:32" x14ac:dyDescent="0.2">
      <c r="AC3031" s="33"/>
      <c r="AE3031" s="33"/>
      <c r="AF3031" s="33"/>
    </row>
    <row r="3032" spans="29:32" x14ac:dyDescent="0.2">
      <c r="AC3032" s="33"/>
      <c r="AE3032" s="33"/>
      <c r="AF3032" s="33"/>
    </row>
    <row r="3033" spans="29:32" x14ac:dyDescent="0.2">
      <c r="AC3033" s="33"/>
      <c r="AE3033" s="33"/>
      <c r="AF3033" s="33"/>
    </row>
    <row r="3034" spans="29:32" x14ac:dyDescent="0.2">
      <c r="AC3034" s="33"/>
      <c r="AE3034" s="33"/>
      <c r="AF3034" s="33"/>
    </row>
    <row r="3035" spans="29:32" x14ac:dyDescent="0.2">
      <c r="AC3035" s="33"/>
      <c r="AE3035" s="33"/>
      <c r="AF3035" s="33"/>
    </row>
    <row r="3036" spans="29:32" x14ac:dyDescent="0.2">
      <c r="AC3036" s="33"/>
      <c r="AE3036" s="33"/>
      <c r="AF3036" s="33"/>
    </row>
    <row r="3037" spans="29:32" x14ac:dyDescent="0.2">
      <c r="AC3037" s="33"/>
      <c r="AE3037" s="33"/>
      <c r="AF3037" s="33"/>
    </row>
    <row r="3038" spans="29:32" x14ac:dyDescent="0.2">
      <c r="AC3038" s="33"/>
      <c r="AE3038" s="33"/>
      <c r="AF3038" s="33"/>
    </row>
    <row r="3039" spans="29:32" x14ac:dyDescent="0.2">
      <c r="AC3039" s="33"/>
      <c r="AE3039" s="33"/>
      <c r="AF3039" s="33"/>
    </row>
    <row r="3040" spans="29:32" x14ac:dyDescent="0.2">
      <c r="AC3040" s="33"/>
      <c r="AE3040" s="33"/>
      <c r="AF3040" s="33"/>
    </row>
    <row r="3041" spans="29:32" x14ac:dyDescent="0.2">
      <c r="AC3041" s="33"/>
      <c r="AE3041" s="33"/>
      <c r="AF3041" s="33"/>
    </row>
    <row r="3042" spans="29:32" x14ac:dyDescent="0.2">
      <c r="AC3042" s="33"/>
      <c r="AE3042" s="33"/>
      <c r="AF3042" s="33"/>
    </row>
    <row r="3043" spans="29:32" x14ac:dyDescent="0.2">
      <c r="AC3043" s="33"/>
      <c r="AE3043" s="33"/>
      <c r="AF3043" s="33"/>
    </row>
    <row r="3044" spans="29:32" x14ac:dyDescent="0.2">
      <c r="AC3044" s="33"/>
      <c r="AE3044" s="33"/>
      <c r="AF3044" s="33"/>
    </row>
    <row r="3045" spans="29:32" x14ac:dyDescent="0.2">
      <c r="AC3045" s="33"/>
      <c r="AE3045" s="33"/>
      <c r="AF3045" s="33"/>
    </row>
    <row r="3046" spans="29:32" x14ac:dyDescent="0.2">
      <c r="AC3046" s="33"/>
      <c r="AE3046" s="33"/>
      <c r="AF3046" s="33"/>
    </row>
    <row r="3047" spans="29:32" x14ac:dyDescent="0.2">
      <c r="AC3047" s="33"/>
      <c r="AE3047" s="33"/>
      <c r="AF3047" s="33"/>
    </row>
    <row r="3048" spans="29:32" x14ac:dyDescent="0.2">
      <c r="AC3048" s="33"/>
      <c r="AE3048" s="33"/>
      <c r="AF3048" s="33"/>
    </row>
    <row r="3049" spans="29:32" x14ac:dyDescent="0.2">
      <c r="AC3049" s="33"/>
      <c r="AE3049" s="33"/>
      <c r="AF3049" s="33"/>
    </row>
    <row r="3050" spans="29:32" x14ac:dyDescent="0.2">
      <c r="AC3050" s="33"/>
      <c r="AE3050" s="33"/>
      <c r="AF3050" s="33"/>
    </row>
    <row r="3051" spans="29:32" x14ac:dyDescent="0.2">
      <c r="AC3051" s="33"/>
      <c r="AE3051" s="33"/>
      <c r="AF3051" s="33"/>
    </row>
    <row r="3052" spans="29:32" x14ac:dyDescent="0.2">
      <c r="AC3052" s="33"/>
      <c r="AE3052" s="33"/>
      <c r="AF3052" s="33"/>
    </row>
    <row r="3053" spans="29:32" x14ac:dyDescent="0.2">
      <c r="AC3053" s="33"/>
      <c r="AE3053" s="33"/>
      <c r="AF3053" s="33"/>
    </row>
    <row r="3054" spans="29:32" x14ac:dyDescent="0.2">
      <c r="AC3054" s="33"/>
      <c r="AE3054" s="33"/>
      <c r="AF3054" s="33"/>
    </row>
    <row r="3055" spans="29:32" x14ac:dyDescent="0.2">
      <c r="AC3055" s="33"/>
      <c r="AE3055" s="33"/>
      <c r="AF3055" s="33"/>
    </row>
    <row r="3056" spans="29:32" x14ac:dyDescent="0.2">
      <c r="AC3056" s="33"/>
      <c r="AE3056" s="33"/>
      <c r="AF3056" s="33"/>
    </row>
    <row r="3057" spans="29:32" x14ac:dyDescent="0.2">
      <c r="AC3057" s="33"/>
      <c r="AE3057" s="33"/>
      <c r="AF3057" s="33"/>
    </row>
    <row r="3058" spans="29:32" x14ac:dyDescent="0.2">
      <c r="AC3058" s="33"/>
      <c r="AE3058" s="33"/>
      <c r="AF3058" s="33"/>
    </row>
    <row r="3059" spans="29:32" x14ac:dyDescent="0.2">
      <c r="AC3059" s="33"/>
      <c r="AE3059" s="33"/>
      <c r="AF3059" s="33"/>
    </row>
    <row r="3060" spans="29:32" x14ac:dyDescent="0.2">
      <c r="AC3060" s="33"/>
      <c r="AE3060" s="33"/>
      <c r="AF3060" s="33"/>
    </row>
    <row r="3061" spans="29:32" x14ac:dyDescent="0.2">
      <c r="AC3061" s="33"/>
      <c r="AE3061" s="33"/>
      <c r="AF3061" s="33"/>
    </row>
    <row r="3062" spans="29:32" x14ac:dyDescent="0.2">
      <c r="AC3062" s="33"/>
      <c r="AE3062" s="33"/>
      <c r="AF3062" s="33"/>
    </row>
    <row r="3063" spans="29:32" x14ac:dyDescent="0.2">
      <c r="AC3063" s="33"/>
      <c r="AE3063" s="33"/>
      <c r="AF3063" s="33"/>
    </row>
    <row r="3064" spans="29:32" x14ac:dyDescent="0.2">
      <c r="AC3064" s="33"/>
      <c r="AE3064" s="33"/>
      <c r="AF3064" s="33"/>
    </row>
    <row r="3065" spans="29:32" x14ac:dyDescent="0.2">
      <c r="AC3065" s="33"/>
      <c r="AE3065" s="33"/>
      <c r="AF3065" s="33"/>
    </row>
    <row r="3066" spans="29:32" x14ac:dyDescent="0.2">
      <c r="AC3066" s="33"/>
      <c r="AE3066" s="33"/>
      <c r="AF3066" s="33"/>
    </row>
    <row r="3067" spans="29:32" x14ac:dyDescent="0.2">
      <c r="AC3067" s="33"/>
      <c r="AE3067" s="33"/>
      <c r="AF3067" s="33"/>
    </row>
    <row r="3068" spans="29:32" x14ac:dyDescent="0.2">
      <c r="AC3068" s="33"/>
      <c r="AE3068" s="33"/>
      <c r="AF3068" s="33"/>
    </row>
    <row r="3069" spans="29:32" x14ac:dyDescent="0.2">
      <c r="AC3069" s="33"/>
      <c r="AE3069" s="33"/>
      <c r="AF3069" s="33"/>
    </row>
    <row r="3070" spans="29:32" x14ac:dyDescent="0.2">
      <c r="AC3070" s="33"/>
      <c r="AE3070" s="33"/>
      <c r="AF3070" s="33"/>
    </row>
    <row r="3071" spans="29:32" x14ac:dyDescent="0.2">
      <c r="AC3071" s="33"/>
      <c r="AE3071" s="33"/>
      <c r="AF3071" s="33"/>
    </row>
    <row r="3072" spans="29:32" x14ac:dyDescent="0.2">
      <c r="AC3072" s="33"/>
      <c r="AE3072" s="33"/>
      <c r="AF3072" s="33"/>
    </row>
    <row r="3073" spans="29:32" x14ac:dyDescent="0.2">
      <c r="AC3073" s="33"/>
      <c r="AE3073" s="33"/>
      <c r="AF3073" s="33"/>
    </row>
    <row r="3074" spans="29:32" x14ac:dyDescent="0.2">
      <c r="AC3074" s="33"/>
      <c r="AE3074" s="33"/>
      <c r="AF3074" s="33"/>
    </row>
    <row r="3075" spans="29:32" x14ac:dyDescent="0.2">
      <c r="AC3075" s="33"/>
      <c r="AE3075" s="33"/>
      <c r="AF3075" s="33"/>
    </row>
    <row r="3076" spans="29:32" x14ac:dyDescent="0.2">
      <c r="AC3076" s="33"/>
      <c r="AE3076" s="33"/>
      <c r="AF3076" s="33"/>
    </row>
    <row r="3077" spans="29:32" x14ac:dyDescent="0.2">
      <c r="AC3077" s="33"/>
      <c r="AE3077" s="33"/>
      <c r="AF3077" s="33"/>
    </row>
    <row r="3078" spans="29:32" x14ac:dyDescent="0.2">
      <c r="AC3078" s="33"/>
      <c r="AE3078" s="33"/>
      <c r="AF3078" s="33"/>
    </row>
    <row r="3079" spans="29:32" x14ac:dyDescent="0.2">
      <c r="AC3079" s="33"/>
      <c r="AE3079" s="33"/>
      <c r="AF3079" s="33"/>
    </row>
    <row r="3080" spans="29:32" x14ac:dyDescent="0.2">
      <c r="AC3080" s="33"/>
      <c r="AE3080" s="33"/>
      <c r="AF3080" s="33"/>
    </row>
    <row r="3081" spans="29:32" x14ac:dyDescent="0.2">
      <c r="AC3081" s="33"/>
      <c r="AE3081" s="33"/>
      <c r="AF3081" s="33"/>
    </row>
    <row r="3082" spans="29:32" x14ac:dyDescent="0.2">
      <c r="AC3082" s="33"/>
      <c r="AE3082" s="33"/>
      <c r="AF3082" s="33"/>
    </row>
    <row r="3083" spans="29:32" x14ac:dyDescent="0.2">
      <c r="AC3083" s="33"/>
      <c r="AE3083" s="33"/>
      <c r="AF3083" s="33"/>
    </row>
    <row r="3084" spans="29:32" x14ac:dyDescent="0.2">
      <c r="AC3084" s="33"/>
      <c r="AE3084" s="33"/>
      <c r="AF3084" s="33"/>
    </row>
    <row r="3085" spans="29:32" x14ac:dyDescent="0.2">
      <c r="AC3085" s="33"/>
      <c r="AE3085" s="33"/>
      <c r="AF3085" s="33"/>
    </row>
    <row r="3086" spans="29:32" x14ac:dyDescent="0.2">
      <c r="AC3086" s="33"/>
      <c r="AE3086" s="33"/>
      <c r="AF3086" s="33"/>
    </row>
    <row r="3087" spans="29:32" x14ac:dyDescent="0.2">
      <c r="AC3087" s="33"/>
      <c r="AE3087" s="33"/>
      <c r="AF3087" s="33"/>
    </row>
    <row r="3088" spans="29:32" x14ac:dyDescent="0.2">
      <c r="AC3088" s="33"/>
      <c r="AE3088" s="33"/>
      <c r="AF3088" s="33"/>
    </row>
    <row r="3089" spans="29:32" x14ac:dyDescent="0.2">
      <c r="AC3089" s="33"/>
      <c r="AE3089" s="33"/>
      <c r="AF3089" s="33"/>
    </row>
    <row r="3090" spans="29:32" x14ac:dyDescent="0.2">
      <c r="AC3090" s="33"/>
      <c r="AE3090" s="33"/>
      <c r="AF3090" s="33"/>
    </row>
    <row r="3091" spans="29:32" x14ac:dyDescent="0.2">
      <c r="AC3091" s="33"/>
      <c r="AE3091" s="33"/>
      <c r="AF3091" s="33"/>
    </row>
    <row r="3092" spans="29:32" x14ac:dyDescent="0.2">
      <c r="AC3092" s="33"/>
      <c r="AE3092" s="33"/>
      <c r="AF3092" s="33"/>
    </row>
    <row r="3093" spans="29:32" x14ac:dyDescent="0.2">
      <c r="AC3093" s="33"/>
      <c r="AE3093" s="33"/>
      <c r="AF3093" s="33"/>
    </row>
    <row r="3094" spans="29:32" x14ac:dyDescent="0.2">
      <c r="AC3094" s="33"/>
      <c r="AE3094" s="33"/>
      <c r="AF3094" s="33"/>
    </row>
    <row r="3095" spans="29:32" x14ac:dyDescent="0.2">
      <c r="AC3095" s="33"/>
      <c r="AE3095" s="33"/>
      <c r="AF3095" s="33"/>
    </row>
    <row r="3096" spans="29:32" x14ac:dyDescent="0.2">
      <c r="AC3096" s="33"/>
      <c r="AE3096" s="33"/>
      <c r="AF3096" s="33"/>
    </row>
    <row r="3097" spans="29:32" x14ac:dyDescent="0.2">
      <c r="AC3097" s="33"/>
      <c r="AE3097" s="33"/>
      <c r="AF3097" s="33"/>
    </row>
    <row r="3098" spans="29:32" x14ac:dyDescent="0.2">
      <c r="AC3098" s="33"/>
      <c r="AE3098" s="33"/>
      <c r="AF3098" s="33"/>
    </row>
    <row r="3099" spans="29:32" x14ac:dyDescent="0.2">
      <c r="AC3099" s="33"/>
      <c r="AE3099" s="33"/>
      <c r="AF3099" s="33"/>
    </row>
    <row r="3100" spans="29:32" x14ac:dyDescent="0.2">
      <c r="AC3100" s="33"/>
      <c r="AE3100" s="33"/>
      <c r="AF3100" s="33"/>
    </row>
    <row r="3101" spans="29:32" x14ac:dyDescent="0.2">
      <c r="AC3101" s="33"/>
      <c r="AE3101" s="33"/>
      <c r="AF3101" s="33"/>
    </row>
    <row r="3102" spans="29:32" x14ac:dyDescent="0.2">
      <c r="AC3102" s="33"/>
      <c r="AE3102" s="33"/>
      <c r="AF3102" s="33"/>
    </row>
    <row r="3103" spans="29:32" x14ac:dyDescent="0.2">
      <c r="AC3103" s="33"/>
      <c r="AE3103" s="33"/>
      <c r="AF3103" s="33"/>
    </row>
    <row r="3104" spans="29:32" x14ac:dyDescent="0.2">
      <c r="AC3104" s="33"/>
      <c r="AE3104" s="33"/>
      <c r="AF3104" s="33"/>
    </row>
    <row r="3105" spans="29:32" x14ac:dyDescent="0.2">
      <c r="AC3105" s="33"/>
      <c r="AE3105" s="33"/>
      <c r="AF3105" s="33"/>
    </row>
    <row r="3106" spans="29:32" x14ac:dyDescent="0.2">
      <c r="AC3106" s="33"/>
      <c r="AE3106" s="33"/>
      <c r="AF3106" s="33"/>
    </row>
    <row r="3107" spans="29:32" x14ac:dyDescent="0.2">
      <c r="AC3107" s="33"/>
      <c r="AE3107" s="33"/>
      <c r="AF3107" s="33"/>
    </row>
    <row r="3108" spans="29:32" x14ac:dyDescent="0.2">
      <c r="AC3108" s="33"/>
      <c r="AE3108" s="33"/>
      <c r="AF3108" s="33"/>
    </row>
    <row r="3109" spans="29:32" x14ac:dyDescent="0.2">
      <c r="AC3109" s="33"/>
      <c r="AE3109" s="33"/>
      <c r="AF3109" s="33"/>
    </row>
    <row r="3110" spans="29:32" x14ac:dyDescent="0.2">
      <c r="AC3110" s="33"/>
      <c r="AE3110" s="33"/>
      <c r="AF3110" s="33"/>
    </row>
    <row r="3111" spans="29:32" x14ac:dyDescent="0.2">
      <c r="AC3111" s="33"/>
      <c r="AE3111" s="33"/>
      <c r="AF3111" s="33"/>
    </row>
    <row r="3112" spans="29:32" x14ac:dyDescent="0.2">
      <c r="AC3112" s="33"/>
      <c r="AE3112" s="33"/>
      <c r="AF3112" s="33"/>
    </row>
    <row r="3113" spans="29:32" x14ac:dyDescent="0.2">
      <c r="AC3113" s="33"/>
      <c r="AE3113" s="33"/>
      <c r="AF3113" s="33"/>
    </row>
    <row r="3114" spans="29:32" x14ac:dyDescent="0.2">
      <c r="AC3114" s="33"/>
      <c r="AE3114" s="33"/>
      <c r="AF3114" s="33"/>
    </row>
    <row r="3115" spans="29:32" x14ac:dyDescent="0.2">
      <c r="AC3115" s="33"/>
      <c r="AE3115" s="33"/>
      <c r="AF3115" s="33"/>
    </row>
    <row r="3116" spans="29:32" x14ac:dyDescent="0.2">
      <c r="AC3116" s="33"/>
      <c r="AE3116" s="33"/>
      <c r="AF3116" s="33"/>
    </row>
    <row r="3117" spans="29:32" x14ac:dyDescent="0.2">
      <c r="AC3117" s="33"/>
      <c r="AE3117" s="33"/>
      <c r="AF3117" s="33"/>
    </row>
    <row r="3118" spans="29:32" x14ac:dyDescent="0.2">
      <c r="AC3118" s="33"/>
      <c r="AE3118" s="33"/>
      <c r="AF3118" s="33"/>
    </row>
    <row r="3119" spans="29:32" x14ac:dyDescent="0.2">
      <c r="AC3119" s="33"/>
      <c r="AE3119" s="33"/>
      <c r="AF3119" s="33"/>
    </row>
    <row r="3120" spans="29:32" x14ac:dyDescent="0.2">
      <c r="AC3120" s="33"/>
      <c r="AE3120" s="33"/>
      <c r="AF3120" s="33"/>
    </row>
    <row r="3121" spans="29:32" x14ac:dyDescent="0.2">
      <c r="AC3121" s="33"/>
      <c r="AE3121" s="33"/>
      <c r="AF3121" s="33"/>
    </row>
    <row r="3122" spans="29:32" x14ac:dyDescent="0.2">
      <c r="AC3122" s="33"/>
      <c r="AE3122" s="33"/>
      <c r="AF3122" s="33"/>
    </row>
    <row r="3123" spans="29:32" x14ac:dyDescent="0.2">
      <c r="AC3123" s="33"/>
      <c r="AE3123" s="33"/>
      <c r="AF3123" s="33"/>
    </row>
    <row r="3124" spans="29:32" x14ac:dyDescent="0.2">
      <c r="AC3124" s="33"/>
      <c r="AE3124" s="33"/>
      <c r="AF3124" s="33"/>
    </row>
    <row r="3125" spans="29:32" x14ac:dyDescent="0.2">
      <c r="AC3125" s="33"/>
      <c r="AE3125" s="33"/>
      <c r="AF3125" s="33"/>
    </row>
    <row r="3126" spans="29:32" x14ac:dyDescent="0.2">
      <c r="AC3126" s="33"/>
      <c r="AE3126" s="33"/>
      <c r="AF3126" s="33"/>
    </row>
    <row r="3127" spans="29:32" x14ac:dyDescent="0.2">
      <c r="AC3127" s="33"/>
      <c r="AE3127" s="33"/>
      <c r="AF3127" s="33"/>
    </row>
    <row r="3128" spans="29:32" x14ac:dyDescent="0.2">
      <c r="AC3128" s="33"/>
      <c r="AE3128" s="33"/>
      <c r="AF3128" s="33"/>
    </row>
    <row r="3129" spans="29:32" x14ac:dyDescent="0.2">
      <c r="AC3129" s="33"/>
      <c r="AE3129" s="33"/>
      <c r="AF3129" s="33"/>
    </row>
    <row r="3130" spans="29:32" x14ac:dyDescent="0.2">
      <c r="AC3130" s="33"/>
      <c r="AE3130" s="33"/>
      <c r="AF3130" s="33"/>
    </row>
    <row r="3131" spans="29:32" x14ac:dyDescent="0.2">
      <c r="AC3131" s="33"/>
      <c r="AE3131" s="33"/>
      <c r="AF3131" s="33"/>
    </row>
    <row r="3132" spans="29:32" x14ac:dyDescent="0.2">
      <c r="AC3132" s="33"/>
      <c r="AE3132" s="33"/>
      <c r="AF3132" s="33"/>
    </row>
    <row r="3133" spans="29:32" x14ac:dyDescent="0.2">
      <c r="AC3133" s="33"/>
      <c r="AE3133" s="33"/>
      <c r="AF3133" s="33"/>
    </row>
    <row r="3134" spans="29:32" x14ac:dyDescent="0.2">
      <c r="AC3134" s="33"/>
      <c r="AE3134" s="33"/>
      <c r="AF3134" s="33"/>
    </row>
    <row r="3135" spans="29:32" x14ac:dyDescent="0.2">
      <c r="AC3135" s="33"/>
      <c r="AE3135" s="33"/>
      <c r="AF3135" s="33"/>
    </row>
    <row r="3136" spans="29:32" x14ac:dyDescent="0.2">
      <c r="AC3136" s="33"/>
      <c r="AE3136" s="33"/>
      <c r="AF3136" s="33"/>
    </row>
    <row r="3137" spans="29:32" x14ac:dyDescent="0.2">
      <c r="AC3137" s="33"/>
      <c r="AE3137" s="33"/>
      <c r="AF3137" s="33"/>
    </row>
    <row r="3138" spans="29:32" x14ac:dyDescent="0.2">
      <c r="AC3138" s="33"/>
      <c r="AE3138" s="33"/>
      <c r="AF3138" s="33"/>
    </row>
    <row r="3139" spans="29:32" x14ac:dyDescent="0.2">
      <c r="AC3139" s="33"/>
      <c r="AE3139" s="33"/>
      <c r="AF3139" s="33"/>
    </row>
    <row r="3140" spans="29:32" x14ac:dyDescent="0.2">
      <c r="AC3140" s="33"/>
      <c r="AE3140" s="33"/>
      <c r="AF3140" s="33"/>
    </row>
    <row r="3141" spans="29:32" x14ac:dyDescent="0.2">
      <c r="AC3141" s="33"/>
      <c r="AE3141" s="33"/>
      <c r="AF3141" s="33"/>
    </row>
    <row r="3142" spans="29:32" x14ac:dyDescent="0.2">
      <c r="AC3142" s="33"/>
      <c r="AE3142" s="33"/>
      <c r="AF3142" s="33"/>
    </row>
    <row r="3143" spans="29:32" x14ac:dyDescent="0.2">
      <c r="AC3143" s="33"/>
      <c r="AE3143" s="33"/>
      <c r="AF3143" s="33"/>
    </row>
    <row r="3144" spans="29:32" x14ac:dyDescent="0.2">
      <c r="AC3144" s="33"/>
      <c r="AE3144" s="33"/>
      <c r="AF3144" s="33"/>
    </row>
    <row r="3145" spans="29:32" x14ac:dyDescent="0.2">
      <c r="AC3145" s="33"/>
      <c r="AE3145" s="33"/>
      <c r="AF3145" s="33"/>
    </row>
    <row r="3146" spans="29:32" x14ac:dyDescent="0.2">
      <c r="AC3146" s="33"/>
      <c r="AE3146" s="33"/>
      <c r="AF3146" s="33"/>
    </row>
    <row r="3147" spans="29:32" x14ac:dyDescent="0.2">
      <c r="AC3147" s="33"/>
      <c r="AE3147" s="33"/>
      <c r="AF3147" s="33"/>
    </row>
    <row r="3148" spans="29:32" x14ac:dyDescent="0.2">
      <c r="AC3148" s="33"/>
      <c r="AE3148" s="33"/>
      <c r="AF3148" s="33"/>
    </row>
    <row r="3149" spans="29:32" x14ac:dyDescent="0.2">
      <c r="AC3149" s="33"/>
      <c r="AE3149" s="33"/>
      <c r="AF3149" s="33"/>
    </row>
    <row r="3150" spans="29:32" x14ac:dyDescent="0.2">
      <c r="AC3150" s="33"/>
      <c r="AE3150" s="33"/>
      <c r="AF3150" s="33"/>
    </row>
    <row r="3151" spans="29:32" x14ac:dyDescent="0.2">
      <c r="AC3151" s="33"/>
      <c r="AE3151" s="33"/>
      <c r="AF3151" s="33"/>
    </row>
    <row r="3152" spans="29:32" x14ac:dyDescent="0.2">
      <c r="AC3152" s="33"/>
      <c r="AE3152" s="33"/>
      <c r="AF3152" s="33"/>
    </row>
    <row r="3153" spans="29:32" x14ac:dyDescent="0.2">
      <c r="AC3153" s="33"/>
      <c r="AE3153" s="33"/>
      <c r="AF3153" s="33"/>
    </row>
    <row r="3154" spans="29:32" x14ac:dyDescent="0.2">
      <c r="AC3154" s="33"/>
      <c r="AE3154" s="33"/>
      <c r="AF3154" s="33"/>
    </row>
    <row r="3155" spans="29:32" x14ac:dyDescent="0.2">
      <c r="AC3155" s="33"/>
      <c r="AE3155" s="33"/>
      <c r="AF3155" s="33"/>
    </row>
    <row r="3156" spans="29:32" x14ac:dyDescent="0.2">
      <c r="AC3156" s="33"/>
      <c r="AE3156" s="33"/>
      <c r="AF3156" s="33"/>
    </row>
    <row r="3157" spans="29:32" x14ac:dyDescent="0.2">
      <c r="AC3157" s="33"/>
      <c r="AE3157" s="33"/>
      <c r="AF3157" s="33"/>
    </row>
    <row r="3158" spans="29:32" x14ac:dyDescent="0.2">
      <c r="AC3158" s="33"/>
      <c r="AE3158" s="33"/>
      <c r="AF3158" s="33"/>
    </row>
    <row r="3159" spans="29:32" x14ac:dyDescent="0.2">
      <c r="AC3159" s="33"/>
      <c r="AE3159" s="33"/>
      <c r="AF3159" s="33"/>
    </row>
    <row r="3160" spans="29:32" x14ac:dyDescent="0.2">
      <c r="AC3160" s="33"/>
      <c r="AE3160" s="33"/>
      <c r="AF3160" s="33"/>
    </row>
    <row r="3161" spans="29:32" x14ac:dyDescent="0.2">
      <c r="AC3161" s="33"/>
      <c r="AE3161" s="33"/>
      <c r="AF3161" s="33"/>
    </row>
    <row r="3162" spans="29:32" x14ac:dyDescent="0.2">
      <c r="AC3162" s="33"/>
      <c r="AE3162" s="33"/>
      <c r="AF3162" s="33"/>
    </row>
    <row r="3163" spans="29:32" x14ac:dyDescent="0.2">
      <c r="AC3163" s="33"/>
      <c r="AE3163" s="33"/>
      <c r="AF3163" s="33"/>
    </row>
    <row r="3164" spans="29:32" x14ac:dyDescent="0.2">
      <c r="AC3164" s="33"/>
      <c r="AE3164" s="33"/>
      <c r="AF3164" s="33"/>
    </row>
    <row r="3165" spans="29:32" x14ac:dyDescent="0.2">
      <c r="AC3165" s="33"/>
      <c r="AE3165" s="33"/>
      <c r="AF3165" s="33"/>
    </row>
    <row r="3166" spans="29:32" x14ac:dyDescent="0.2">
      <c r="AC3166" s="33"/>
      <c r="AE3166" s="33"/>
      <c r="AF3166" s="33"/>
    </row>
    <row r="3167" spans="29:32" x14ac:dyDescent="0.2">
      <c r="AC3167" s="33"/>
      <c r="AE3167" s="33"/>
      <c r="AF3167" s="33"/>
    </row>
    <row r="3168" spans="29:32" x14ac:dyDescent="0.2">
      <c r="AC3168" s="33"/>
      <c r="AE3168" s="33"/>
      <c r="AF3168" s="33"/>
    </row>
    <row r="3169" spans="29:32" x14ac:dyDescent="0.2">
      <c r="AC3169" s="33"/>
      <c r="AE3169" s="33"/>
      <c r="AF3169" s="33"/>
    </row>
    <row r="3170" spans="29:32" x14ac:dyDescent="0.2">
      <c r="AC3170" s="33"/>
      <c r="AE3170" s="33"/>
      <c r="AF3170" s="33"/>
    </row>
    <row r="3171" spans="29:32" x14ac:dyDescent="0.2">
      <c r="AC3171" s="33"/>
      <c r="AE3171" s="33"/>
      <c r="AF3171" s="33"/>
    </row>
    <row r="3172" spans="29:32" x14ac:dyDescent="0.2">
      <c r="AC3172" s="33"/>
      <c r="AE3172" s="33"/>
      <c r="AF3172" s="33"/>
    </row>
    <row r="3173" spans="29:32" x14ac:dyDescent="0.2">
      <c r="AC3173" s="33"/>
      <c r="AE3173" s="33"/>
      <c r="AF3173" s="33"/>
    </row>
    <row r="3174" spans="29:32" x14ac:dyDescent="0.2">
      <c r="AC3174" s="33"/>
      <c r="AE3174" s="33"/>
      <c r="AF3174" s="33"/>
    </row>
    <row r="3175" spans="29:32" x14ac:dyDescent="0.2">
      <c r="AC3175" s="33"/>
      <c r="AE3175" s="33"/>
      <c r="AF3175" s="33"/>
    </row>
    <row r="3176" spans="29:32" x14ac:dyDescent="0.2">
      <c r="AC3176" s="33"/>
      <c r="AE3176" s="33"/>
      <c r="AF3176" s="33"/>
    </row>
    <row r="3177" spans="29:32" x14ac:dyDescent="0.2">
      <c r="AC3177" s="33"/>
      <c r="AE3177" s="33"/>
      <c r="AF3177" s="33"/>
    </row>
    <row r="3178" spans="29:32" x14ac:dyDescent="0.2">
      <c r="AC3178" s="33"/>
      <c r="AE3178" s="33"/>
      <c r="AF3178" s="33"/>
    </row>
    <row r="3179" spans="29:32" x14ac:dyDescent="0.2">
      <c r="AC3179" s="33"/>
      <c r="AE3179" s="33"/>
      <c r="AF3179" s="33"/>
    </row>
    <row r="3180" spans="29:32" x14ac:dyDescent="0.2">
      <c r="AC3180" s="33"/>
      <c r="AE3180" s="33"/>
      <c r="AF3180" s="33"/>
    </row>
    <row r="3181" spans="29:32" x14ac:dyDescent="0.2">
      <c r="AC3181" s="33"/>
      <c r="AE3181" s="33"/>
      <c r="AF3181" s="33"/>
    </row>
    <row r="3182" spans="29:32" x14ac:dyDescent="0.2">
      <c r="AC3182" s="33"/>
      <c r="AE3182" s="33"/>
      <c r="AF3182" s="33"/>
    </row>
    <row r="3183" spans="29:32" x14ac:dyDescent="0.2">
      <c r="AC3183" s="33"/>
      <c r="AE3183" s="33"/>
      <c r="AF3183" s="33"/>
    </row>
    <row r="3184" spans="29:32" x14ac:dyDescent="0.2">
      <c r="AC3184" s="33"/>
      <c r="AE3184" s="33"/>
      <c r="AF3184" s="33"/>
    </row>
    <row r="3185" spans="29:32" x14ac:dyDescent="0.2">
      <c r="AC3185" s="33"/>
      <c r="AE3185" s="33"/>
      <c r="AF3185" s="33"/>
    </row>
    <row r="3186" spans="29:32" x14ac:dyDescent="0.2">
      <c r="AC3186" s="33"/>
      <c r="AE3186" s="33"/>
      <c r="AF3186" s="33"/>
    </row>
    <row r="3187" spans="29:32" x14ac:dyDescent="0.2">
      <c r="AC3187" s="33"/>
      <c r="AE3187" s="33"/>
      <c r="AF3187" s="33"/>
    </row>
    <row r="3188" spans="29:32" x14ac:dyDescent="0.2">
      <c r="AC3188" s="33"/>
      <c r="AE3188" s="33"/>
      <c r="AF3188" s="33"/>
    </row>
    <row r="3189" spans="29:32" x14ac:dyDescent="0.2">
      <c r="AC3189" s="33"/>
      <c r="AE3189" s="33"/>
      <c r="AF3189" s="33"/>
    </row>
    <row r="3190" spans="29:32" x14ac:dyDescent="0.2">
      <c r="AC3190" s="33"/>
      <c r="AE3190" s="33"/>
      <c r="AF3190" s="33"/>
    </row>
    <row r="3191" spans="29:32" x14ac:dyDescent="0.2">
      <c r="AC3191" s="33"/>
      <c r="AE3191" s="33"/>
      <c r="AF3191" s="33"/>
    </row>
    <row r="3192" spans="29:32" x14ac:dyDescent="0.2">
      <c r="AC3192" s="33"/>
      <c r="AE3192" s="33"/>
      <c r="AF3192" s="33"/>
    </row>
    <row r="3193" spans="29:32" x14ac:dyDescent="0.2">
      <c r="AC3193" s="33"/>
      <c r="AE3193" s="33"/>
      <c r="AF3193" s="33"/>
    </row>
    <row r="3194" spans="29:32" x14ac:dyDescent="0.2">
      <c r="AC3194" s="33"/>
      <c r="AE3194" s="33"/>
      <c r="AF3194" s="33"/>
    </row>
    <row r="3195" spans="29:32" x14ac:dyDescent="0.2">
      <c r="AC3195" s="33"/>
      <c r="AE3195" s="33"/>
      <c r="AF3195" s="33"/>
    </row>
    <row r="3196" spans="29:32" x14ac:dyDescent="0.2">
      <c r="AC3196" s="33"/>
      <c r="AE3196" s="33"/>
      <c r="AF3196" s="33"/>
    </row>
    <row r="3197" spans="29:32" x14ac:dyDescent="0.2">
      <c r="AC3197" s="33"/>
      <c r="AE3197" s="33"/>
      <c r="AF3197" s="33"/>
    </row>
    <row r="3198" spans="29:32" x14ac:dyDescent="0.2">
      <c r="AC3198" s="33"/>
      <c r="AE3198" s="33"/>
      <c r="AF3198" s="33"/>
    </row>
    <row r="3199" spans="29:32" x14ac:dyDescent="0.2">
      <c r="AC3199" s="33"/>
      <c r="AE3199" s="33"/>
      <c r="AF3199" s="33"/>
    </row>
    <row r="3200" spans="29:32" x14ac:dyDescent="0.2">
      <c r="AC3200" s="33"/>
      <c r="AE3200" s="33"/>
      <c r="AF3200" s="33"/>
    </row>
    <row r="3201" spans="29:32" x14ac:dyDescent="0.2">
      <c r="AC3201" s="33"/>
      <c r="AE3201" s="33"/>
      <c r="AF3201" s="33"/>
    </row>
    <row r="3202" spans="29:32" x14ac:dyDescent="0.2">
      <c r="AC3202" s="33"/>
      <c r="AE3202" s="33"/>
      <c r="AF3202" s="33"/>
    </row>
    <row r="3203" spans="29:32" x14ac:dyDescent="0.2">
      <c r="AC3203" s="33"/>
      <c r="AE3203" s="33"/>
      <c r="AF3203" s="33"/>
    </row>
    <row r="3204" spans="29:32" x14ac:dyDescent="0.2">
      <c r="AC3204" s="33"/>
      <c r="AE3204" s="33"/>
      <c r="AF3204" s="33"/>
    </row>
    <row r="3205" spans="29:32" x14ac:dyDescent="0.2">
      <c r="AC3205" s="33"/>
      <c r="AE3205" s="33"/>
      <c r="AF3205" s="33"/>
    </row>
    <row r="3206" spans="29:32" x14ac:dyDescent="0.2">
      <c r="AC3206" s="33"/>
      <c r="AE3206" s="33"/>
      <c r="AF3206" s="33"/>
    </row>
    <row r="3207" spans="29:32" x14ac:dyDescent="0.2">
      <c r="AC3207" s="33"/>
      <c r="AE3207" s="33"/>
      <c r="AF3207" s="33"/>
    </row>
    <row r="3208" spans="29:32" x14ac:dyDescent="0.2">
      <c r="AC3208" s="33"/>
      <c r="AE3208" s="33"/>
      <c r="AF3208" s="33"/>
    </row>
    <row r="3209" spans="29:32" x14ac:dyDescent="0.2">
      <c r="AC3209" s="33"/>
      <c r="AE3209" s="33"/>
      <c r="AF3209" s="33"/>
    </row>
    <row r="3210" spans="29:32" x14ac:dyDescent="0.2">
      <c r="AC3210" s="33"/>
      <c r="AE3210" s="33"/>
      <c r="AF3210" s="33"/>
    </row>
    <row r="3211" spans="29:32" x14ac:dyDescent="0.2">
      <c r="AC3211" s="33"/>
      <c r="AE3211" s="33"/>
      <c r="AF3211" s="33"/>
    </row>
    <row r="3212" spans="29:32" x14ac:dyDescent="0.2">
      <c r="AC3212" s="33"/>
      <c r="AE3212" s="33"/>
      <c r="AF3212" s="33"/>
    </row>
    <row r="3213" spans="29:32" x14ac:dyDescent="0.2">
      <c r="AC3213" s="33"/>
      <c r="AE3213" s="33"/>
      <c r="AF3213" s="33"/>
    </row>
    <row r="3214" spans="29:32" x14ac:dyDescent="0.2">
      <c r="AC3214" s="33"/>
      <c r="AE3214" s="33"/>
      <c r="AF3214" s="33"/>
    </row>
    <row r="3215" spans="29:32" x14ac:dyDescent="0.2">
      <c r="AC3215" s="33"/>
      <c r="AE3215" s="33"/>
      <c r="AF3215" s="33"/>
    </row>
    <row r="3216" spans="29:32" x14ac:dyDescent="0.2">
      <c r="AC3216" s="33"/>
      <c r="AE3216" s="33"/>
      <c r="AF3216" s="33"/>
    </row>
    <row r="3217" spans="29:32" x14ac:dyDescent="0.2">
      <c r="AC3217" s="33"/>
      <c r="AE3217" s="33"/>
      <c r="AF3217" s="33"/>
    </row>
    <row r="3218" spans="29:32" x14ac:dyDescent="0.2">
      <c r="AC3218" s="33"/>
      <c r="AE3218" s="33"/>
      <c r="AF3218" s="33"/>
    </row>
    <row r="3219" spans="29:32" x14ac:dyDescent="0.2">
      <c r="AC3219" s="33"/>
      <c r="AE3219" s="33"/>
      <c r="AF3219" s="33"/>
    </row>
    <row r="3220" spans="29:32" x14ac:dyDescent="0.2">
      <c r="AC3220" s="33"/>
      <c r="AE3220" s="33"/>
      <c r="AF3220" s="33"/>
    </row>
    <row r="3221" spans="29:32" x14ac:dyDescent="0.2">
      <c r="AC3221" s="33"/>
      <c r="AE3221" s="33"/>
      <c r="AF3221" s="33"/>
    </row>
    <row r="3222" spans="29:32" x14ac:dyDescent="0.2">
      <c r="AC3222" s="33"/>
      <c r="AE3222" s="33"/>
      <c r="AF3222" s="33"/>
    </row>
    <row r="3223" spans="29:32" x14ac:dyDescent="0.2">
      <c r="AC3223" s="33"/>
      <c r="AE3223" s="33"/>
      <c r="AF3223" s="33"/>
    </row>
    <row r="3224" spans="29:32" x14ac:dyDescent="0.2">
      <c r="AC3224" s="33"/>
      <c r="AE3224" s="33"/>
      <c r="AF3224" s="33"/>
    </row>
    <row r="3225" spans="29:32" x14ac:dyDescent="0.2">
      <c r="AC3225" s="33"/>
      <c r="AE3225" s="33"/>
      <c r="AF3225" s="33"/>
    </row>
    <row r="3226" spans="29:32" x14ac:dyDescent="0.2">
      <c r="AC3226" s="33"/>
      <c r="AE3226" s="33"/>
      <c r="AF3226" s="33"/>
    </row>
    <row r="3227" spans="29:32" x14ac:dyDescent="0.2">
      <c r="AC3227" s="33"/>
      <c r="AE3227" s="33"/>
      <c r="AF3227" s="33"/>
    </row>
    <row r="3228" spans="29:32" x14ac:dyDescent="0.2">
      <c r="AC3228" s="33"/>
      <c r="AE3228" s="33"/>
      <c r="AF3228" s="33"/>
    </row>
    <row r="3229" spans="29:32" x14ac:dyDescent="0.2">
      <c r="AC3229" s="33"/>
      <c r="AE3229" s="33"/>
      <c r="AF3229" s="33"/>
    </row>
    <row r="3230" spans="29:32" x14ac:dyDescent="0.2">
      <c r="AC3230" s="33"/>
      <c r="AE3230" s="33"/>
      <c r="AF3230" s="33"/>
    </row>
    <row r="3231" spans="29:32" x14ac:dyDescent="0.2">
      <c r="AC3231" s="33"/>
      <c r="AE3231" s="33"/>
      <c r="AF3231" s="33"/>
    </row>
    <row r="3232" spans="29:32" x14ac:dyDescent="0.2">
      <c r="AC3232" s="33"/>
      <c r="AE3232" s="33"/>
      <c r="AF3232" s="33"/>
    </row>
    <row r="3233" spans="29:32" x14ac:dyDescent="0.2">
      <c r="AC3233" s="33"/>
      <c r="AE3233" s="33"/>
      <c r="AF3233" s="33"/>
    </row>
    <row r="3234" spans="29:32" x14ac:dyDescent="0.2">
      <c r="AC3234" s="33"/>
      <c r="AE3234" s="33"/>
      <c r="AF3234" s="33"/>
    </row>
    <row r="3235" spans="29:32" x14ac:dyDescent="0.2">
      <c r="AC3235" s="33"/>
      <c r="AE3235" s="33"/>
      <c r="AF3235" s="33"/>
    </row>
    <row r="3236" spans="29:32" x14ac:dyDescent="0.2">
      <c r="AC3236" s="33"/>
      <c r="AE3236" s="33"/>
      <c r="AF3236" s="33"/>
    </row>
    <row r="3237" spans="29:32" x14ac:dyDescent="0.2">
      <c r="AC3237" s="33"/>
      <c r="AE3237" s="33"/>
      <c r="AF3237" s="33"/>
    </row>
    <row r="3238" spans="29:32" x14ac:dyDescent="0.2">
      <c r="AC3238" s="33"/>
      <c r="AE3238" s="33"/>
      <c r="AF3238" s="33"/>
    </row>
    <row r="3239" spans="29:32" x14ac:dyDescent="0.2">
      <c r="AC3239" s="33"/>
      <c r="AE3239" s="33"/>
      <c r="AF3239" s="33"/>
    </row>
    <row r="3240" spans="29:32" x14ac:dyDescent="0.2">
      <c r="AC3240" s="33"/>
      <c r="AE3240" s="33"/>
      <c r="AF3240" s="33"/>
    </row>
    <row r="3241" spans="29:32" x14ac:dyDescent="0.2">
      <c r="AC3241" s="33"/>
      <c r="AE3241" s="33"/>
      <c r="AF3241" s="33"/>
    </row>
    <row r="3242" spans="29:32" x14ac:dyDescent="0.2">
      <c r="AC3242" s="33"/>
      <c r="AE3242" s="33"/>
      <c r="AF3242" s="33"/>
    </row>
    <row r="3243" spans="29:32" x14ac:dyDescent="0.2">
      <c r="AC3243" s="33"/>
      <c r="AE3243" s="33"/>
      <c r="AF3243" s="33"/>
    </row>
    <row r="3244" spans="29:32" x14ac:dyDescent="0.2">
      <c r="AC3244" s="33"/>
      <c r="AE3244" s="33"/>
      <c r="AF3244" s="33"/>
    </row>
    <row r="3245" spans="29:32" x14ac:dyDescent="0.2">
      <c r="AC3245" s="33"/>
      <c r="AE3245" s="33"/>
      <c r="AF3245" s="33"/>
    </row>
    <row r="3246" spans="29:32" x14ac:dyDescent="0.2">
      <c r="AC3246" s="33"/>
      <c r="AE3246" s="33"/>
      <c r="AF3246" s="33"/>
    </row>
    <row r="3247" spans="29:32" x14ac:dyDescent="0.2">
      <c r="AC3247" s="33"/>
      <c r="AE3247" s="33"/>
      <c r="AF3247" s="33"/>
    </row>
    <row r="3248" spans="29:32" x14ac:dyDescent="0.2">
      <c r="AC3248" s="33"/>
      <c r="AE3248" s="33"/>
      <c r="AF3248" s="33"/>
    </row>
    <row r="3249" spans="29:32" x14ac:dyDescent="0.2">
      <c r="AC3249" s="33"/>
      <c r="AE3249" s="33"/>
      <c r="AF3249" s="33"/>
    </row>
    <row r="3250" spans="29:32" x14ac:dyDescent="0.2">
      <c r="AC3250" s="33"/>
      <c r="AE3250" s="33"/>
      <c r="AF3250" s="33"/>
    </row>
    <row r="3251" spans="29:32" x14ac:dyDescent="0.2">
      <c r="AC3251" s="33"/>
      <c r="AE3251" s="33"/>
      <c r="AF3251" s="33"/>
    </row>
    <row r="3252" spans="29:32" x14ac:dyDescent="0.2">
      <c r="AC3252" s="33"/>
      <c r="AE3252" s="33"/>
      <c r="AF3252" s="33"/>
    </row>
    <row r="3253" spans="29:32" x14ac:dyDescent="0.2">
      <c r="AC3253" s="33"/>
      <c r="AE3253" s="33"/>
      <c r="AF3253" s="33"/>
    </row>
    <row r="3254" spans="29:32" x14ac:dyDescent="0.2">
      <c r="AC3254" s="33"/>
      <c r="AE3254" s="33"/>
      <c r="AF3254" s="33"/>
    </row>
    <row r="3255" spans="29:32" x14ac:dyDescent="0.2">
      <c r="AC3255" s="33"/>
      <c r="AE3255" s="33"/>
      <c r="AF3255" s="33"/>
    </row>
    <row r="3256" spans="29:32" x14ac:dyDescent="0.2">
      <c r="AC3256" s="33"/>
      <c r="AE3256" s="33"/>
      <c r="AF3256" s="33"/>
    </row>
    <row r="3257" spans="29:32" x14ac:dyDescent="0.2">
      <c r="AC3257" s="33"/>
      <c r="AE3257" s="33"/>
      <c r="AF3257" s="33"/>
    </row>
    <row r="3258" spans="29:32" x14ac:dyDescent="0.2">
      <c r="AC3258" s="33"/>
      <c r="AE3258" s="33"/>
      <c r="AF3258" s="33"/>
    </row>
    <row r="3259" spans="29:32" x14ac:dyDescent="0.2">
      <c r="AC3259" s="33"/>
      <c r="AE3259" s="33"/>
      <c r="AF3259" s="33"/>
    </row>
    <row r="3260" spans="29:32" x14ac:dyDescent="0.2">
      <c r="AC3260" s="33"/>
      <c r="AE3260" s="33"/>
      <c r="AF3260" s="33"/>
    </row>
    <row r="3261" spans="29:32" x14ac:dyDescent="0.2">
      <c r="AC3261" s="33"/>
      <c r="AE3261" s="33"/>
      <c r="AF3261" s="33"/>
    </row>
    <row r="3262" spans="29:32" x14ac:dyDescent="0.2">
      <c r="AC3262" s="33"/>
      <c r="AE3262" s="33"/>
      <c r="AF3262" s="33"/>
    </row>
    <row r="3263" spans="29:32" x14ac:dyDescent="0.2">
      <c r="AC3263" s="33"/>
      <c r="AE3263" s="33"/>
      <c r="AF3263" s="33"/>
    </row>
    <row r="3264" spans="29:32" x14ac:dyDescent="0.2">
      <c r="AC3264" s="33"/>
      <c r="AE3264" s="33"/>
      <c r="AF3264" s="33"/>
    </row>
    <row r="3265" spans="29:32" x14ac:dyDescent="0.2">
      <c r="AC3265" s="33"/>
      <c r="AE3265" s="33"/>
      <c r="AF3265" s="33"/>
    </row>
    <row r="3266" spans="29:32" x14ac:dyDescent="0.2">
      <c r="AC3266" s="33"/>
      <c r="AE3266" s="33"/>
      <c r="AF3266" s="33"/>
    </row>
    <row r="3267" spans="29:32" x14ac:dyDescent="0.2">
      <c r="AC3267" s="33"/>
      <c r="AE3267" s="33"/>
      <c r="AF3267" s="33"/>
    </row>
    <row r="3268" spans="29:32" x14ac:dyDescent="0.2">
      <c r="AC3268" s="33"/>
      <c r="AE3268" s="33"/>
      <c r="AF3268" s="33"/>
    </row>
    <row r="3269" spans="29:32" x14ac:dyDescent="0.2">
      <c r="AC3269" s="33"/>
      <c r="AE3269" s="33"/>
      <c r="AF3269" s="33"/>
    </row>
    <row r="3270" spans="29:32" x14ac:dyDescent="0.2">
      <c r="AC3270" s="33"/>
      <c r="AE3270" s="33"/>
      <c r="AF3270" s="33"/>
    </row>
    <row r="3271" spans="29:32" x14ac:dyDescent="0.2">
      <c r="AC3271" s="33"/>
      <c r="AE3271" s="33"/>
      <c r="AF3271" s="33"/>
    </row>
    <row r="3272" spans="29:32" x14ac:dyDescent="0.2">
      <c r="AC3272" s="33"/>
      <c r="AE3272" s="33"/>
      <c r="AF3272" s="33"/>
    </row>
    <row r="3273" spans="29:32" x14ac:dyDescent="0.2">
      <c r="AC3273" s="33"/>
      <c r="AE3273" s="33"/>
      <c r="AF3273" s="33"/>
    </row>
    <row r="3274" spans="29:32" x14ac:dyDescent="0.2">
      <c r="AC3274" s="33"/>
      <c r="AE3274" s="33"/>
      <c r="AF3274" s="33"/>
    </row>
    <row r="3275" spans="29:32" x14ac:dyDescent="0.2">
      <c r="AC3275" s="33"/>
      <c r="AE3275" s="33"/>
      <c r="AF3275" s="33"/>
    </row>
    <row r="3276" spans="29:32" x14ac:dyDescent="0.2">
      <c r="AC3276" s="33"/>
      <c r="AE3276" s="33"/>
      <c r="AF3276" s="33"/>
    </row>
    <row r="3277" spans="29:32" x14ac:dyDescent="0.2">
      <c r="AC3277" s="33"/>
      <c r="AE3277" s="33"/>
      <c r="AF3277" s="33"/>
    </row>
    <row r="3278" spans="29:32" x14ac:dyDescent="0.2">
      <c r="AC3278" s="33"/>
      <c r="AE3278" s="33"/>
      <c r="AF3278" s="33"/>
    </row>
    <row r="3279" spans="29:32" x14ac:dyDescent="0.2">
      <c r="AC3279" s="33"/>
      <c r="AE3279" s="33"/>
      <c r="AF3279" s="33"/>
    </row>
    <row r="3280" spans="29:32" x14ac:dyDescent="0.2">
      <c r="AC3280" s="33"/>
      <c r="AE3280" s="33"/>
      <c r="AF3280" s="33"/>
    </row>
    <row r="3281" spans="29:32" x14ac:dyDescent="0.2">
      <c r="AC3281" s="33"/>
      <c r="AE3281" s="33"/>
      <c r="AF3281" s="33"/>
    </row>
    <row r="3282" spans="29:32" x14ac:dyDescent="0.2">
      <c r="AC3282" s="33"/>
      <c r="AE3282" s="33"/>
      <c r="AF3282" s="33"/>
    </row>
    <row r="3283" spans="29:32" x14ac:dyDescent="0.2">
      <c r="AC3283" s="33"/>
      <c r="AE3283" s="33"/>
      <c r="AF3283" s="33"/>
    </row>
    <row r="3284" spans="29:32" x14ac:dyDescent="0.2">
      <c r="AC3284" s="33"/>
      <c r="AE3284" s="33"/>
      <c r="AF3284" s="33"/>
    </row>
    <row r="3285" spans="29:32" x14ac:dyDescent="0.2">
      <c r="AC3285" s="33"/>
      <c r="AE3285" s="33"/>
      <c r="AF3285" s="33"/>
    </row>
    <row r="3286" spans="29:32" x14ac:dyDescent="0.2">
      <c r="AC3286" s="33"/>
      <c r="AE3286" s="33"/>
      <c r="AF3286" s="33"/>
    </row>
    <row r="3287" spans="29:32" x14ac:dyDescent="0.2">
      <c r="AC3287" s="33"/>
      <c r="AE3287" s="33"/>
      <c r="AF3287" s="33"/>
    </row>
    <row r="3288" spans="29:32" x14ac:dyDescent="0.2">
      <c r="AC3288" s="33"/>
      <c r="AE3288" s="33"/>
      <c r="AF3288" s="33"/>
    </row>
    <row r="3289" spans="29:32" x14ac:dyDescent="0.2">
      <c r="AC3289" s="33"/>
      <c r="AE3289" s="33"/>
      <c r="AF3289" s="33"/>
    </row>
    <row r="3290" spans="29:32" x14ac:dyDescent="0.2">
      <c r="AC3290" s="33"/>
      <c r="AE3290" s="33"/>
      <c r="AF3290" s="33"/>
    </row>
    <row r="3291" spans="29:32" x14ac:dyDescent="0.2">
      <c r="AC3291" s="33"/>
      <c r="AE3291" s="33"/>
      <c r="AF3291" s="33"/>
    </row>
    <row r="3292" spans="29:32" x14ac:dyDescent="0.2">
      <c r="AC3292" s="33"/>
      <c r="AE3292" s="33"/>
      <c r="AF3292" s="33"/>
    </row>
    <row r="3293" spans="29:32" x14ac:dyDescent="0.2">
      <c r="AC3293" s="33"/>
      <c r="AE3293" s="33"/>
      <c r="AF3293" s="33"/>
    </row>
    <row r="3294" spans="29:32" x14ac:dyDescent="0.2">
      <c r="AC3294" s="33"/>
      <c r="AE3294" s="33"/>
      <c r="AF3294" s="33"/>
    </row>
    <row r="3295" spans="29:32" x14ac:dyDescent="0.2">
      <c r="AC3295" s="33"/>
      <c r="AE3295" s="33"/>
      <c r="AF3295" s="33"/>
    </row>
    <row r="3296" spans="29:32" x14ac:dyDescent="0.2">
      <c r="AC3296" s="33"/>
      <c r="AE3296" s="33"/>
      <c r="AF3296" s="33"/>
    </row>
    <row r="3297" spans="29:32" x14ac:dyDescent="0.2">
      <c r="AC3297" s="33"/>
      <c r="AE3297" s="33"/>
      <c r="AF3297" s="33"/>
    </row>
    <row r="3298" spans="29:32" x14ac:dyDescent="0.2">
      <c r="AC3298" s="33"/>
      <c r="AE3298" s="33"/>
      <c r="AF3298" s="33"/>
    </row>
    <row r="3299" spans="29:32" x14ac:dyDescent="0.2">
      <c r="AC3299" s="33"/>
      <c r="AE3299" s="33"/>
      <c r="AF3299" s="33"/>
    </row>
    <row r="3300" spans="29:32" x14ac:dyDescent="0.2">
      <c r="AC3300" s="33"/>
      <c r="AE3300" s="33"/>
      <c r="AF3300" s="33"/>
    </row>
    <row r="3301" spans="29:32" x14ac:dyDescent="0.2">
      <c r="AC3301" s="33"/>
      <c r="AE3301" s="33"/>
      <c r="AF3301" s="33"/>
    </row>
    <row r="3302" spans="29:32" x14ac:dyDescent="0.2">
      <c r="AC3302" s="33"/>
      <c r="AE3302" s="33"/>
      <c r="AF3302" s="33"/>
    </row>
    <row r="3303" spans="29:32" x14ac:dyDescent="0.2">
      <c r="AC3303" s="33"/>
      <c r="AE3303" s="33"/>
      <c r="AF3303" s="33"/>
    </row>
    <row r="3304" spans="29:32" x14ac:dyDescent="0.2">
      <c r="AC3304" s="33"/>
      <c r="AE3304" s="33"/>
      <c r="AF3304" s="33"/>
    </row>
    <row r="3305" spans="29:32" x14ac:dyDescent="0.2">
      <c r="AC3305" s="33"/>
      <c r="AE3305" s="33"/>
      <c r="AF3305" s="33"/>
    </row>
    <row r="3306" spans="29:32" x14ac:dyDescent="0.2">
      <c r="AC3306" s="33"/>
      <c r="AE3306" s="33"/>
      <c r="AF3306" s="33"/>
    </row>
    <row r="3307" spans="29:32" x14ac:dyDescent="0.2">
      <c r="AC3307" s="33"/>
      <c r="AE3307" s="33"/>
      <c r="AF3307" s="33"/>
    </row>
    <row r="3308" spans="29:32" x14ac:dyDescent="0.2">
      <c r="AC3308" s="33"/>
      <c r="AE3308" s="33"/>
      <c r="AF3308" s="33"/>
    </row>
    <row r="3309" spans="29:32" x14ac:dyDescent="0.2">
      <c r="AC3309" s="33"/>
      <c r="AE3309" s="33"/>
      <c r="AF3309" s="33"/>
    </row>
    <row r="3310" spans="29:32" x14ac:dyDescent="0.2">
      <c r="AC3310" s="33"/>
      <c r="AE3310" s="33"/>
      <c r="AF3310" s="33"/>
    </row>
    <row r="3311" spans="29:32" x14ac:dyDescent="0.2">
      <c r="AC3311" s="33"/>
      <c r="AE3311" s="33"/>
      <c r="AF3311" s="33"/>
    </row>
    <row r="3312" spans="29:32" x14ac:dyDescent="0.2">
      <c r="AC3312" s="33"/>
      <c r="AE3312" s="33"/>
      <c r="AF3312" s="33"/>
    </row>
    <row r="3313" spans="29:32" x14ac:dyDescent="0.2">
      <c r="AC3313" s="33"/>
      <c r="AE3313" s="33"/>
      <c r="AF3313" s="33"/>
    </row>
    <row r="3314" spans="29:32" x14ac:dyDescent="0.2">
      <c r="AC3314" s="33"/>
      <c r="AE3314" s="33"/>
      <c r="AF3314" s="33"/>
    </row>
    <row r="3315" spans="29:32" x14ac:dyDescent="0.2">
      <c r="AC3315" s="33"/>
      <c r="AE3315" s="33"/>
      <c r="AF3315" s="33"/>
    </row>
    <row r="3316" spans="29:32" x14ac:dyDescent="0.2">
      <c r="AC3316" s="33"/>
      <c r="AE3316" s="33"/>
      <c r="AF3316" s="33"/>
    </row>
    <row r="3317" spans="29:32" x14ac:dyDescent="0.2">
      <c r="AC3317" s="33"/>
      <c r="AE3317" s="33"/>
      <c r="AF3317" s="33"/>
    </row>
    <row r="3318" spans="29:32" x14ac:dyDescent="0.2">
      <c r="AC3318" s="33"/>
      <c r="AE3318" s="33"/>
      <c r="AF3318" s="33"/>
    </row>
    <row r="3319" spans="29:32" x14ac:dyDescent="0.2">
      <c r="AC3319" s="33"/>
      <c r="AE3319" s="33"/>
      <c r="AF3319" s="33"/>
    </row>
    <row r="3320" spans="29:32" x14ac:dyDescent="0.2">
      <c r="AC3320" s="33"/>
      <c r="AE3320" s="33"/>
      <c r="AF3320" s="33"/>
    </row>
    <row r="3321" spans="29:32" x14ac:dyDescent="0.2">
      <c r="AC3321" s="33"/>
      <c r="AE3321" s="33"/>
      <c r="AF3321" s="33"/>
    </row>
    <row r="3322" spans="29:32" x14ac:dyDescent="0.2">
      <c r="AC3322" s="33"/>
      <c r="AE3322" s="33"/>
      <c r="AF3322" s="33"/>
    </row>
    <row r="3323" spans="29:32" x14ac:dyDescent="0.2">
      <c r="AC3323" s="33"/>
      <c r="AE3323" s="33"/>
      <c r="AF3323" s="33"/>
    </row>
    <row r="3324" spans="29:32" x14ac:dyDescent="0.2">
      <c r="AC3324" s="33"/>
      <c r="AE3324" s="33"/>
      <c r="AF3324" s="33"/>
    </row>
    <row r="3325" spans="29:32" x14ac:dyDescent="0.2">
      <c r="AC3325" s="33"/>
      <c r="AE3325" s="33"/>
      <c r="AF3325" s="33"/>
    </row>
    <row r="3326" spans="29:32" x14ac:dyDescent="0.2">
      <c r="AC3326" s="33"/>
      <c r="AE3326" s="33"/>
      <c r="AF3326" s="33"/>
    </row>
    <row r="3327" spans="29:32" x14ac:dyDescent="0.2">
      <c r="AC3327" s="33"/>
      <c r="AE3327" s="33"/>
      <c r="AF3327" s="33"/>
    </row>
    <row r="3328" spans="29:32" x14ac:dyDescent="0.2">
      <c r="AC3328" s="33"/>
      <c r="AE3328" s="33"/>
      <c r="AF3328" s="33"/>
    </row>
    <row r="3329" spans="29:32" x14ac:dyDescent="0.2">
      <c r="AC3329" s="33"/>
      <c r="AE3329" s="33"/>
      <c r="AF3329" s="33"/>
    </row>
    <row r="3330" spans="29:32" x14ac:dyDescent="0.2">
      <c r="AC3330" s="33"/>
      <c r="AE3330" s="33"/>
      <c r="AF3330" s="33"/>
    </row>
    <row r="3331" spans="29:32" x14ac:dyDescent="0.2">
      <c r="AC3331" s="33"/>
      <c r="AE3331" s="33"/>
      <c r="AF3331" s="33"/>
    </row>
    <row r="3332" spans="29:32" x14ac:dyDescent="0.2">
      <c r="AC3332" s="33"/>
      <c r="AE3332" s="33"/>
      <c r="AF3332" s="33"/>
    </row>
    <row r="3333" spans="29:32" x14ac:dyDescent="0.2">
      <c r="AC3333" s="33"/>
      <c r="AE3333" s="33"/>
      <c r="AF3333" s="33"/>
    </row>
    <row r="3334" spans="29:32" x14ac:dyDescent="0.2">
      <c r="AC3334" s="33"/>
      <c r="AE3334" s="33"/>
      <c r="AF3334" s="33"/>
    </row>
    <row r="3335" spans="29:32" x14ac:dyDescent="0.2">
      <c r="AC3335" s="33"/>
      <c r="AE3335" s="33"/>
      <c r="AF3335" s="33"/>
    </row>
    <row r="3336" spans="29:32" x14ac:dyDescent="0.2">
      <c r="AC3336" s="33"/>
      <c r="AE3336" s="33"/>
      <c r="AF3336" s="33"/>
    </row>
    <row r="3337" spans="29:32" x14ac:dyDescent="0.2">
      <c r="AC3337" s="33"/>
      <c r="AE3337" s="33"/>
      <c r="AF3337" s="33"/>
    </row>
    <row r="3338" spans="29:32" x14ac:dyDescent="0.2">
      <c r="AC3338" s="33"/>
      <c r="AE3338" s="33"/>
      <c r="AF3338" s="33"/>
    </row>
    <row r="3339" spans="29:32" x14ac:dyDescent="0.2">
      <c r="AC3339" s="33"/>
      <c r="AE3339" s="33"/>
      <c r="AF3339" s="33"/>
    </row>
    <row r="3340" spans="29:32" x14ac:dyDescent="0.2">
      <c r="AC3340" s="33"/>
      <c r="AE3340" s="33"/>
      <c r="AF3340" s="33"/>
    </row>
    <row r="3341" spans="29:32" x14ac:dyDescent="0.2">
      <c r="AC3341" s="33"/>
      <c r="AE3341" s="33"/>
      <c r="AF3341" s="33"/>
    </row>
    <row r="3342" spans="29:32" x14ac:dyDescent="0.2">
      <c r="AC3342" s="33"/>
      <c r="AE3342" s="33"/>
      <c r="AF3342" s="33"/>
    </row>
    <row r="3343" spans="29:32" x14ac:dyDescent="0.2">
      <c r="AC3343" s="33"/>
      <c r="AE3343" s="33"/>
      <c r="AF3343" s="33"/>
    </row>
    <row r="3344" spans="29:32" x14ac:dyDescent="0.2">
      <c r="AC3344" s="33"/>
      <c r="AE3344" s="33"/>
      <c r="AF3344" s="33"/>
    </row>
    <row r="3345" spans="29:32" x14ac:dyDescent="0.2">
      <c r="AC3345" s="33"/>
      <c r="AE3345" s="33"/>
      <c r="AF3345" s="33"/>
    </row>
    <row r="3346" spans="29:32" x14ac:dyDescent="0.2">
      <c r="AC3346" s="33"/>
      <c r="AE3346" s="33"/>
      <c r="AF3346" s="33"/>
    </row>
    <row r="3347" spans="29:32" x14ac:dyDescent="0.2">
      <c r="AC3347" s="33"/>
      <c r="AE3347" s="33"/>
      <c r="AF3347" s="33"/>
    </row>
    <row r="3348" spans="29:32" x14ac:dyDescent="0.2">
      <c r="AC3348" s="33"/>
      <c r="AE3348" s="33"/>
      <c r="AF3348" s="33"/>
    </row>
    <row r="3349" spans="29:32" x14ac:dyDescent="0.2">
      <c r="AC3349" s="33"/>
      <c r="AE3349" s="33"/>
      <c r="AF3349" s="33"/>
    </row>
    <row r="3350" spans="29:32" x14ac:dyDescent="0.2">
      <c r="AC3350" s="33"/>
      <c r="AE3350" s="33"/>
      <c r="AF3350" s="33"/>
    </row>
    <row r="3351" spans="29:32" x14ac:dyDescent="0.2">
      <c r="AC3351" s="33"/>
      <c r="AE3351" s="33"/>
      <c r="AF3351" s="33"/>
    </row>
    <row r="3352" spans="29:32" x14ac:dyDescent="0.2">
      <c r="AC3352" s="33"/>
      <c r="AE3352" s="33"/>
      <c r="AF3352" s="33"/>
    </row>
    <row r="3353" spans="29:32" x14ac:dyDescent="0.2">
      <c r="AC3353" s="33"/>
      <c r="AE3353" s="33"/>
      <c r="AF3353" s="33"/>
    </row>
    <row r="3354" spans="29:32" x14ac:dyDescent="0.2">
      <c r="AC3354" s="33"/>
      <c r="AE3354" s="33"/>
      <c r="AF3354" s="33"/>
    </row>
    <row r="3355" spans="29:32" x14ac:dyDescent="0.2">
      <c r="AC3355" s="33"/>
      <c r="AE3355" s="33"/>
      <c r="AF3355" s="33"/>
    </row>
    <row r="3356" spans="29:32" x14ac:dyDescent="0.2">
      <c r="AC3356" s="33"/>
      <c r="AE3356" s="33"/>
      <c r="AF3356" s="33"/>
    </row>
    <row r="3357" spans="29:32" x14ac:dyDescent="0.2">
      <c r="AC3357" s="33"/>
      <c r="AE3357" s="33"/>
      <c r="AF3357" s="33"/>
    </row>
    <row r="3358" spans="29:32" x14ac:dyDescent="0.2">
      <c r="AC3358" s="33"/>
      <c r="AE3358" s="33"/>
      <c r="AF3358" s="33"/>
    </row>
    <row r="3359" spans="29:32" x14ac:dyDescent="0.2">
      <c r="AC3359" s="33"/>
      <c r="AE3359" s="33"/>
      <c r="AF3359" s="33"/>
    </row>
    <row r="3360" spans="29:32" x14ac:dyDescent="0.2">
      <c r="AC3360" s="33"/>
      <c r="AE3360" s="33"/>
      <c r="AF3360" s="33"/>
    </row>
    <row r="3361" spans="29:32" x14ac:dyDescent="0.2">
      <c r="AC3361" s="33"/>
      <c r="AE3361" s="33"/>
      <c r="AF3361" s="33"/>
    </row>
    <row r="3362" spans="29:32" x14ac:dyDescent="0.2">
      <c r="AC3362" s="33"/>
      <c r="AE3362" s="33"/>
      <c r="AF3362" s="33"/>
    </row>
    <row r="3363" spans="29:32" x14ac:dyDescent="0.2">
      <c r="AC3363" s="33"/>
      <c r="AE3363" s="33"/>
      <c r="AF3363" s="33"/>
    </row>
    <row r="3364" spans="29:32" x14ac:dyDescent="0.2">
      <c r="AC3364" s="33"/>
      <c r="AE3364" s="33"/>
      <c r="AF3364" s="33"/>
    </row>
    <row r="3365" spans="29:32" x14ac:dyDescent="0.2">
      <c r="AC3365" s="33"/>
      <c r="AE3365" s="33"/>
      <c r="AF3365" s="33"/>
    </row>
    <row r="3366" spans="29:32" x14ac:dyDescent="0.2">
      <c r="AC3366" s="33"/>
      <c r="AE3366" s="33"/>
      <c r="AF3366" s="33"/>
    </row>
    <row r="3367" spans="29:32" x14ac:dyDescent="0.2">
      <c r="AC3367" s="33"/>
      <c r="AE3367" s="33"/>
      <c r="AF3367" s="33"/>
    </row>
    <row r="3368" spans="29:32" x14ac:dyDescent="0.2">
      <c r="AC3368" s="33"/>
      <c r="AE3368" s="33"/>
      <c r="AF3368" s="33"/>
    </row>
    <row r="3369" spans="29:32" x14ac:dyDescent="0.2">
      <c r="AC3369" s="33"/>
      <c r="AE3369" s="33"/>
      <c r="AF3369" s="33"/>
    </row>
    <row r="3370" spans="29:32" x14ac:dyDescent="0.2">
      <c r="AC3370" s="33"/>
      <c r="AE3370" s="33"/>
      <c r="AF3370" s="33"/>
    </row>
    <row r="3371" spans="29:32" x14ac:dyDescent="0.2">
      <c r="AC3371" s="33"/>
      <c r="AE3371" s="33"/>
      <c r="AF3371" s="33"/>
    </row>
    <row r="3372" spans="29:32" x14ac:dyDescent="0.2">
      <c r="AC3372" s="33"/>
      <c r="AE3372" s="33"/>
      <c r="AF3372" s="33"/>
    </row>
    <row r="3373" spans="29:32" x14ac:dyDescent="0.2">
      <c r="AC3373" s="33"/>
      <c r="AE3373" s="33"/>
      <c r="AF3373" s="33"/>
    </row>
    <row r="3374" spans="29:32" x14ac:dyDescent="0.2">
      <c r="AC3374" s="33"/>
      <c r="AE3374" s="33"/>
      <c r="AF3374" s="33"/>
    </row>
    <row r="3375" spans="29:32" x14ac:dyDescent="0.2">
      <c r="AC3375" s="33"/>
      <c r="AE3375" s="33"/>
      <c r="AF3375" s="33"/>
    </row>
    <row r="3376" spans="29:32" x14ac:dyDescent="0.2">
      <c r="AC3376" s="33"/>
      <c r="AE3376" s="33"/>
      <c r="AF3376" s="33"/>
    </row>
    <row r="3377" spans="29:32" x14ac:dyDescent="0.2">
      <c r="AC3377" s="33"/>
      <c r="AE3377" s="33"/>
      <c r="AF3377" s="33"/>
    </row>
    <row r="3378" spans="29:32" x14ac:dyDescent="0.2">
      <c r="AC3378" s="33"/>
      <c r="AE3378" s="33"/>
      <c r="AF3378" s="33"/>
    </row>
    <row r="3379" spans="29:32" x14ac:dyDescent="0.2">
      <c r="AC3379" s="33"/>
      <c r="AE3379" s="33"/>
      <c r="AF3379" s="33"/>
    </row>
    <row r="3380" spans="29:32" x14ac:dyDescent="0.2">
      <c r="AC3380" s="33"/>
      <c r="AE3380" s="33"/>
      <c r="AF3380" s="33"/>
    </row>
    <row r="3381" spans="29:32" x14ac:dyDescent="0.2">
      <c r="AC3381" s="33"/>
      <c r="AE3381" s="33"/>
      <c r="AF3381" s="33"/>
    </row>
    <row r="3382" spans="29:32" x14ac:dyDescent="0.2">
      <c r="AC3382" s="33"/>
      <c r="AE3382" s="33"/>
      <c r="AF3382" s="33"/>
    </row>
    <row r="3383" spans="29:32" x14ac:dyDescent="0.2">
      <c r="AC3383" s="33"/>
      <c r="AE3383" s="33"/>
      <c r="AF3383" s="33"/>
    </row>
    <row r="3384" spans="29:32" x14ac:dyDescent="0.2">
      <c r="AC3384" s="33"/>
      <c r="AE3384" s="33"/>
      <c r="AF3384" s="33"/>
    </row>
    <row r="3385" spans="29:32" x14ac:dyDescent="0.2">
      <c r="AC3385" s="33"/>
      <c r="AE3385" s="33"/>
      <c r="AF3385" s="33"/>
    </row>
    <row r="3386" spans="29:32" x14ac:dyDescent="0.2">
      <c r="AC3386" s="33"/>
      <c r="AE3386" s="33"/>
      <c r="AF3386" s="33"/>
    </row>
    <row r="3387" spans="29:32" x14ac:dyDescent="0.2">
      <c r="AC3387" s="33"/>
      <c r="AE3387" s="33"/>
      <c r="AF3387" s="33"/>
    </row>
    <row r="3388" spans="29:32" x14ac:dyDescent="0.2">
      <c r="AC3388" s="33"/>
      <c r="AE3388" s="33"/>
      <c r="AF3388" s="33"/>
    </row>
    <row r="3389" spans="29:32" x14ac:dyDescent="0.2">
      <c r="AC3389" s="33"/>
      <c r="AE3389" s="33"/>
      <c r="AF3389" s="33"/>
    </row>
    <row r="3390" spans="29:32" x14ac:dyDescent="0.2">
      <c r="AC3390" s="33"/>
      <c r="AE3390" s="33"/>
      <c r="AF3390" s="33"/>
    </row>
    <row r="3391" spans="29:32" x14ac:dyDescent="0.2">
      <c r="AC3391" s="33"/>
      <c r="AE3391" s="33"/>
      <c r="AF3391" s="33"/>
    </row>
    <row r="3392" spans="29:32" x14ac:dyDescent="0.2">
      <c r="AC3392" s="33"/>
      <c r="AE3392" s="33"/>
      <c r="AF3392" s="33"/>
    </row>
    <row r="3393" spans="29:32" x14ac:dyDescent="0.2">
      <c r="AC3393" s="33"/>
      <c r="AE3393" s="33"/>
      <c r="AF3393" s="33"/>
    </row>
    <row r="3394" spans="29:32" x14ac:dyDescent="0.2">
      <c r="AC3394" s="33"/>
      <c r="AE3394" s="33"/>
      <c r="AF3394" s="33"/>
    </row>
    <row r="3395" spans="29:32" x14ac:dyDescent="0.2">
      <c r="AC3395" s="33"/>
      <c r="AE3395" s="33"/>
      <c r="AF3395" s="33"/>
    </row>
    <row r="3396" spans="29:32" x14ac:dyDescent="0.2">
      <c r="AC3396" s="33"/>
      <c r="AE3396" s="33"/>
      <c r="AF3396" s="33"/>
    </row>
    <row r="3397" spans="29:32" x14ac:dyDescent="0.2">
      <c r="AC3397" s="33"/>
      <c r="AE3397" s="33"/>
      <c r="AF3397" s="33"/>
    </row>
    <row r="3398" spans="29:32" x14ac:dyDescent="0.2">
      <c r="AC3398" s="33"/>
      <c r="AE3398" s="33"/>
      <c r="AF3398" s="33"/>
    </row>
    <row r="3399" spans="29:32" x14ac:dyDescent="0.2">
      <c r="AC3399" s="33"/>
      <c r="AE3399" s="33"/>
      <c r="AF3399" s="33"/>
    </row>
    <row r="3400" spans="29:32" x14ac:dyDescent="0.2">
      <c r="AC3400" s="33"/>
      <c r="AE3400" s="33"/>
      <c r="AF3400" s="33"/>
    </row>
    <row r="3401" spans="29:32" x14ac:dyDescent="0.2">
      <c r="AC3401" s="33"/>
      <c r="AE3401" s="33"/>
      <c r="AF3401" s="33"/>
    </row>
    <row r="3402" spans="29:32" x14ac:dyDescent="0.2">
      <c r="AC3402" s="33"/>
      <c r="AE3402" s="33"/>
      <c r="AF3402" s="33"/>
    </row>
    <row r="3403" spans="29:32" x14ac:dyDescent="0.2">
      <c r="AC3403" s="33"/>
      <c r="AE3403" s="33"/>
      <c r="AF3403" s="33"/>
    </row>
    <row r="3404" spans="29:32" x14ac:dyDescent="0.2">
      <c r="AC3404" s="33"/>
      <c r="AE3404" s="33"/>
      <c r="AF3404" s="33"/>
    </row>
    <row r="3405" spans="29:32" x14ac:dyDescent="0.2">
      <c r="AC3405" s="33"/>
      <c r="AE3405" s="33"/>
      <c r="AF3405" s="33"/>
    </row>
    <row r="3406" spans="29:32" x14ac:dyDescent="0.2">
      <c r="AC3406" s="33"/>
      <c r="AE3406" s="33"/>
      <c r="AF3406" s="33"/>
    </row>
    <row r="3407" spans="29:32" x14ac:dyDescent="0.2">
      <c r="AC3407" s="33"/>
      <c r="AE3407" s="33"/>
      <c r="AF3407" s="33"/>
    </row>
    <row r="3408" spans="29:32" x14ac:dyDescent="0.2">
      <c r="AC3408" s="33"/>
      <c r="AE3408" s="33"/>
      <c r="AF3408" s="33"/>
    </row>
    <row r="3409" spans="29:32" x14ac:dyDescent="0.2">
      <c r="AC3409" s="33"/>
      <c r="AE3409" s="33"/>
      <c r="AF3409" s="33"/>
    </row>
    <row r="3410" spans="29:32" x14ac:dyDescent="0.2">
      <c r="AC3410" s="33"/>
      <c r="AE3410" s="33"/>
      <c r="AF3410" s="33"/>
    </row>
    <row r="3411" spans="29:32" x14ac:dyDescent="0.2">
      <c r="AC3411" s="33"/>
      <c r="AE3411" s="33"/>
      <c r="AF3411" s="33"/>
    </row>
    <row r="3412" spans="29:32" x14ac:dyDescent="0.2">
      <c r="AC3412" s="33"/>
      <c r="AE3412" s="33"/>
      <c r="AF3412" s="33"/>
    </row>
    <row r="3413" spans="29:32" x14ac:dyDescent="0.2">
      <c r="AC3413" s="33"/>
      <c r="AE3413" s="33"/>
      <c r="AF3413" s="33"/>
    </row>
    <row r="3414" spans="29:32" x14ac:dyDescent="0.2">
      <c r="AC3414" s="33"/>
      <c r="AE3414" s="33"/>
      <c r="AF3414" s="33"/>
    </row>
    <row r="3415" spans="29:32" x14ac:dyDescent="0.2">
      <c r="AC3415" s="33"/>
      <c r="AE3415" s="33"/>
      <c r="AF3415" s="33"/>
    </row>
    <row r="3416" spans="29:32" x14ac:dyDescent="0.2">
      <c r="AC3416" s="33"/>
      <c r="AE3416" s="33"/>
      <c r="AF3416" s="33"/>
    </row>
    <row r="3417" spans="29:32" x14ac:dyDescent="0.2">
      <c r="AC3417" s="33"/>
      <c r="AE3417" s="33"/>
      <c r="AF3417" s="33"/>
    </row>
    <row r="3418" spans="29:32" x14ac:dyDescent="0.2">
      <c r="AC3418" s="33"/>
      <c r="AE3418" s="33"/>
      <c r="AF3418" s="33"/>
    </row>
    <row r="3419" spans="29:32" x14ac:dyDescent="0.2">
      <c r="AC3419" s="33"/>
      <c r="AE3419" s="33"/>
      <c r="AF3419" s="33"/>
    </row>
    <row r="3420" spans="29:32" x14ac:dyDescent="0.2">
      <c r="AC3420" s="33"/>
      <c r="AE3420" s="33"/>
      <c r="AF3420" s="33"/>
    </row>
    <row r="3421" spans="29:32" x14ac:dyDescent="0.2">
      <c r="AC3421" s="33"/>
      <c r="AE3421" s="33"/>
      <c r="AF3421" s="33"/>
    </row>
    <row r="3422" spans="29:32" x14ac:dyDescent="0.2">
      <c r="AC3422" s="33"/>
      <c r="AE3422" s="33"/>
      <c r="AF3422" s="33"/>
    </row>
    <row r="3423" spans="29:32" x14ac:dyDescent="0.2">
      <c r="AC3423" s="33"/>
      <c r="AE3423" s="33"/>
      <c r="AF3423" s="33"/>
    </row>
    <row r="3424" spans="29:32" x14ac:dyDescent="0.2">
      <c r="AC3424" s="33"/>
      <c r="AE3424" s="33"/>
      <c r="AF3424" s="33"/>
    </row>
    <row r="3425" spans="29:32" x14ac:dyDescent="0.2">
      <c r="AC3425" s="33"/>
      <c r="AE3425" s="33"/>
      <c r="AF3425" s="33"/>
    </row>
    <row r="3426" spans="29:32" x14ac:dyDescent="0.2">
      <c r="AC3426" s="33"/>
      <c r="AE3426" s="33"/>
      <c r="AF3426" s="33"/>
    </row>
    <row r="3427" spans="29:32" x14ac:dyDescent="0.2">
      <c r="AC3427" s="33"/>
      <c r="AE3427" s="33"/>
      <c r="AF3427" s="33"/>
    </row>
    <row r="3428" spans="29:32" x14ac:dyDescent="0.2">
      <c r="AC3428" s="33"/>
      <c r="AE3428" s="33"/>
      <c r="AF3428" s="33"/>
    </row>
    <row r="3429" spans="29:32" x14ac:dyDescent="0.2">
      <c r="AC3429" s="33"/>
      <c r="AE3429" s="33"/>
      <c r="AF3429" s="33"/>
    </row>
    <row r="3430" spans="29:32" x14ac:dyDescent="0.2">
      <c r="AC3430" s="33"/>
      <c r="AE3430" s="33"/>
      <c r="AF3430" s="33"/>
    </row>
    <row r="3431" spans="29:32" x14ac:dyDescent="0.2">
      <c r="AC3431" s="33"/>
      <c r="AE3431" s="33"/>
      <c r="AF3431" s="33"/>
    </row>
    <row r="3432" spans="29:32" x14ac:dyDescent="0.2">
      <c r="AC3432" s="33"/>
      <c r="AE3432" s="33"/>
      <c r="AF3432" s="33"/>
    </row>
    <row r="3433" spans="29:32" x14ac:dyDescent="0.2">
      <c r="AC3433" s="33"/>
      <c r="AE3433" s="33"/>
      <c r="AF3433" s="33"/>
    </row>
    <row r="3434" spans="29:32" x14ac:dyDescent="0.2">
      <c r="AC3434" s="33"/>
      <c r="AE3434" s="33"/>
      <c r="AF3434" s="33"/>
    </row>
    <row r="3435" spans="29:32" x14ac:dyDescent="0.2">
      <c r="AC3435" s="33"/>
      <c r="AE3435" s="33"/>
      <c r="AF3435" s="33"/>
    </row>
    <row r="3436" spans="29:32" x14ac:dyDescent="0.2">
      <c r="AC3436" s="33"/>
      <c r="AE3436" s="33"/>
      <c r="AF3436" s="33"/>
    </row>
    <row r="3437" spans="29:32" x14ac:dyDescent="0.2">
      <c r="AC3437" s="33"/>
      <c r="AE3437" s="33"/>
      <c r="AF3437" s="33"/>
    </row>
    <row r="3438" spans="29:32" x14ac:dyDescent="0.2">
      <c r="AC3438" s="33"/>
      <c r="AE3438" s="33"/>
      <c r="AF3438" s="33"/>
    </row>
    <row r="3439" spans="29:32" x14ac:dyDescent="0.2">
      <c r="AC3439" s="33"/>
      <c r="AE3439" s="33"/>
      <c r="AF3439" s="33"/>
    </row>
    <row r="3440" spans="29:32" x14ac:dyDescent="0.2">
      <c r="AC3440" s="33"/>
      <c r="AE3440" s="33"/>
      <c r="AF3440" s="33"/>
    </row>
    <row r="3441" spans="29:32" x14ac:dyDescent="0.2">
      <c r="AC3441" s="33"/>
      <c r="AE3441" s="33"/>
      <c r="AF3441" s="33"/>
    </row>
    <row r="3442" spans="29:32" x14ac:dyDescent="0.2">
      <c r="AC3442" s="33"/>
      <c r="AE3442" s="33"/>
      <c r="AF3442" s="33"/>
    </row>
    <row r="3443" spans="29:32" x14ac:dyDescent="0.2">
      <c r="AC3443" s="33"/>
      <c r="AE3443" s="33"/>
      <c r="AF3443" s="33"/>
    </row>
    <row r="3444" spans="29:32" x14ac:dyDescent="0.2">
      <c r="AC3444" s="33"/>
      <c r="AE3444" s="33"/>
      <c r="AF3444" s="33"/>
    </row>
    <row r="3445" spans="29:32" x14ac:dyDescent="0.2">
      <c r="AC3445" s="33"/>
      <c r="AE3445" s="33"/>
      <c r="AF3445" s="33"/>
    </row>
    <row r="3446" spans="29:32" x14ac:dyDescent="0.2">
      <c r="AC3446" s="33"/>
      <c r="AE3446" s="33"/>
      <c r="AF3446" s="33"/>
    </row>
    <row r="3447" spans="29:32" x14ac:dyDescent="0.2">
      <c r="AC3447" s="33"/>
      <c r="AE3447" s="33"/>
      <c r="AF3447" s="33"/>
    </row>
    <row r="3448" spans="29:32" x14ac:dyDescent="0.2">
      <c r="AC3448" s="33"/>
      <c r="AE3448" s="33"/>
      <c r="AF3448" s="33"/>
    </row>
    <row r="3449" spans="29:32" x14ac:dyDescent="0.2">
      <c r="AC3449" s="33"/>
      <c r="AE3449" s="33"/>
      <c r="AF3449" s="33"/>
    </row>
    <row r="3450" spans="29:32" x14ac:dyDescent="0.2">
      <c r="AC3450" s="33"/>
      <c r="AE3450" s="33"/>
      <c r="AF3450" s="33"/>
    </row>
    <row r="3451" spans="29:32" x14ac:dyDescent="0.2">
      <c r="AC3451" s="33"/>
      <c r="AE3451" s="33"/>
      <c r="AF3451" s="33"/>
    </row>
    <row r="3452" spans="29:32" x14ac:dyDescent="0.2">
      <c r="AC3452" s="33"/>
      <c r="AE3452" s="33"/>
      <c r="AF3452" s="33"/>
    </row>
    <row r="3453" spans="29:32" x14ac:dyDescent="0.2">
      <c r="AC3453" s="33"/>
      <c r="AE3453" s="33"/>
      <c r="AF3453" s="33"/>
    </row>
    <row r="3454" spans="29:32" x14ac:dyDescent="0.2">
      <c r="AC3454" s="33"/>
      <c r="AE3454" s="33"/>
      <c r="AF3454" s="33"/>
    </row>
    <row r="3455" spans="29:32" x14ac:dyDescent="0.2">
      <c r="AC3455" s="33"/>
      <c r="AE3455" s="33"/>
      <c r="AF3455" s="33"/>
    </row>
    <row r="3456" spans="29:32" x14ac:dyDescent="0.2">
      <c r="AC3456" s="33"/>
      <c r="AE3456" s="33"/>
      <c r="AF3456" s="33"/>
    </row>
    <row r="3457" spans="29:32" x14ac:dyDescent="0.2">
      <c r="AC3457" s="33"/>
      <c r="AE3457" s="33"/>
      <c r="AF3457" s="33"/>
    </row>
    <row r="3458" spans="29:32" x14ac:dyDescent="0.2">
      <c r="AC3458" s="33"/>
      <c r="AE3458" s="33"/>
      <c r="AF3458" s="33"/>
    </row>
    <row r="3459" spans="29:32" x14ac:dyDescent="0.2">
      <c r="AC3459" s="33"/>
      <c r="AE3459" s="33"/>
      <c r="AF3459" s="33"/>
    </row>
    <row r="3460" spans="29:32" x14ac:dyDescent="0.2">
      <c r="AC3460" s="33"/>
      <c r="AE3460" s="33"/>
      <c r="AF3460" s="33"/>
    </row>
    <row r="3461" spans="29:32" x14ac:dyDescent="0.2">
      <c r="AC3461" s="33"/>
      <c r="AE3461" s="33"/>
      <c r="AF3461" s="33"/>
    </row>
    <row r="3462" spans="29:32" x14ac:dyDescent="0.2">
      <c r="AC3462" s="33"/>
      <c r="AE3462" s="33"/>
      <c r="AF3462" s="33"/>
    </row>
    <row r="3463" spans="29:32" x14ac:dyDescent="0.2">
      <c r="AC3463" s="33"/>
      <c r="AE3463" s="33"/>
      <c r="AF3463" s="33"/>
    </row>
    <row r="3464" spans="29:32" x14ac:dyDescent="0.2">
      <c r="AC3464" s="33"/>
      <c r="AE3464" s="33"/>
      <c r="AF3464" s="33"/>
    </row>
    <row r="3465" spans="29:32" x14ac:dyDescent="0.2">
      <c r="AC3465" s="33"/>
      <c r="AE3465" s="33"/>
      <c r="AF3465" s="33"/>
    </row>
    <row r="3466" spans="29:32" x14ac:dyDescent="0.2">
      <c r="AC3466" s="33"/>
      <c r="AE3466" s="33"/>
      <c r="AF3466" s="33"/>
    </row>
    <row r="3467" spans="29:32" x14ac:dyDescent="0.2">
      <c r="AC3467" s="33"/>
      <c r="AE3467" s="33"/>
      <c r="AF3467" s="33"/>
    </row>
    <row r="3468" spans="29:32" x14ac:dyDescent="0.2">
      <c r="AC3468" s="33"/>
      <c r="AE3468" s="33"/>
      <c r="AF3468" s="33"/>
    </row>
    <row r="3469" spans="29:32" x14ac:dyDescent="0.2">
      <c r="AC3469" s="33"/>
      <c r="AE3469" s="33"/>
      <c r="AF3469" s="33"/>
    </row>
    <row r="3470" spans="29:32" x14ac:dyDescent="0.2">
      <c r="AC3470" s="33"/>
      <c r="AE3470" s="33"/>
      <c r="AF3470" s="33"/>
    </row>
    <row r="3471" spans="29:32" x14ac:dyDescent="0.2">
      <c r="AC3471" s="33"/>
      <c r="AE3471" s="33"/>
      <c r="AF3471" s="33"/>
    </row>
    <row r="3472" spans="29:32" x14ac:dyDescent="0.2">
      <c r="AC3472" s="33"/>
      <c r="AE3472" s="33"/>
      <c r="AF3472" s="33"/>
    </row>
    <row r="3473" spans="29:32" x14ac:dyDescent="0.2">
      <c r="AC3473" s="33"/>
      <c r="AE3473" s="33"/>
      <c r="AF3473" s="33"/>
    </row>
    <row r="3474" spans="29:32" x14ac:dyDescent="0.2">
      <c r="AC3474" s="33"/>
      <c r="AE3474" s="33"/>
      <c r="AF3474" s="33"/>
    </row>
    <row r="3475" spans="29:32" x14ac:dyDescent="0.2">
      <c r="AC3475" s="33"/>
      <c r="AE3475" s="33"/>
      <c r="AF3475" s="33"/>
    </row>
    <row r="3476" spans="29:32" x14ac:dyDescent="0.2">
      <c r="AC3476" s="33"/>
      <c r="AE3476" s="33"/>
      <c r="AF3476" s="33"/>
    </row>
    <row r="3477" spans="29:32" x14ac:dyDescent="0.2">
      <c r="AC3477" s="33"/>
      <c r="AE3477" s="33"/>
      <c r="AF3477" s="33"/>
    </row>
    <row r="3478" spans="29:32" x14ac:dyDescent="0.2">
      <c r="AC3478" s="33"/>
      <c r="AE3478" s="33"/>
      <c r="AF3478" s="33"/>
    </row>
    <row r="3479" spans="29:32" x14ac:dyDescent="0.2">
      <c r="AC3479" s="33"/>
      <c r="AE3479" s="33"/>
      <c r="AF3479" s="33"/>
    </row>
    <row r="3480" spans="29:32" x14ac:dyDescent="0.2">
      <c r="AC3480" s="33"/>
      <c r="AE3480" s="33"/>
      <c r="AF3480" s="33"/>
    </row>
    <row r="3481" spans="29:32" x14ac:dyDescent="0.2">
      <c r="AC3481" s="33"/>
      <c r="AE3481" s="33"/>
      <c r="AF3481" s="33"/>
    </row>
    <row r="3482" spans="29:32" x14ac:dyDescent="0.2">
      <c r="AC3482" s="33"/>
      <c r="AE3482" s="33"/>
      <c r="AF3482" s="33"/>
    </row>
    <row r="3483" spans="29:32" x14ac:dyDescent="0.2">
      <c r="AC3483" s="33"/>
      <c r="AE3483" s="33"/>
      <c r="AF3483" s="33"/>
    </row>
    <row r="3484" spans="29:32" x14ac:dyDescent="0.2">
      <c r="AC3484" s="33"/>
      <c r="AE3484" s="33"/>
      <c r="AF3484" s="33"/>
    </row>
    <row r="3485" spans="29:32" x14ac:dyDescent="0.2">
      <c r="AC3485" s="33"/>
      <c r="AE3485" s="33"/>
      <c r="AF3485" s="33"/>
    </row>
    <row r="3486" spans="29:32" x14ac:dyDescent="0.2">
      <c r="AC3486" s="33"/>
      <c r="AE3486" s="33"/>
      <c r="AF3486" s="33"/>
    </row>
    <row r="3487" spans="29:32" x14ac:dyDescent="0.2">
      <c r="AC3487" s="33"/>
      <c r="AE3487" s="33"/>
      <c r="AF3487" s="33"/>
    </row>
    <row r="3488" spans="29:32" x14ac:dyDescent="0.2">
      <c r="AC3488" s="33"/>
      <c r="AE3488" s="33"/>
      <c r="AF3488" s="33"/>
    </row>
    <row r="3489" spans="29:32" x14ac:dyDescent="0.2">
      <c r="AC3489" s="33"/>
      <c r="AE3489" s="33"/>
      <c r="AF3489" s="33"/>
    </row>
    <row r="3490" spans="29:32" x14ac:dyDescent="0.2">
      <c r="AC3490" s="33"/>
      <c r="AE3490" s="33"/>
      <c r="AF3490" s="33"/>
    </row>
    <row r="3491" spans="29:32" x14ac:dyDescent="0.2">
      <c r="AC3491" s="33"/>
      <c r="AE3491" s="33"/>
      <c r="AF3491" s="33"/>
    </row>
    <row r="3492" spans="29:32" x14ac:dyDescent="0.2">
      <c r="AC3492" s="33"/>
      <c r="AE3492" s="33"/>
      <c r="AF3492" s="33"/>
    </row>
    <row r="3493" spans="29:32" x14ac:dyDescent="0.2">
      <c r="AC3493" s="33"/>
      <c r="AE3493" s="33"/>
      <c r="AF3493" s="33"/>
    </row>
    <row r="3494" spans="29:32" x14ac:dyDescent="0.2">
      <c r="AC3494" s="33"/>
      <c r="AE3494" s="33"/>
      <c r="AF3494" s="33"/>
    </row>
    <row r="3495" spans="29:32" x14ac:dyDescent="0.2">
      <c r="AC3495" s="33"/>
      <c r="AE3495" s="33"/>
      <c r="AF3495" s="33"/>
    </row>
    <row r="3496" spans="29:32" x14ac:dyDescent="0.2">
      <c r="AC3496" s="33"/>
      <c r="AE3496" s="33"/>
      <c r="AF3496" s="33"/>
    </row>
    <row r="3497" spans="29:32" x14ac:dyDescent="0.2">
      <c r="AC3497" s="33"/>
      <c r="AE3497" s="33"/>
      <c r="AF3497" s="33"/>
    </row>
    <row r="3498" spans="29:32" x14ac:dyDescent="0.2">
      <c r="AC3498" s="33"/>
      <c r="AE3498" s="33"/>
      <c r="AF3498" s="33"/>
    </row>
    <row r="3499" spans="29:32" x14ac:dyDescent="0.2">
      <c r="AC3499" s="33"/>
      <c r="AE3499" s="33"/>
      <c r="AF3499" s="33"/>
    </row>
    <row r="3500" spans="29:32" x14ac:dyDescent="0.2">
      <c r="AC3500" s="33"/>
      <c r="AE3500" s="33"/>
      <c r="AF3500" s="33"/>
    </row>
    <row r="3501" spans="29:32" x14ac:dyDescent="0.2">
      <c r="AC3501" s="33"/>
      <c r="AE3501" s="33"/>
      <c r="AF3501" s="33"/>
    </row>
    <row r="3502" spans="29:32" x14ac:dyDescent="0.2">
      <c r="AC3502" s="33"/>
      <c r="AE3502" s="33"/>
      <c r="AF3502" s="33"/>
    </row>
    <row r="3503" spans="29:32" x14ac:dyDescent="0.2">
      <c r="AC3503" s="33"/>
      <c r="AE3503" s="33"/>
      <c r="AF3503" s="33"/>
    </row>
    <row r="3504" spans="29:32" x14ac:dyDescent="0.2">
      <c r="AC3504" s="33"/>
      <c r="AE3504" s="33"/>
      <c r="AF3504" s="33"/>
    </row>
    <row r="3505" spans="29:32" x14ac:dyDescent="0.2">
      <c r="AC3505" s="33"/>
      <c r="AE3505" s="33"/>
      <c r="AF3505" s="33"/>
    </row>
    <row r="3506" spans="29:32" x14ac:dyDescent="0.2">
      <c r="AC3506" s="33"/>
      <c r="AE3506" s="33"/>
      <c r="AF3506" s="33"/>
    </row>
    <row r="3507" spans="29:32" x14ac:dyDescent="0.2">
      <c r="AC3507" s="33"/>
      <c r="AE3507" s="33"/>
      <c r="AF3507" s="33"/>
    </row>
    <row r="3508" spans="29:32" x14ac:dyDescent="0.2">
      <c r="AC3508" s="33"/>
      <c r="AE3508" s="33"/>
      <c r="AF3508" s="33"/>
    </row>
    <row r="3509" spans="29:32" x14ac:dyDescent="0.2">
      <c r="AC3509" s="33"/>
      <c r="AE3509" s="33"/>
      <c r="AF3509" s="33"/>
    </row>
    <row r="3510" spans="29:32" x14ac:dyDescent="0.2">
      <c r="AC3510" s="33"/>
      <c r="AE3510" s="33"/>
      <c r="AF3510" s="33"/>
    </row>
    <row r="3511" spans="29:32" x14ac:dyDescent="0.2">
      <c r="AC3511" s="33"/>
      <c r="AE3511" s="33"/>
      <c r="AF3511" s="33"/>
    </row>
    <row r="3512" spans="29:32" x14ac:dyDescent="0.2">
      <c r="AC3512" s="33"/>
      <c r="AE3512" s="33"/>
      <c r="AF3512" s="33"/>
    </row>
    <row r="3513" spans="29:32" x14ac:dyDescent="0.2">
      <c r="AC3513" s="33"/>
      <c r="AE3513" s="33"/>
      <c r="AF3513" s="33"/>
    </row>
    <row r="3514" spans="29:32" x14ac:dyDescent="0.2">
      <c r="AC3514" s="33"/>
      <c r="AE3514" s="33"/>
      <c r="AF3514" s="33"/>
    </row>
    <row r="3515" spans="29:32" x14ac:dyDescent="0.2">
      <c r="AC3515" s="33"/>
      <c r="AE3515" s="33"/>
      <c r="AF3515" s="33"/>
    </row>
    <row r="3516" spans="29:32" x14ac:dyDescent="0.2">
      <c r="AC3516" s="33"/>
      <c r="AE3516" s="33"/>
      <c r="AF3516" s="33"/>
    </row>
    <row r="3517" spans="29:32" x14ac:dyDescent="0.2">
      <c r="AC3517" s="33"/>
      <c r="AE3517" s="33"/>
      <c r="AF3517" s="33"/>
    </row>
    <row r="3518" spans="29:32" x14ac:dyDescent="0.2">
      <c r="AC3518" s="33"/>
      <c r="AE3518" s="33"/>
      <c r="AF3518" s="33"/>
    </row>
    <row r="3519" spans="29:32" x14ac:dyDescent="0.2">
      <c r="AC3519" s="33"/>
      <c r="AE3519" s="33"/>
      <c r="AF3519" s="33"/>
    </row>
    <row r="3520" spans="29:32" x14ac:dyDescent="0.2">
      <c r="AC3520" s="33"/>
      <c r="AE3520" s="33"/>
      <c r="AF3520" s="33"/>
    </row>
    <row r="3521" spans="29:32" x14ac:dyDescent="0.2">
      <c r="AC3521" s="33"/>
      <c r="AE3521" s="33"/>
      <c r="AF3521" s="33"/>
    </row>
    <row r="3522" spans="29:32" x14ac:dyDescent="0.2">
      <c r="AC3522" s="33"/>
      <c r="AE3522" s="33"/>
      <c r="AF3522" s="33"/>
    </row>
    <row r="3523" spans="29:32" x14ac:dyDescent="0.2">
      <c r="AC3523" s="33"/>
      <c r="AE3523" s="33"/>
      <c r="AF3523" s="33"/>
    </row>
    <row r="3524" spans="29:32" x14ac:dyDescent="0.2">
      <c r="AC3524" s="33"/>
      <c r="AE3524" s="33"/>
      <c r="AF3524" s="33"/>
    </row>
    <row r="3525" spans="29:32" x14ac:dyDescent="0.2">
      <c r="AC3525" s="33"/>
      <c r="AE3525" s="33"/>
      <c r="AF3525" s="33"/>
    </row>
    <row r="3526" spans="29:32" x14ac:dyDescent="0.2">
      <c r="AC3526" s="33"/>
      <c r="AE3526" s="33"/>
      <c r="AF3526" s="33"/>
    </row>
    <row r="3527" spans="29:32" x14ac:dyDescent="0.2">
      <c r="AC3527" s="33"/>
      <c r="AE3527" s="33"/>
      <c r="AF3527" s="33"/>
    </row>
    <row r="3528" spans="29:32" x14ac:dyDescent="0.2">
      <c r="AC3528" s="33"/>
      <c r="AE3528" s="33"/>
      <c r="AF3528" s="33"/>
    </row>
    <row r="3529" spans="29:32" x14ac:dyDescent="0.2">
      <c r="AC3529" s="33"/>
      <c r="AE3529" s="33"/>
      <c r="AF3529" s="33"/>
    </row>
    <row r="3530" spans="29:32" x14ac:dyDescent="0.2">
      <c r="AC3530" s="33"/>
      <c r="AE3530" s="33"/>
      <c r="AF3530" s="33"/>
    </row>
    <row r="3531" spans="29:32" x14ac:dyDescent="0.2">
      <c r="AC3531" s="33"/>
      <c r="AE3531" s="33"/>
      <c r="AF3531" s="33"/>
    </row>
    <row r="3532" spans="29:32" x14ac:dyDescent="0.2">
      <c r="AC3532" s="33"/>
      <c r="AE3532" s="33"/>
      <c r="AF3532" s="33"/>
    </row>
    <row r="3533" spans="29:32" x14ac:dyDescent="0.2">
      <c r="AC3533" s="33"/>
      <c r="AE3533" s="33"/>
      <c r="AF3533" s="33"/>
    </row>
    <row r="3534" spans="29:32" x14ac:dyDescent="0.2">
      <c r="AC3534" s="33"/>
      <c r="AE3534" s="33"/>
      <c r="AF3534" s="33"/>
    </row>
    <row r="3535" spans="29:32" x14ac:dyDescent="0.2">
      <c r="AC3535" s="33"/>
      <c r="AE3535" s="33"/>
      <c r="AF3535" s="33"/>
    </row>
    <row r="3536" spans="29:32" x14ac:dyDescent="0.2">
      <c r="AC3536" s="33"/>
      <c r="AE3536" s="33"/>
      <c r="AF3536" s="33"/>
    </row>
  </sheetData>
  <dataValidations count="1">
    <dataValidation type="list" allowBlank="1" showInputMessage="1" showErrorMessage="1" sqref="N4 N8:N16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4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30" customWidth="1"/>
    <col min="2" max="2" width="2.33203125" style="30" bestFit="1" customWidth="1"/>
    <col min="3" max="3" width="3.1640625" style="30" customWidth="1"/>
    <col min="4" max="4" width="30.83203125" style="30" customWidth="1"/>
    <col min="5" max="6" width="20.1640625" style="30" bestFit="1" customWidth="1"/>
    <col min="7" max="7" width="8.1640625" style="30" bestFit="1" customWidth="1"/>
    <col min="8" max="8" width="11.6640625" style="30" customWidth="1"/>
    <col min="9" max="10" width="14.1640625" style="30" hidden="1" customWidth="1" outlineLevel="1"/>
    <col min="11" max="11" width="10.5" style="30" bestFit="1" customWidth="1" collapsed="1"/>
    <col min="12" max="12" width="9.33203125" style="30" bestFit="1" customWidth="1"/>
    <col min="13" max="13" width="10.33203125" style="30" customWidth="1"/>
    <col min="14" max="14" width="9.33203125" style="30" bestFit="1" customWidth="1"/>
    <col min="15" max="15" width="7" style="30" bestFit="1" customWidth="1"/>
    <col min="16" max="16" width="9.33203125" style="30" bestFit="1" customWidth="1"/>
    <col min="17" max="17" width="11.33203125" style="30" customWidth="1"/>
    <col min="18" max="18" width="20.1640625" style="30" bestFit="1" customWidth="1"/>
    <col min="19" max="19" width="20.1640625" style="30" customWidth="1"/>
    <col min="20" max="20" width="8.1640625" style="30" bestFit="1" customWidth="1"/>
    <col min="21" max="21" width="9.33203125" style="30" bestFit="1" customWidth="1"/>
    <col min="22" max="23" width="14.1640625" style="30" hidden="1" customWidth="1" outlineLevel="1"/>
    <col min="24" max="24" width="10.5" style="30" bestFit="1" customWidth="1" collapsed="1"/>
    <col min="25" max="25" width="9.83203125" style="30" customWidth="1"/>
    <col min="26" max="16384" width="9.33203125" style="30"/>
  </cols>
  <sheetData>
    <row r="1" spans="1:25" ht="12" thickBot="1" x14ac:dyDescent="0.25">
      <c r="E1" s="397" t="s">
        <v>112</v>
      </c>
      <c r="F1" s="398" t="s">
        <v>40</v>
      </c>
      <c r="N1" s="30" t="str">
        <f>_xll.qlInterpolation(,interpolator6M,_xll.ohFilter(E4:E22,M4:M22),_xll.ohFilter(L4:L22,M4:M22))</f>
        <v>obj_00626#0194</v>
      </c>
    </row>
    <row r="2" spans="1:25" ht="26.25" customHeight="1" thickBot="1" x14ac:dyDescent="0.25">
      <c r="D2" s="217" t="str">
        <f>F1&amp;" Instruments"</f>
        <v>6M Instruments</v>
      </c>
      <c r="E2" s="218" t="s">
        <v>113</v>
      </c>
      <c r="F2" s="218" t="s">
        <v>114</v>
      </c>
      <c r="G2" s="218" t="s">
        <v>137</v>
      </c>
      <c r="H2" s="218" t="str">
        <f>F1&amp;" Market quote"</f>
        <v>6M Market quote</v>
      </c>
      <c r="I2" s="218" t="s">
        <v>138</v>
      </c>
      <c r="J2" s="218" t="s">
        <v>139</v>
      </c>
      <c r="K2" s="218" t="s">
        <v>140</v>
      </c>
      <c r="L2" s="338" t="s">
        <v>151</v>
      </c>
      <c r="M2" s="218" t="s">
        <v>84</v>
      </c>
      <c r="N2" s="218" t="s">
        <v>144</v>
      </c>
      <c r="O2" s="338" t="s">
        <v>155</v>
      </c>
      <c r="P2" s="339" t="s">
        <v>141</v>
      </c>
      <c r="R2" s="213" t="s">
        <v>113</v>
      </c>
      <c r="S2" s="447" t="s">
        <v>114</v>
      </c>
      <c r="T2" s="447" t="s">
        <v>137</v>
      </c>
      <c r="U2" s="338" t="s">
        <v>144</v>
      </c>
      <c r="V2" s="218" t="s">
        <v>138</v>
      </c>
      <c r="W2" s="218" t="s">
        <v>139</v>
      </c>
      <c r="X2" s="338" t="s">
        <v>140</v>
      </c>
      <c r="Y2" s="339" t="s">
        <v>154</v>
      </c>
    </row>
    <row r="3" spans="1:25" ht="11.25" customHeight="1" x14ac:dyDescent="0.2">
      <c r="D3" s="334" t="s">
        <v>193</v>
      </c>
      <c r="E3" s="335">
        <f>_xll.qlCalendarAdvance(Calendar,_xll.qlLastFixingQuoteReferenceDate(D4),_xll.qlInterestRateIndexFixingDays(PROPER(Currency)&amp;IborType&amp;$F$1)&amp;"D","f",,LastFixingsTrigger)</f>
        <v>42123</v>
      </c>
      <c r="F3" s="335"/>
      <c r="G3" s="341"/>
      <c r="H3" s="336"/>
      <c r="I3" s="344"/>
      <c r="J3" s="344"/>
      <c r="K3" s="336"/>
      <c r="L3" s="336"/>
      <c r="M3" s="337"/>
      <c r="N3" s="340"/>
      <c r="O3" s="456"/>
      <c r="P3" s="453"/>
      <c r="R3" s="422">
        <f>E4</f>
        <v>42124</v>
      </c>
      <c r="S3" s="448">
        <f>_xll.qlCalendarAdvance(Calendar,R3,$F$1,"mf",,Trigger)</f>
        <v>42307</v>
      </c>
      <c r="T3" s="449">
        <f>_xll.qlDayCounterYearFraction(DayCounter,R3,S3,,,Trigger)</f>
        <v>0.50136986301369868</v>
      </c>
      <c r="U3" s="423">
        <f>_xll.qlInterpolationInterpolate(B6Minterpolation,R3,TRUE)</f>
        <v>2.4313000000119617E-3</v>
      </c>
      <c r="V3" s="374">
        <f>_xll.qlYieldTSDiscount(Discounting,R3,,AllTriggers)</f>
        <v>1</v>
      </c>
      <c r="W3" s="374">
        <f>_xll.qlYieldTSDiscount(Discounting,S3,,AllTriggers)</f>
        <v>0.99771772071387299</v>
      </c>
      <c r="X3" s="373">
        <f>(V3/W3-1)/T3</f>
        <v>4.5624999999880379E-3</v>
      </c>
      <c r="Y3" s="450">
        <f>LN((1+(U3+X3)*T3)/(1+X3*T3))</f>
        <v>1.2154595236039446E-3</v>
      </c>
    </row>
    <row r="4" spans="1:25" ht="11.25" customHeight="1" x14ac:dyDescent="0.2">
      <c r="C4" s="399" t="str">
        <f>SUBSTITUTE(F1,"M","")</f>
        <v>6</v>
      </c>
      <c r="D4" s="497" t="str">
        <f>PROPER(Currency&amp;IborType)&amp;F1&amp;"LastFixing"&amp;QuoteSuffix</f>
        <v>Gbplibor6MLastFixing_Quote</v>
      </c>
      <c r="E4" s="498">
        <f>SettlementDate</f>
        <v>42124</v>
      </c>
      <c r="F4" s="498">
        <f>_xll.qlCalendarAdvance(Calendar,E4,$F$1,"mf",,Trigger)</f>
        <v>42307</v>
      </c>
      <c r="G4" s="499">
        <f>_xll.qlDayCounterYearFraction(DayCounter,E4,F4,,,Trigger)</f>
        <v>0.50136986301369868</v>
      </c>
      <c r="H4" s="500">
        <f>_xll.qlQuoteValue(D4,LastFixingsTrigger)</f>
        <v>6.9937999999999997E-3</v>
      </c>
      <c r="I4" s="501">
        <f>_xll.qlYieldTSDiscount(Discounting,E4,,AllTriggers)</f>
        <v>1</v>
      </c>
      <c r="J4" s="501">
        <f>_xll.qlYieldTSDiscount(Discounting,F4,,AllTriggers)</f>
        <v>0.99771772071387299</v>
      </c>
      <c r="K4" s="500">
        <f>(I4/J4-1)/G4</f>
        <v>4.5624999999880379E-3</v>
      </c>
      <c r="L4" s="500">
        <f>H4-K4</f>
        <v>2.4313000000119617E-3</v>
      </c>
      <c r="M4" s="502" t="b">
        <v>1</v>
      </c>
      <c r="N4" s="503">
        <f>_xll.qlInterpolationInterpolate($N$1,E4,TRUE)</f>
        <v>2.4313000000119617E-3</v>
      </c>
      <c r="O4" s="504">
        <f>(L4-N4)*10000</f>
        <v>0</v>
      </c>
      <c r="P4" s="506">
        <f t="shared" ref="P4:P6" si="0">LN((1+H4*G4)/(1+K4*G4))</f>
        <v>1.2154595236039446E-3</v>
      </c>
      <c r="R4" s="422">
        <f>_xll.qlCalendarAdvance(Calendar,R3,"1D","f")</f>
        <v>42125</v>
      </c>
      <c r="S4" s="448">
        <f>_xll.qlCalendarAdvance(Calendar,R4,$F$1,"mf",,Trigger)</f>
        <v>42310</v>
      </c>
      <c r="T4" s="449">
        <f>_xll.qlDayCounterYearFraction(DayCounter,R4,S4,,,Trigger)</f>
        <v>0.50684931506849318</v>
      </c>
      <c r="U4" s="423">
        <f>_xll.qlInterpolationInterpolate(B6Minterpolation,R4,TRUE)</f>
        <v>2.4370303554206683E-3</v>
      </c>
      <c r="V4" s="345">
        <f>_xll.qlYieldTSDiscount(Discounting,R4,,AllTriggers)</f>
        <v>0.99998746836962482</v>
      </c>
      <c r="W4" s="345">
        <f>_xll.qlYieldTSDiscount(Discounting,S4,,AllTriggers)</f>
        <v>0.99767759697172087</v>
      </c>
      <c r="X4" s="32">
        <f t="shared" ref="X4:X67" si="1">(V4/W4-1)/T4</f>
        <v>4.5679223959129468E-3</v>
      </c>
      <c r="Y4" s="451">
        <f t="shared" ref="Y4:Y67" si="2">LN((1+(U4+X4)*T4)/(1+X4*T4))</f>
        <v>1.2315952361249272E-3</v>
      </c>
    </row>
    <row r="5" spans="1:25" ht="11.25" customHeight="1" x14ac:dyDescent="0.2">
      <c r="A5" s="30">
        <v>1</v>
      </c>
      <c r="B5" s="30" t="s">
        <v>35</v>
      </c>
      <c r="C5" s="30">
        <f>A5+SUBSTITUTE($F$1,"M","")</f>
        <v>7</v>
      </c>
      <c r="D5" s="220" t="str">
        <f t="shared" ref="D5:D22" si="3">Currency&amp;A5&amp;B5&amp;C5&amp;"F"&amp;QuoteSuffix</f>
        <v>GBP1x7F_Quote</v>
      </c>
      <c r="E5" s="221">
        <f>_xll.qlCalendarAdvance("target",$E$4,A5&amp;"M","mf",,Trigger)</f>
        <v>42153</v>
      </c>
      <c r="F5" s="221">
        <f>_xll.qlCalendarAdvance(Calendar,E5,$F$1,"mf",,Trigger)</f>
        <v>42338</v>
      </c>
      <c r="G5" s="342">
        <f>_xll.qlDayCounterYearFraction(DayCounter,E5,F5,,,Trigger)</f>
        <v>0.50684931506849318</v>
      </c>
      <c r="H5" s="32">
        <f>_xll.qlQuoteValue(D5,AllTriggers)</f>
        <v>7.1999999999999998E-3</v>
      </c>
      <c r="I5" s="381">
        <f>_xll.qlYieldTSDiscount(Discounting,E5,,AllTriggers)</f>
        <v>0.99963763135863237</v>
      </c>
      <c r="J5" s="381">
        <f>_xll.qlYieldTSDiscount(Discounting,F5,,AllTriggers)</f>
        <v>0.99728840016294806</v>
      </c>
      <c r="K5" s="32">
        <f t="shared" ref="K5:K22" si="4">(I5/J5-1)/G5</f>
        <v>4.6475720118601318E-3</v>
      </c>
      <c r="L5" s="380">
        <f t="shared" ref="L5:L22" si="5">H5-K5</f>
        <v>2.552427988139868E-3</v>
      </c>
      <c r="M5" s="332" t="b">
        <v>1</v>
      </c>
      <c r="N5" s="32">
        <f>_xll.qlInterpolationInterpolate($N$1,E5,TRUE)</f>
        <v>2.552427988139868E-3</v>
      </c>
      <c r="O5" s="446">
        <f t="shared" ref="O5:O22" si="6">(L5-N5)*10000</f>
        <v>0</v>
      </c>
      <c r="P5" s="454">
        <f t="shared" si="0"/>
        <v>1.2898239033542172E-3</v>
      </c>
      <c r="R5" s="422">
        <f>_xll.qlCalendarAdvance(Calendar,R4,"1D","f")</f>
        <v>42129</v>
      </c>
      <c r="S5" s="448">
        <f>_xll.qlCalendarAdvance(Calendar,R5,$F$1,"mf",,Trigger)</f>
        <v>42313</v>
      </c>
      <c r="T5" s="449">
        <f>_xll.qlDayCounterYearFraction(DayCounter,R5,S5,,,Trigger)</f>
        <v>0.50410958904109593</v>
      </c>
      <c r="U5" s="423">
        <f>_xll.qlInterpolationInterpolate(B6Minterpolation,R5,TRUE)</f>
        <v>2.4597298444509396E-3</v>
      </c>
      <c r="V5" s="345">
        <f>_xll.qlYieldTSDiscount(Discounting,R5,,AllTriggers)</f>
        <v>0.99993733844940524</v>
      </c>
      <c r="W5" s="345">
        <f>_xll.qlYieldTSDiscount(Discounting,S5,,AllTriggers)</f>
        <v>0.99763705667245239</v>
      </c>
      <c r="X5" s="32">
        <f t="shared" si="1"/>
        <v>4.5738667476284689E-3</v>
      </c>
      <c r="Y5" s="451">
        <f t="shared" si="2"/>
        <v>1.2363563305167725E-3</v>
      </c>
    </row>
    <row r="6" spans="1:25" ht="11.25" customHeight="1" x14ac:dyDescent="0.2">
      <c r="A6" s="30">
        <v>2</v>
      </c>
      <c r="B6" s="30" t="s">
        <v>35</v>
      </c>
      <c r="C6" s="30">
        <f t="shared" ref="C6:C22" si="7">A6+SUBSTITUTE($F$1,"M","")</f>
        <v>8</v>
      </c>
      <c r="D6" s="220" t="str">
        <f t="shared" si="3"/>
        <v>GBP2x8F_Quote</v>
      </c>
      <c r="E6" s="221">
        <f>_xll.qlCalendarAdvance("target",$E$4,A6&amp;"M","mf",,Trigger)</f>
        <v>42185</v>
      </c>
      <c r="F6" s="221">
        <f>_xll.qlCalendarAdvance(Calendar,E6,$F$1,"mf",,Trigger)</f>
        <v>42368</v>
      </c>
      <c r="G6" s="342">
        <f>_xll.qlDayCounterYearFraction(DayCounter,E6,F6,,,Trigger)</f>
        <v>0.50136986301369868</v>
      </c>
      <c r="H6" s="32">
        <f>_xll.qlQuoteValue(D6,AllTriggers)</f>
        <v>7.3000000000000001E-3</v>
      </c>
      <c r="I6" s="345">
        <f>_xll.qlYieldTSDiscount(Discounting,E6,,AllTriggers)</f>
        <v>0.9992422526985788</v>
      </c>
      <c r="J6" s="345">
        <f>_xll.qlYieldTSDiscount(Discounting,F6,,AllTriggers)</f>
        <v>0.99686113136812649</v>
      </c>
      <c r="K6" s="32">
        <f t="shared" si="4"/>
        <v>4.7641852204800923E-3</v>
      </c>
      <c r="L6" s="32">
        <f t="shared" si="5"/>
        <v>2.5358147795199078E-3</v>
      </c>
      <c r="M6" s="332" t="b">
        <v>1</v>
      </c>
      <c r="N6" s="32">
        <f>_xll.qlInterpolationInterpolate($N$1,E6,TRUE)</f>
        <v>2.5358147795199078E-3</v>
      </c>
      <c r="O6" s="446">
        <f t="shared" si="6"/>
        <v>0</v>
      </c>
      <c r="P6" s="454">
        <f t="shared" si="0"/>
        <v>1.267547822010044E-3</v>
      </c>
      <c r="R6" s="422">
        <f>_xll.qlCalendarAdvance(Calendar,R5,"1D","f")</f>
        <v>42130</v>
      </c>
      <c r="S6" s="448">
        <f>_xll.qlCalendarAdvance(Calendar,R6,$F$1,"mf",,Trigger)</f>
        <v>42314</v>
      </c>
      <c r="T6" s="449">
        <f>_xll.qlDayCounterYearFraction(DayCounter,R6,S6,,,Trigger)</f>
        <v>0.50410958904109593</v>
      </c>
      <c r="U6" s="423">
        <f>_xll.qlInterpolationInterpolate(B6Minterpolation,R6,TRUE)</f>
        <v>2.4652937504062301E-3</v>
      </c>
      <c r="V6" s="345">
        <f>_xll.qlYieldTSDiscount(Discounting,R6,,AllTriggers)</f>
        <v>0.99992480387749072</v>
      </c>
      <c r="W6" s="345">
        <f>_xll.qlYieldTSDiscount(Discounting,S6,,AllTriggers)</f>
        <v>0.99762345761361881</v>
      </c>
      <c r="X6" s="32">
        <f t="shared" si="1"/>
        <v>4.5760457444631326E-3</v>
      </c>
      <c r="Y6" s="451">
        <f t="shared" si="2"/>
        <v>1.2391498778632621E-3</v>
      </c>
    </row>
    <row r="7" spans="1:25" ht="11.25" customHeight="1" x14ac:dyDescent="0.2">
      <c r="A7" s="30">
        <f>A6+1</f>
        <v>3</v>
      </c>
      <c r="B7" s="30" t="s">
        <v>35</v>
      </c>
      <c r="C7" s="30">
        <f t="shared" si="7"/>
        <v>9</v>
      </c>
      <c r="D7" s="220" t="str">
        <f t="shared" si="3"/>
        <v>GBP3x9F_Quote</v>
      </c>
      <c r="E7" s="221">
        <f>_xll.qlCalendarAdvance("target",$E$4,A7&amp;"M","mf",,Trigger)</f>
        <v>42215</v>
      </c>
      <c r="F7" s="221">
        <f>_xll.qlCalendarAdvance(Calendar,E7,$F$1,"mf",,Trigger)</f>
        <v>42398</v>
      </c>
      <c r="G7" s="342">
        <f>_xll.qlDayCounterYearFraction(DayCounter,E7,F7,,,Trigger)</f>
        <v>0.50136986301369868</v>
      </c>
      <c r="H7" s="32">
        <f>_xll.qlQuoteValue(D7,AllTriggers)</f>
        <v>7.5500000000000003E-3</v>
      </c>
      <c r="I7" s="345">
        <f>_xll.qlYieldTSDiscount(Discounting,E7,,AllTriggers)</f>
        <v>0.99887306669886999</v>
      </c>
      <c r="J7" s="345">
        <f>_xll.qlYieldTSDiscount(Discounting,F7,,AllTriggers)</f>
        <v>0.99641896578409539</v>
      </c>
      <c r="K7" s="32">
        <f t="shared" si="4"/>
        <v>4.9123828531152823E-3</v>
      </c>
      <c r="L7" s="32">
        <f t="shared" si="5"/>
        <v>2.637617146884718E-3</v>
      </c>
      <c r="M7" s="332" t="b">
        <v>1</v>
      </c>
      <c r="N7" s="32">
        <f>_xll.qlInterpolationInterpolate($N$1,E7,TRUE)</f>
        <v>2.637617146884718E-3</v>
      </c>
      <c r="O7" s="446">
        <f t="shared" si="6"/>
        <v>0</v>
      </c>
      <c r="P7" s="454">
        <f t="shared" ref="P7:P22" si="8">LN((1+H7*G7)/(1+K7*G7))</f>
        <v>1.3183033858829183E-3</v>
      </c>
      <c r="R7" s="422">
        <f>_xll.qlCalendarAdvance(Calendar,R6,"1D","f")</f>
        <v>42131</v>
      </c>
      <c r="S7" s="448">
        <f>_xll.qlCalendarAdvance(Calendar,R7,$F$1,"mf",,Trigger)</f>
        <v>42317</v>
      </c>
      <c r="T7" s="449">
        <f>_xll.qlDayCounterYearFraction(DayCounter,R7,S7,,,Trigger)</f>
        <v>0.50958904109589043</v>
      </c>
      <c r="U7" s="423">
        <f>_xll.qlInterpolationInterpolate(B6Minterpolation,R7,TRUE)</f>
        <v>2.4707910765801545E-3</v>
      </c>
      <c r="V7" s="345">
        <f>_xll.qlYieldTSDiscount(Discounting,R7,,AllTriggers)</f>
        <v>0.99991226797200383</v>
      </c>
      <c r="W7" s="345">
        <f>_xll.qlYieldTSDiscount(Discounting,S7,,AllTriggers)</f>
        <v>0.99758242438476974</v>
      </c>
      <c r="X7" s="32">
        <f t="shared" si="1"/>
        <v>4.5830848430864022E-3</v>
      </c>
      <c r="Y7" s="451">
        <f t="shared" si="2"/>
        <v>1.2553660180941203E-3</v>
      </c>
    </row>
    <row r="8" spans="1:25" ht="11.25" customHeight="1" x14ac:dyDescent="0.2">
      <c r="A8" s="30">
        <f t="shared" ref="A8:A22" si="9">A7+1</f>
        <v>4</v>
      </c>
      <c r="B8" s="30" t="s">
        <v>35</v>
      </c>
      <c r="C8" s="30">
        <f t="shared" si="7"/>
        <v>10</v>
      </c>
      <c r="D8" s="220" t="str">
        <f t="shared" si="3"/>
        <v>GBP4x10F_Quote</v>
      </c>
      <c r="E8" s="221">
        <f>_xll.qlCalendarAdvance("target",$E$4,A8&amp;"M","mf",,Trigger)</f>
        <v>42247</v>
      </c>
      <c r="F8" s="221">
        <f>_xll.qlCalendarAdvance(Calendar,E8,$F$1,"mf",,Trigger)</f>
        <v>42429</v>
      </c>
      <c r="G8" s="342">
        <f>_xll.qlDayCounterYearFraction(DayCounter,E8,F8,,,Trigger)</f>
        <v>0.49863013698630138</v>
      </c>
      <c r="H8" s="32">
        <f>_xll.qlQuoteValue(D8,AllTriggers)</f>
        <v>7.8000000000000005E-3</v>
      </c>
      <c r="I8" s="345">
        <f>_xll.qlYieldTSDiscount(Discounting,E8,,AllTriggers)</f>
        <v>0.99847719209048358</v>
      </c>
      <c r="J8" s="345">
        <f>_xll.qlYieldTSDiscount(Discounting,F8,,AllTriggers)</f>
        <v>0.9959118161014725</v>
      </c>
      <c r="K8" s="32">
        <f t="shared" si="4"/>
        <v>5.1659668730798872E-3</v>
      </c>
      <c r="L8" s="32">
        <f t="shared" si="5"/>
        <v>2.6340331269201133E-3</v>
      </c>
      <c r="M8" s="332" t="b">
        <v>1</v>
      </c>
      <c r="N8" s="32">
        <f>_xll.qlInterpolationInterpolate($N$1,E8,TRUE)</f>
        <v>2.6340331269201133E-3</v>
      </c>
      <c r="O8" s="446">
        <f t="shared" si="6"/>
        <v>0</v>
      </c>
      <c r="P8" s="454">
        <f t="shared" si="8"/>
        <v>1.3091764284772283E-3</v>
      </c>
      <c r="R8" s="422">
        <f>_xll.qlCalendarAdvance(Calendar,R7,"1D","f")</f>
        <v>42132</v>
      </c>
      <c r="S8" s="448">
        <f>_xll.qlCalendarAdvance(Calendar,R8,$F$1,"mf",,Trigger)</f>
        <v>42317</v>
      </c>
      <c r="T8" s="449">
        <f>_xll.qlDayCounterYearFraction(DayCounter,R8,S8,,,Trigger)</f>
        <v>0.50684931506849318</v>
      </c>
      <c r="U8" s="423">
        <f>_xll.qlInterpolationInterpolate(B6Minterpolation,R8,TRUE)</f>
        <v>2.4762107263424844E-3</v>
      </c>
      <c r="V8" s="345">
        <f>_xll.qlYieldTSDiscount(Discounting,R8,,AllTriggers)</f>
        <v>0.99989973075543392</v>
      </c>
      <c r="W8" s="345">
        <f>_xll.qlYieldTSDiscount(Discounting,S8,,AllTriggers)</f>
        <v>0.99758242438476974</v>
      </c>
      <c r="X8" s="32">
        <f t="shared" si="1"/>
        <v>4.5830627401422441E-3</v>
      </c>
      <c r="Y8" s="451">
        <f t="shared" si="2"/>
        <v>1.2513737523639924E-3</v>
      </c>
    </row>
    <row r="9" spans="1:25" ht="11.25" customHeight="1" x14ac:dyDescent="0.2">
      <c r="A9" s="30">
        <f t="shared" si="9"/>
        <v>5</v>
      </c>
      <c r="B9" s="30" t="s">
        <v>35</v>
      </c>
      <c r="C9" s="30">
        <f t="shared" si="7"/>
        <v>11</v>
      </c>
      <c r="D9" s="220" t="str">
        <f t="shared" si="3"/>
        <v>GBP5x11F_Quote</v>
      </c>
      <c r="E9" s="221">
        <f>_xll.qlCalendarAdvance("target",$E$4,A9&amp;"M","mf",,Trigger)</f>
        <v>42277</v>
      </c>
      <c r="F9" s="221">
        <f>_xll.qlCalendarAdvance(Calendar,E9,$F$1,"mf",,Trigger)</f>
        <v>42459</v>
      </c>
      <c r="G9" s="342">
        <f>_xll.qlDayCounterYearFraction(DayCounter,E9,F9,,,Trigger)</f>
        <v>0.49863013698630138</v>
      </c>
      <c r="H9" s="32">
        <f>_xll.qlQuoteValue(D9,AllTriggers)</f>
        <v>8.150000000000001E-3</v>
      </c>
      <c r="I9" s="345">
        <f>_xll.qlYieldTSDiscount(Discounting,E9,,AllTriggers)</f>
        <v>0.99810159026638001</v>
      </c>
      <c r="J9" s="345">
        <f>_xll.qlYieldTSDiscount(Discounting,F9,,AllTriggers)</f>
        <v>0.99539019524315053</v>
      </c>
      <c r="K9" s="32">
        <f t="shared" si="4"/>
        <v>5.4628705881350293E-3</v>
      </c>
      <c r="L9" s="32">
        <f t="shared" si="5"/>
        <v>2.6871294118649717E-3</v>
      </c>
      <c r="M9" s="332" t="b">
        <v>1</v>
      </c>
      <c r="N9" s="32">
        <f>_xll.qlInterpolationInterpolate($N$1,E9,TRUE)</f>
        <v>2.6871294118649717E-3</v>
      </c>
      <c r="O9" s="446">
        <f t="shared" si="6"/>
        <v>0</v>
      </c>
      <c r="P9" s="454">
        <f t="shared" si="8"/>
        <v>1.3353518634800011E-3</v>
      </c>
      <c r="R9" s="422">
        <f>_xll.qlCalendarAdvance(Calendar,R8,"1D","f")</f>
        <v>42135</v>
      </c>
      <c r="S9" s="448">
        <f>_xll.qlCalendarAdvance(Calendar,R9,$F$1,"mf",,Trigger)</f>
        <v>42319</v>
      </c>
      <c r="T9" s="449">
        <f>_xll.qlDayCounterYearFraction(DayCounter,R9,S9,,,Trigger)</f>
        <v>0.50410958904109593</v>
      </c>
      <c r="U9" s="423">
        <f>_xll.qlInterpolationInterpolate(B6Minterpolation,R9,TRUE)</f>
        <v>2.4918926508576329E-3</v>
      </c>
      <c r="V9" s="345">
        <f>_xll.qlYieldTSDiscount(Discounting,R9,,AllTriggers)</f>
        <v>0.99986212338244296</v>
      </c>
      <c r="W9" s="345">
        <f>_xll.qlYieldTSDiscount(Discounting,S9,,AllTriggers)</f>
        <v>0.99755488706177353</v>
      </c>
      <c r="X9" s="32">
        <f t="shared" si="1"/>
        <v>4.5880730145389575E-3</v>
      </c>
      <c r="Y9" s="451">
        <f t="shared" si="2"/>
        <v>1.2525035501117527E-3</v>
      </c>
    </row>
    <row r="10" spans="1:25" ht="11.25" customHeight="1" x14ac:dyDescent="0.2">
      <c r="A10" s="30">
        <f t="shared" si="9"/>
        <v>6</v>
      </c>
      <c r="B10" s="30" t="s">
        <v>35</v>
      </c>
      <c r="C10" s="30">
        <f t="shared" si="7"/>
        <v>12</v>
      </c>
      <c r="D10" s="220" t="str">
        <f t="shared" si="3"/>
        <v>GBP6x12F_Quote</v>
      </c>
      <c r="E10" s="221">
        <f>_xll.qlCalendarAdvance("target",$E$4,A10&amp;"M","mf",,Trigger)</f>
        <v>42307</v>
      </c>
      <c r="F10" s="221">
        <f>_xll.qlCalendarAdvance(Calendar,E10,$F$1,"mf",,Trigger)</f>
        <v>42489</v>
      </c>
      <c r="G10" s="342">
        <f>_xll.qlDayCounterYearFraction(DayCounter,E10,F10,,,Trigger)</f>
        <v>0.49863013698630138</v>
      </c>
      <c r="H10" s="32">
        <f>_xll.qlQuoteValue(D10,AllTriggers)</f>
        <v>8.4499999999999992E-3</v>
      </c>
      <c r="I10" s="345">
        <f>_xll.qlYieldTSDiscount(Discounting,E10,,AllTriggers)</f>
        <v>0.99771772071387299</v>
      </c>
      <c r="J10" s="345">
        <f>_xll.qlYieldTSDiscount(Discounting,F10,,AllTriggers)</f>
        <v>0.99486401452501472</v>
      </c>
      <c r="K10" s="32">
        <f t="shared" si="4"/>
        <v>5.7526375449246285E-3</v>
      </c>
      <c r="L10" s="32">
        <f t="shared" si="5"/>
        <v>2.6973624550753706E-3</v>
      </c>
      <c r="M10" s="332" t="b">
        <v>1</v>
      </c>
      <c r="N10" s="32">
        <f>_xll.qlInterpolationInterpolate($N$1,E10,TRUE)</f>
        <v>2.6973624550753706E-3</v>
      </c>
      <c r="O10" s="446">
        <f t="shared" si="6"/>
        <v>0</v>
      </c>
      <c r="P10" s="454">
        <f t="shared" si="8"/>
        <v>1.3402407111811072E-3</v>
      </c>
      <c r="R10" s="422">
        <f>_xll.qlCalendarAdvance(Calendar,R9,"1D","f")</f>
        <v>42136</v>
      </c>
      <c r="S10" s="448">
        <f>_xll.qlCalendarAdvance(Calendar,R10,$F$1,"mf",,Trigger)</f>
        <v>42320</v>
      </c>
      <c r="T10" s="449">
        <f>_xll.qlDayCounterYearFraction(DayCounter,R10,S10,,,Trigger)</f>
        <v>0.50410958904109593</v>
      </c>
      <c r="U10" s="423">
        <f>_xll.qlInterpolationInterpolate(B6Minterpolation,R10,TRUE)</f>
        <v>2.4968906286713093E-3</v>
      </c>
      <c r="V10" s="345">
        <f>_xll.qlYieldTSDiscount(Discounting,R10,,AllTriggers)</f>
        <v>0.99984959360618952</v>
      </c>
      <c r="W10" s="345">
        <f>_xll.qlYieldTSDiscount(Discounting,S10,,AllTriggers)</f>
        <v>0.99754106831069644</v>
      </c>
      <c r="X10" s="32">
        <f t="shared" si="1"/>
        <v>4.5906998088392752E-3</v>
      </c>
      <c r="Y10" s="451">
        <f t="shared" si="2"/>
        <v>1.2550124580840848E-3</v>
      </c>
    </row>
    <row r="11" spans="1:25" ht="11.25" customHeight="1" x14ac:dyDescent="0.2">
      <c r="A11" s="30">
        <f t="shared" si="9"/>
        <v>7</v>
      </c>
      <c r="B11" s="30" t="s">
        <v>35</v>
      </c>
      <c r="C11" s="30">
        <f t="shared" si="7"/>
        <v>13</v>
      </c>
      <c r="D11" s="220" t="str">
        <f t="shared" si="3"/>
        <v>GBP7x13F_Quote</v>
      </c>
      <c r="E11" s="221">
        <f>_xll.qlCalendarAdvance("target",$E$4,A11&amp;"M","mf",,Trigger)</f>
        <v>42338</v>
      </c>
      <c r="F11" s="221">
        <f>_xll.qlCalendarAdvance(Calendar,E11,$F$1,"mf",,Trigger)</f>
        <v>42521</v>
      </c>
      <c r="G11" s="342">
        <f>_xll.qlDayCounterYearFraction(DayCounter,E11,F11,,,Trigger)</f>
        <v>0.50136986301369868</v>
      </c>
      <c r="H11" s="32" t="e">
        <f>_xll.qlQuoteValue(D11,AllTriggers)</f>
        <v>#NUM!</v>
      </c>
      <c r="I11" s="345">
        <f>_xll.qlYieldTSDiscount(Discounting,E11,,AllTriggers)</f>
        <v>0.99728840016294806</v>
      </c>
      <c r="J11" s="345">
        <f>_xll.qlYieldTSDiscount(Discounting,F11,,AllTriggers)</f>
        <v>0.99426829723217647</v>
      </c>
      <c r="K11" s="32">
        <f t="shared" si="4"/>
        <v>6.058427673504509E-3</v>
      </c>
      <c r="L11" s="32" t="e">
        <f t="shared" si="5"/>
        <v>#NUM!</v>
      </c>
      <c r="M11" s="332" t="b">
        <v>0</v>
      </c>
      <c r="N11" s="32">
        <f>_xll.qlInterpolationInterpolate($N$1,E11,TRUE)</f>
        <v>2.7316211951317589E-3</v>
      </c>
      <c r="O11" s="446" t="e">
        <f t="shared" si="6"/>
        <v>#NUM!</v>
      </c>
      <c r="P11" s="454" t="e">
        <f t="shared" si="8"/>
        <v>#NUM!</v>
      </c>
      <c r="R11" s="422">
        <f>_xll.qlCalendarAdvance(Calendar,R10,"1D","f")</f>
        <v>42137</v>
      </c>
      <c r="S11" s="448">
        <f>_xll.qlCalendarAdvance(Calendar,R11,$F$1,"mf",,Trigger)</f>
        <v>42321</v>
      </c>
      <c r="T11" s="449">
        <f>_xll.qlDayCounterYearFraction(DayCounter,R11,S11,,,Trigger)</f>
        <v>0.50410958904109593</v>
      </c>
      <c r="U11" s="423">
        <f>_xll.qlInterpolationInterpolate(B6Minterpolation,R11,TRUE)</f>
        <v>2.5017554469222527E-3</v>
      </c>
      <c r="V11" s="345">
        <f>_xll.qlYieldTSDiscount(Discounting,R11,,AllTriggers)</f>
        <v>0.99983706913172077</v>
      </c>
      <c r="W11" s="345">
        <f>_xll.qlYieldTSDiscount(Discounting,S11,,AllTriggers)</f>
        <v>0.99752721814929457</v>
      </c>
      <c r="X11" s="32">
        <f t="shared" si="1"/>
        <v>4.5933998267329423E-3</v>
      </c>
      <c r="Y11" s="451">
        <f t="shared" si="2"/>
        <v>1.257454419080459E-3</v>
      </c>
    </row>
    <row r="12" spans="1:25" ht="11.25" customHeight="1" x14ac:dyDescent="0.2">
      <c r="A12" s="30">
        <f t="shared" si="9"/>
        <v>8</v>
      </c>
      <c r="B12" s="30" t="s">
        <v>35</v>
      </c>
      <c r="C12" s="30">
        <f t="shared" si="7"/>
        <v>14</v>
      </c>
      <c r="D12" s="220" t="str">
        <f t="shared" si="3"/>
        <v>GBP8x14F_Quote</v>
      </c>
      <c r="E12" s="221">
        <f>_xll.qlCalendarAdvance("target",$E$4,A12&amp;"M","mf",,Trigger)</f>
        <v>42368</v>
      </c>
      <c r="F12" s="221">
        <f>_xll.qlCalendarAdvance(Calendar,E12,$F$1,"mf",,Trigger)</f>
        <v>42551</v>
      </c>
      <c r="G12" s="342">
        <f>_xll.qlDayCounterYearFraction(DayCounter,E12,F12,,,Trigger)</f>
        <v>0.50136986301369868</v>
      </c>
      <c r="H12" s="32" t="e">
        <f>_xll.qlQuoteValue(D12,AllTriggers)</f>
        <v>#NUM!</v>
      </c>
      <c r="I12" s="345">
        <f>_xll.qlYieldTSDiscount(Discounting,E12,,AllTriggers)</f>
        <v>0.99686113136812649</v>
      </c>
      <c r="J12" s="345">
        <f>_xll.qlYieldTSDiscount(Discounting,F12,,AllTriggers)</f>
        <v>0.99367081887879238</v>
      </c>
      <c r="K12" s="32">
        <f t="shared" si="4"/>
        <v>6.4037218927964186E-3</v>
      </c>
      <c r="L12" s="32" t="e">
        <f t="shared" si="5"/>
        <v>#NUM!</v>
      </c>
      <c r="M12" s="332" t="b">
        <v>0</v>
      </c>
      <c r="N12" s="32">
        <f>_xll.qlInterpolationInterpolate($N$1,E12,TRUE)</f>
        <v>2.7961251299761744E-3</v>
      </c>
      <c r="O12" s="446" t="e">
        <f t="shared" si="6"/>
        <v>#NUM!</v>
      </c>
      <c r="P12" s="454" t="e">
        <f t="shared" si="8"/>
        <v>#NUM!</v>
      </c>
      <c r="R12" s="422">
        <f>_xll.qlCalendarAdvance(Calendar,R11,"1D","f")</f>
        <v>42138</v>
      </c>
      <c r="S12" s="448">
        <f>_xll.qlCalendarAdvance(Calendar,R12,$F$1,"mf",,Trigger)</f>
        <v>42324</v>
      </c>
      <c r="T12" s="449">
        <f>_xll.qlDayCounterYearFraction(DayCounter,R12,S12,,,Trigger)</f>
        <v>0.50958904109589043</v>
      </c>
      <c r="U12" s="423">
        <f>_xll.qlInterpolationInterpolate(B6Minterpolation,R12,TRUE)</f>
        <v>2.5064760089802359E-3</v>
      </c>
      <c r="V12" s="345">
        <f>_xll.qlYieldTSDiscount(Discounting,R12,,AllTriggers)</f>
        <v>0.99982455133558079</v>
      </c>
      <c r="W12" s="345">
        <f>_xll.qlYieldTSDiscount(Discounting,S12,,AllTriggers)</f>
        <v>0.9974854940722071</v>
      </c>
      <c r="X12" s="32">
        <f t="shared" si="1"/>
        <v>4.6016563822042795E-3</v>
      </c>
      <c r="Y12" s="451">
        <f t="shared" si="2"/>
        <v>1.2734733561709987E-3</v>
      </c>
    </row>
    <row r="13" spans="1:25" ht="11.25" customHeight="1" x14ac:dyDescent="0.2">
      <c r="A13" s="30">
        <f t="shared" si="9"/>
        <v>9</v>
      </c>
      <c r="B13" s="30" t="s">
        <v>35</v>
      </c>
      <c r="C13" s="30">
        <f t="shared" si="7"/>
        <v>15</v>
      </c>
      <c r="D13" s="220" t="str">
        <f t="shared" si="3"/>
        <v>GBP9x15F_Quote</v>
      </c>
      <c r="E13" s="221">
        <f>_xll.qlCalendarAdvance("target",$E$4,A13&amp;"M","mf",,Trigger)</f>
        <v>42398</v>
      </c>
      <c r="F13" s="221">
        <f>_xll.qlCalendarAdvance(Calendar,E13,$F$1,"mf",,Trigger)</f>
        <v>42580</v>
      </c>
      <c r="G13" s="342">
        <f>_xll.qlDayCounterYearFraction(DayCounter,E13,F13,,,Trigger)</f>
        <v>0.49863013698630138</v>
      </c>
      <c r="H13" s="32">
        <f>_xll.qlQuoteValue(D13,AllTriggers)</f>
        <v>9.6500000000000006E-3</v>
      </c>
      <c r="I13" s="345">
        <f>_xll.qlYieldTSDiscount(Discounting,E13,,AllTriggers)</f>
        <v>0.99641896578409539</v>
      </c>
      <c r="J13" s="345">
        <f>_xll.qlYieldTSDiscount(Discounting,F13,,AllTriggers)</f>
        <v>0.99305972904333162</v>
      </c>
      <c r="K13" s="32">
        <f t="shared" si="4"/>
        <v>6.7840137196449038E-3</v>
      </c>
      <c r="L13" s="32">
        <f t="shared" si="5"/>
        <v>2.8659862803550968E-3</v>
      </c>
      <c r="M13" s="332" t="b">
        <v>1</v>
      </c>
      <c r="N13" s="32">
        <f>_xll.qlInterpolationInterpolate($N$1,E13,TRUE)</f>
        <v>2.8659862803550968E-3</v>
      </c>
      <c r="O13" s="446">
        <f t="shared" si="6"/>
        <v>0</v>
      </c>
      <c r="P13" s="454">
        <f t="shared" si="8"/>
        <v>1.4232360229114399E-3</v>
      </c>
      <c r="R13" s="422">
        <f>_xll.qlCalendarAdvance(Calendar,R12,"1D","f")</f>
        <v>42139</v>
      </c>
      <c r="S13" s="448">
        <f>_xll.qlCalendarAdvance(Calendar,R13,$F$1,"mf",,Trigger)</f>
        <v>42324</v>
      </c>
      <c r="T13" s="449">
        <f>_xll.qlDayCounterYearFraction(DayCounter,R13,S13,,,Trigger)</f>
        <v>0.50684931506849318</v>
      </c>
      <c r="U13" s="423">
        <f>_xll.qlInterpolationInterpolate(B6Minterpolation,R13,TRUE)</f>
        <v>2.511041218215031E-3</v>
      </c>
      <c r="V13" s="345">
        <f>_xll.qlYieldTSDiscount(Discounting,R13,,AllTriggers)</f>
        <v>0.99981204133041413</v>
      </c>
      <c r="W13" s="345">
        <f>_xll.qlYieldTSDiscount(Discounting,S13,,AllTriggers)</f>
        <v>0.9974854940722071</v>
      </c>
      <c r="X13" s="32">
        <f t="shared" si="1"/>
        <v>4.6017860791614743E-3</v>
      </c>
      <c r="Y13" s="451">
        <f t="shared" si="2"/>
        <v>1.2689524619528946E-3</v>
      </c>
    </row>
    <row r="14" spans="1:25" ht="11.25" customHeight="1" x14ac:dyDescent="0.2">
      <c r="A14" s="30">
        <f t="shared" si="9"/>
        <v>10</v>
      </c>
      <c r="B14" s="30" t="s">
        <v>35</v>
      </c>
      <c r="C14" s="30">
        <f t="shared" si="7"/>
        <v>16</v>
      </c>
      <c r="D14" s="220" t="str">
        <f t="shared" si="3"/>
        <v>GBP10x16F_Quote</v>
      </c>
      <c r="E14" s="221">
        <f>_xll.qlCalendarAdvance("target",$E$4,A14&amp;"M","mf",,Trigger)</f>
        <v>42429</v>
      </c>
      <c r="F14" s="221">
        <f>_xll.qlCalendarAdvance(Calendar,E14,$F$1,"mf",,Trigger)</f>
        <v>42612</v>
      </c>
      <c r="G14" s="342">
        <f>_xll.qlDayCounterYearFraction(DayCounter,E14,F14,,,Trigger)</f>
        <v>0.50136986301369868</v>
      </c>
      <c r="H14" s="32" t="e">
        <f>_xll.qlQuoteValue(D14,AllTriggers)</f>
        <v>#NUM!</v>
      </c>
      <c r="I14" s="345">
        <f>_xll.qlYieldTSDiscount(Discounting,E14,,AllTriggers)</f>
        <v>0.9959118161014725</v>
      </c>
      <c r="J14" s="345">
        <f>_xll.qlYieldTSDiscount(Discounting,F14,,AllTriggers)</f>
        <v>0.99234953577156204</v>
      </c>
      <c r="K14" s="32">
        <f t="shared" si="4"/>
        <v>7.1598709839318384E-3</v>
      </c>
      <c r="L14" s="32" t="e">
        <f t="shared" si="5"/>
        <v>#NUM!</v>
      </c>
      <c r="M14" s="332" t="b">
        <v>0</v>
      </c>
      <c r="N14" s="32">
        <f>_xll.qlInterpolationInterpolate($N$1,E14,TRUE)</f>
        <v>2.9228738311313659E-3</v>
      </c>
      <c r="O14" s="446" t="e">
        <f t="shared" si="6"/>
        <v>#NUM!</v>
      </c>
      <c r="P14" s="454" t="e">
        <f t="shared" si="8"/>
        <v>#NUM!</v>
      </c>
      <c r="R14" s="422">
        <f>_xll.qlCalendarAdvance(Calendar,R13,"1D","f")</f>
        <v>42142</v>
      </c>
      <c r="S14" s="448">
        <f>_xll.qlCalendarAdvance(Calendar,R14,$F$1,"mf",,Trigger)</f>
        <v>42326</v>
      </c>
      <c r="T14" s="449">
        <f>_xll.qlDayCounterYearFraction(DayCounter,R14,S14,,,Trigger)</f>
        <v>0.50410958904109593</v>
      </c>
      <c r="U14" s="423">
        <f>_xll.qlInterpolationInterpolate(B6Minterpolation,R14,TRUE)</f>
        <v>2.5236937626780089E-3</v>
      </c>
      <c r="V14" s="345">
        <f>_xll.qlYieldTSDiscount(Discounting,R14,,AllTriggers)</f>
        <v>0.99977455757823119</v>
      </c>
      <c r="W14" s="345">
        <f>_xll.qlYieldTSDiscount(Discounting,S14,,AllTriggers)</f>
        <v>0.9974575482277418</v>
      </c>
      <c r="X14" s="32">
        <f t="shared" si="1"/>
        <v>4.6079568827553548E-3</v>
      </c>
      <c r="Y14" s="451">
        <f t="shared" si="2"/>
        <v>1.2684649773807663E-3</v>
      </c>
    </row>
    <row r="15" spans="1:25" ht="11.25" customHeight="1" x14ac:dyDescent="0.2">
      <c r="A15" s="30">
        <f t="shared" si="9"/>
        <v>11</v>
      </c>
      <c r="B15" s="30" t="s">
        <v>35</v>
      </c>
      <c r="C15" s="30">
        <f t="shared" si="7"/>
        <v>17</v>
      </c>
      <c r="D15" s="220" t="str">
        <f t="shared" si="3"/>
        <v>GBP11x17F_Quote</v>
      </c>
      <c r="E15" s="221">
        <f>_xll.qlCalendarAdvance("target",$E$4,A15&amp;"M","mf",,Trigger)</f>
        <v>42459</v>
      </c>
      <c r="F15" s="221">
        <f>_xll.qlCalendarAdvance(Calendar,E15,$F$1,"mf",,Trigger)</f>
        <v>42643</v>
      </c>
      <c r="G15" s="342">
        <f>_xll.qlDayCounterYearFraction(DayCounter,E15,F15,,,Trigger)</f>
        <v>0.50410958904109593</v>
      </c>
      <c r="H15" s="32" t="e">
        <f>_xll.qlQuoteValue(D15,AllTriggers)</f>
        <v>#NUM!</v>
      </c>
      <c r="I15" s="345">
        <f>_xll.qlYieldTSDiscount(Discounting,E15,,AllTriggers)</f>
        <v>0.99539019524315053</v>
      </c>
      <c r="J15" s="345">
        <f>_xll.qlYieldTSDiscount(Discounting,F15,,AllTriggers)</f>
        <v>0.99162689720121766</v>
      </c>
      <c r="K15" s="32">
        <f t="shared" si="4"/>
        <v>7.5282729670674061E-3</v>
      </c>
      <c r="L15" s="32" t="e">
        <f t="shared" si="5"/>
        <v>#NUM!</v>
      </c>
      <c r="M15" s="332" t="b">
        <v>0</v>
      </c>
      <c r="N15" s="32">
        <f>_xll.qlInterpolationInterpolate($N$1,E15,TRUE)</f>
        <v>2.9645517566409306E-3</v>
      </c>
      <c r="O15" s="446" t="e">
        <f t="shared" si="6"/>
        <v>#NUM!</v>
      </c>
      <c r="P15" s="454" t="e">
        <f t="shared" si="8"/>
        <v>#NUM!</v>
      </c>
      <c r="R15" s="422">
        <f>_xll.qlCalendarAdvance(Calendar,R14,"1D","f")</f>
        <v>42143</v>
      </c>
      <c r="S15" s="448">
        <f>_xll.qlCalendarAdvance(Calendar,R15,$F$1,"mf",,Trigger)</f>
        <v>42327</v>
      </c>
      <c r="T15" s="449">
        <f>_xll.qlDayCounterYearFraction(DayCounter,R15,S15,,,Trigger)</f>
        <v>0.50410958904109593</v>
      </c>
      <c r="U15" s="423">
        <f>_xll.qlInterpolationInterpolate(B6Minterpolation,R15,TRUE)</f>
        <v>2.5275265943177738E-3</v>
      </c>
      <c r="V15" s="345">
        <f>_xll.qlYieldTSDiscount(Discounting,R15,,AllTriggers)</f>
        <v>0.99976207772681236</v>
      </c>
      <c r="W15" s="345">
        <f>_xll.qlYieldTSDiscount(Discounting,S15,,AllTriggers)</f>
        <v>0.99744354082746023</v>
      </c>
      <c r="X15" s="32">
        <f t="shared" si="1"/>
        <v>4.6110595521367051E-3</v>
      </c>
      <c r="Y15" s="451">
        <f t="shared" si="2"/>
        <v>1.2703882400630375E-3</v>
      </c>
    </row>
    <row r="16" spans="1:25" ht="11.25" customHeight="1" x14ac:dyDescent="0.2">
      <c r="A16" s="30">
        <f t="shared" si="9"/>
        <v>12</v>
      </c>
      <c r="B16" s="30" t="s">
        <v>35</v>
      </c>
      <c r="C16" s="30">
        <f t="shared" si="7"/>
        <v>18</v>
      </c>
      <c r="D16" s="220" t="str">
        <f t="shared" si="3"/>
        <v>GBP12x18F_Quote</v>
      </c>
      <c r="E16" s="221">
        <f>_xll.qlCalendarAdvance("target",$E$4,A16&amp;"M","mf",,Trigger)</f>
        <v>42489</v>
      </c>
      <c r="F16" s="221">
        <f>_xll.qlCalendarAdvance(Calendar,E16,$F$1,"mf",,Trigger)</f>
        <v>42674</v>
      </c>
      <c r="G16" s="342">
        <f>_xll.qlDayCounterYearFraction(DayCounter,E16,F16,,,Trigger)</f>
        <v>0.50684931506849318</v>
      </c>
      <c r="H16" s="32">
        <f>_xll.qlQuoteValue(D16,AllTriggers)</f>
        <v>1.0950000000000001E-2</v>
      </c>
      <c r="I16" s="345">
        <f>_xll.qlYieldTSDiscount(Discounting,E16,,AllTriggers)</f>
        <v>0.99486401452501472</v>
      </c>
      <c r="J16" s="345">
        <f>_xll.qlYieldTSDiscount(Discounting,F16,,AllTriggers)</f>
        <v>0.99087119006892999</v>
      </c>
      <c r="K16" s="32">
        <f t="shared" si="4"/>
        <v>7.9503116213647165E-3</v>
      </c>
      <c r="L16" s="32">
        <f t="shared" si="5"/>
        <v>2.9996883786352849E-3</v>
      </c>
      <c r="M16" s="332" t="b">
        <v>1</v>
      </c>
      <c r="N16" s="32">
        <f>_xll.qlInterpolationInterpolate($N$1,E16,TRUE)</f>
        <v>2.9996883786352849E-3</v>
      </c>
      <c r="O16" s="446">
        <f t="shared" si="6"/>
        <v>0</v>
      </c>
      <c r="P16" s="454">
        <f t="shared" si="8"/>
        <v>1.5131426320759082E-3</v>
      </c>
      <c r="R16" s="422">
        <f>_xll.qlCalendarAdvance(Calendar,R15,"1D","f")</f>
        <v>42144</v>
      </c>
      <c r="S16" s="448">
        <f>_xll.qlCalendarAdvance(Calendar,R16,$F$1,"mf",,Trigger)</f>
        <v>42328</v>
      </c>
      <c r="T16" s="449">
        <f>_xll.qlDayCounterYearFraction(DayCounter,R16,S16,,,Trigger)</f>
        <v>0.50410958904109593</v>
      </c>
      <c r="U16" s="423">
        <f>_xll.qlInterpolationInterpolate(B6Minterpolation,R16,TRUE)</f>
        <v>2.5311485899832116E-3</v>
      </c>
      <c r="V16" s="345">
        <f>_xll.qlYieldTSDiscount(Discounting,R16,,AllTriggers)</f>
        <v>0.99974960489750886</v>
      </c>
      <c r="W16" s="345">
        <f>_xll.qlYieldTSDiscount(Discounting,S16,,AllTriggers)</f>
        <v>0.9974295124237883</v>
      </c>
      <c r="X16" s="32">
        <f t="shared" si="1"/>
        <v>4.614218143171667E-3</v>
      </c>
      <c r="Y16" s="451">
        <f t="shared" si="2"/>
        <v>1.272205554319469E-3</v>
      </c>
    </row>
    <row r="17" spans="1:25" ht="11.25" customHeight="1" x14ac:dyDescent="0.2">
      <c r="A17" s="30">
        <f t="shared" si="9"/>
        <v>13</v>
      </c>
      <c r="B17" s="30" t="s">
        <v>35</v>
      </c>
      <c r="C17" s="30">
        <f t="shared" si="7"/>
        <v>19</v>
      </c>
      <c r="D17" s="220" t="str">
        <f t="shared" si="3"/>
        <v>GBP13x19F_Quote</v>
      </c>
      <c r="E17" s="221">
        <f>_xll.qlCalendarAdvance("target",$E$4,A17&amp;"M","mf",,Trigger)</f>
        <v>42520</v>
      </c>
      <c r="F17" s="221">
        <f>_xll.qlCalendarAdvance(Calendar,E17,$F$1,"mf",,Trigger)</f>
        <v>42704</v>
      </c>
      <c r="G17" s="342">
        <f>_xll.qlDayCounterYearFraction(DayCounter,E17,F17,,,Trigger)</f>
        <v>0.50410958904109593</v>
      </c>
      <c r="H17" s="32" t="e">
        <f>_xll.qlQuoteValue(D17,AllTriggers)</f>
        <v>#NUM!</v>
      </c>
      <c r="I17" s="345">
        <f>_xll.qlYieldTSDiscount(Discounting,E17,,AllTriggers)</f>
        <v>0.99428757774897314</v>
      </c>
      <c r="J17" s="345">
        <f>_xll.qlYieldTSDiscount(Discounting,F17,,AllTriggers)</f>
        <v>0.99010941508561501</v>
      </c>
      <c r="K17" s="32">
        <f t="shared" si="4"/>
        <v>8.3709971676838545E-3</v>
      </c>
      <c r="L17" s="32" t="e">
        <f t="shared" si="5"/>
        <v>#NUM!</v>
      </c>
      <c r="M17" s="332" t="b">
        <v>0</v>
      </c>
      <c r="N17" s="32">
        <f>_xll.qlInterpolationInterpolate($N$1,E17,TRUE)</f>
        <v>3.0360725769488788E-3</v>
      </c>
      <c r="O17" s="446" t="e">
        <f t="shared" si="6"/>
        <v>#NUM!</v>
      </c>
      <c r="P17" s="454" t="e">
        <f t="shared" si="8"/>
        <v>#NUM!</v>
      </c>
      <c r="R17" s="422">
        <f>_xll.qlCalendarAdvance(Calendar,R16,"1D","f")</f>
        <v>42145</v>
      </c>
      <c r="S17" s="448">
        <f>_xll.qlCalendarAdvance(Calendar,R17,$F$1,"mf",,Trigger)</f>
        <v>42331</v>
      </c>
      <c r="T17" s="449">
        <f>_xll.qlDayCounterYearFraction(DayCounter,R17,S17,,,Trigger)</f>
        <v>0.50958904109589043</v>
      </c>
      <c r="U17" s="423">
        <f>_xll.qlInterpolationInterpolate(B6Minterpolation,R17,TRUE)</f>
        <v>2.5345486530440947E-3</v>
      </c>
      <c r="V17" s="345">
        <f>_xll.qlYieldTSDiscount(Discounting,R17,,AllTriggers)</f>
        <v>0.99973713888381299</v>
      </c>
      <c r="W17" s="345">
        <f>_xll.qlYieldTSDiscount(Discounting,S17,,AllTriggers)</f>
        <v>0.99738731605580733</v>
      </c>
      <c r="X17" s="32">
        <f t="shared" si="1"/>
        <v>4.6232906608382083E-3</v>
      </c>
      <c r="Y17" s="451">
        <f t="shared" si="2"/>
        <v>1.2877129813897441E-3</v>
      </c>
    </row>
    <row r="18" spans="1:25" ht="11.25" customHeight="1" x14ac:dyDescent="0.2">
      <c r="A18" s="30">
        <f t="shared" si="9"/>
        <v>14</v>
      </c>
      <c r="B18" s="30" t="s">
        <v>35</v>
      </c>
      <c r="C18" s="30">
        <f t="shared" si="7"/>
        <v>20</v>
      </c>
      <c r="D18" s="220" t="str">
        <f t="shared" si="3"/>
        <v>GBP14x20F_Quote</v>
      </c>
      <c r="E18" s="221">
        <f>_xll.qlCalendarAdvance("target",$E$4,A18&amp;"M","mf",,Trigger)</f>
        <v>42551</v>
      </c>
      <c r="F18" s="221">
        <f>_xll.qlCalendarAdvance(Calendar,E18,$F$1,"mf",,Trigger)</f>
        <v>42734</v>
      </c>
      <c r="G18" s="342">
        <f>_xll.qlDayCounterYearFraction(DayCounter,E18,F18,,,Trigger)</f>
        <v>0.50136986301369868</v>
      </c>
      <c r="H18" s="32" t="e">
        <f>_xll.qlQuoteValue(D18,AllTriggers)</f>
        <v>#NUM!</v>
      </c>
      <c r="I18" s="345">
        <f>_xll.qlYieldTSDiscount(Discounting,E18,,AllTriggers)</f>
        <v>0.99367081887879238</v>
      </c>
      <c r="J18" s="345">
        <f>_xll.qlYieldTSDiscount(Discounting,F18,,AllTriggers)</f>
        <v>0.98931906417181903</v>
      </c>
      <c r="K18" s="32">
        <f t="shared" si="4"/>
        <v>8.7734378603596709E-3</v>
      </c>
      <c r="L18" s="32" t="e">
        <f t="shared" si="5"/>
        <v>#NUM!</v>
      </c>
      <c r="M18" s="332" t="b">
        <v>0</v>
      </c>
      <c r="N18" s="32">
        <f>_xll.qlInterpolationInterpolate($N$1,E18,TRUE)</f>
        <v>3.0796742557447549E-3</v>
      </c>
      <c r="O18" s="446" t="e">
        <f t="shared" si="6"/>
        <v>#NUM!</v>
      </c>
      <c r="P18" s="454" t="e">
        <f t="shared" si="8"/>
        <v>#NUM!</v>
      </c>
      <c r="R18" s="422">
        <f>_xll.qlCalendarAdvance(Calendar,R17,"1D","f")</f>
        <v>42146</v>
      </c>
      <c r="S18" s="448">
        <f>_xll.qlCalendarAdvance(Calendar,R18,$F$1,"mf",,Trigger)</f>
        <v>42331</v>
      </c>
      <c r="T18" s="449">
        <f>_xll.qlDayCounterYearFraction(DayCounter,R18,S18,,,Trigger)</f>
        <v>0.50684931506849318</v>
      </c>
      <c r="U18" s="423">
        <f>_xll.qlInterpolationInterpolate(B6Minterpolation,R18,TRUE)</f>
        <v>2.5377156868701956E-3</v>
      </c>
      <c r="V18" s="345">
        <f>_xll.qlYieldTSDiscount(Discounting,R18,,AllTriggers)</f>
        <v>0.99972467947922761</v>
      </c>
      <c r="W18" s="345">
        <f>_xll.qlYieldTSDiscount(Discounting,S18,,AllTriggers)</f>
        <v>0.99738731605580733</v>
      </c>
      <c r="X18" s="32">
        <f t="shared" si="1"/>
        <v>4.6236349592457902E-3</v>
      </c>
      <c r="Y18" s="451">
        <f t="shared" si="2"/>
        <v>1.2824095819287463E-3</v>
      </c>
    </row>
    <row r="19" spans="1:25" ht="11.25" customHeight="1" x14ac:dyDescent="0.2">
      <c r="A19" s="30">
        <f t="shared" si="9"/>
        <v>15</v>
      </c>
      <c r="B19" s="30" t="s">
        <v>35</v>
      </c>
      <c r="C19" s="30">
        <f t="shared" si="7"/>
        <v>21</v>
      </c>
      <c r="D19" s="220" t="str">
        <f t="shared" si="3"/>
        <v>GBP15x21F_Quote</v>
      </c>
      <c r="E19" s="221">
        <f>_xll.qlCalendarAdvance("target",$E$4,A19&amp;"M","mf",,Trigger)</f>
        <v>42580</v>
      </c>
      <c r="F19" s="221">
        <f>_xll.qlCalendarAdvance(Calendar,E19,$F$1,"mf",,Trigger)</f>
        <v>42765</v>
      </c>
      <c r="G19" s="342">
        <f>_xll.qlDayCounterYearFraction(DayCounter,E19,F19,,,Trigger)</f>
        <v>0.50684931506849318</v>
      </c>
      <c r="H19" s="32" t="e">
        <f>_xll.qlQuoteValue(D19,AllTriggers)</f>
        <v>#NUM!</v>
      </c>
      <c r="I19" s="345">
        <f>_xll.qlYieldTSDiscount(Discounting,E19,,AllTriggers)</f>
        <v>0.99305972904333162</v>
      </c>
      <c r="J19" s="345">
        <f>_xll.qlYieldTSDiscount(Discounting,F19,,AllTriggers)</f>
        <v>0.98847388344793663</v>
      </c>
      <c r="K19" s="32">
        <f t="shared" si="4"/>
        <v>9.1532508541163158E-3</v>
      </c>
      <c r="L19" s="32" t="e">
        <f t="shared" si="5"/>
        <v>#NUM!</v>
      </c>
      <c r="M19" s="332" t="b">
        <v>0</v>
      </c>
      <c r="N19" s="32">
        <f>_xll.qlInterpolationInterpolate($N$1,E19,TRUE)</f>
        <v>3.133390476915473E-3</v>
      </c>
      <c r="O19" s="446" t="e">
        <f t="shared" si="6"/>
        <v>#NUM!</v>
      </c>
      <c r="P19" s="454" t="e">
        <f t="shared" si="8"/>
        <v>#NUM!</v>
      </c>
      <c r="R19" s="422">
        <f>_xll.qlCalendarAdvance(Calendar,R18,"1D","f")</f>
        <v>42150</v>
      </c>
      <c r="S19" s="448">
        <f>_xll.qlCalendarAdvance(Calendar,R19,$F$1,"mf",,Trigger)</f>
        <v>42334</v>
      </c>
      <c r="T19" s="449">
        <f>_xll.qlDayCounterYearFraction(DayCounter,R19,S19,,,Trigger)</f>
        <v>0.50410958904109593</v>
      </c>
      <c r="U19" s="423">
        <f>_xll.qlInterpolationInterpolate(B6Minterpolation,R19,TRUE)</f>
        <v>2.5478315972222217E-3</v>
      </c>
      <c r="V19" s="345">
        <f>_xll.qlYieldTSDiscount(Discounting,R19,,AllTriggers)</f>
        <v>0.99967490382240831</v>
      </c>
      <c r="W19" s="345">
        <f>_xll.qlYieldTSDiscount(Discounting,S19,,AllTriggers)</f>
        <v>0.99734498416199369</v>
      </c>
      <c r="X19" s="32">
        <f t="shared" si="1"/>
        <v>4.6341552558790853E-3</v>
      </c>
      <c r="Y19" s="451">
        <f t="shared" si="2"/>
        <v>1.2805725661104463E-3</v>
      </c>
    </row>
    <row r="20" spans="1:25" ht="11.25" customHeight="1" x14ac:dyDescent="0.2">
      <c r="A20" s="30">
        <f t="shared" si="9"/>
        <v>16</v>
      </c>
      <c r="B20" s="30" t="s">
        <v>35</v>
      </c>
      <c r="C20" s="30">
        <f t="shared" si="7"/>
        <v>22</v>
      </c>
      <c r="D20" s="220" t="str">
        <f t="shared" si="3"/>
        <v>GBP16x22F_Quote</v>
      </c>
      <c r="E20" s="221">
        <f>_xll.qlCalendarAdvance("target",$E$4,A20&amp;"M","mf",,Trigger)</f>
        <v>42612</v>
      </c>
      <c r="F20" s="221">
        <f>_xll.qlCalendarAdvance(Calendar,E20,$F$1,"mf",,Trigger)</f>
        <v>42794</v>
      </c>
      <c r="G20" s="342">
        <f>_xll.qlDayCounterYearFraction(DayCounter,E20,F20,,,Trigger)</f>
        <v>0.49863013698630138</v>
      </c>
      <c r="H20" s="32" t="e">
        <f>_xll.qlQuoteValue(D20,AllTriggers)</f>
        <v>#NUM!</v>
      </c>
      <c r="I20" s="345">
        <f>_xll.qlYieldTSDiscount(Discounting,E20,,AllTriggers)</f>
        <v>0.99234953577156204</v>
      </c>
      <c r="J20" s="345">
        <f>_xll.qlYieldTSDiscount(Discounting,F20,,AllTriggers)</f>
        <v>0.98765841578040381</v>
      </c>
      <c r="K20" s="32">
        <f t="shared" si="4"/>
        <v>9.5255760661439471E-3</v>
      </c>
      <c r="L20" s="32" t="e">
        <f t="shared" si="5"/>
        <v>#NUM!</v>
      </c>
      <c r="M20" s="332" t="b">
        <v>0</v>
      </c>
      <c r="N20" s="32">
        <f>_xll.qlInterpolationInterpolate($N$1,E20,TRUE)</f>
        <v>3.2144175013387104E-3</v>
      </c>
      <c r="O20" s="446" t="e">
        <f t="shared" si="6"/>
        <v>#NUM!</v>
      </c>
      <c r="P20" s="454" t="e">
        <f t="shared" si="8"/>
        <v>#NUM!</v>
      </c>
      <c r="R20" s="422">
        <f>_xll.qlCalendarAdvance(Calendar,R19,"1D","f")</f>
        <v>42151</v>
      </c>
      <c r="S20" s="448">
        <f>_xll.qlCalendarAdvance(Calendar,R20,$F$1,"mf",,Trigger)</f>
        <v>42335</v>
      </c>
      <c r="T20" s="449">
        <f>_xll.qlDayCounterYearFraction(DayCounter,R20,S20,,,Trigger)</f>
        <v>0.50410958904109593</v>
      </c>
      <c r="U20" s="423">
        <f>_xll.qlInterpolationInterpolate(B6Minterpolation,R20,TRUE)</f>
        <v>2.5496670354209949E-3</v>
      </c>
      <c r="V20" s="345">
        <f>_xll.qlYieldTSDiscount(Discounting,R20,,AllTriggers)</f>
        <v>0.99966247436627964</v>
      </c>
      <c r="W20" s="345">
        <f>_xll.qlYieldTSDiscount(Discounting,S20,,AllTriggers)</f>
        <v>0.99733085034856372</v>
      </c>
      <c r="X20" s="32">
        <f t="shared" si="1"/>
        <v>4.6376109039750618E-3</v>
      </c>
      <c r="Y20" s="451">
        <f t="shared" si="2"/>
        <v>1.2814922640848705E-3</v>
      </c>
    </row>
    <row r="21" spans="1:25" ht="11.25" customHeight="1" x14ac:dyDescent="0.2">
      <c r="A21" s="30">
        <f t="shared" si="9"/>
        <v>17</v>
      </c>
      <c r="B21" s="30" t="s">
        <v>35</v>
      </c>
      <c r="C21" s="30">
        <f t="shared" si="7"/>
        <v>23</v>
      </c>
      <c r="D21" s="220" t="str">
        <f t="shared" si="3"/>
        <v>GBP17x23F_Quote</v>
      </c>
      <c r="E21" s="221">
        <f>_xll.qlCalendarAdvance("target",$E$4,A21&amp;"M","mf",,Trigger)</f>
        <v>42643</v>
      </c>
      <c r="F21" s="221">
        <f>_xll.qlCalendarAdvance(Calendar,E21,$F$1,"mf",,Trigger)</f>
        <v>42824</v>
      </c>
      <c r="G21" s="342">
        <f>_xll.qlDayCounterYearFraction(DayCounter,E21,F21,,,Trigger)</f>
        <v>0.49589041095890413</v>
      </c>
      <c r="H21" s="32" t="e">
        <f>_xll.qlQuoteValue(D21,AllTriggers)</f>
        <v>#NUM!</v>
      </c>
      <c r="I21" s="345">
        <f>_xll.qlYieldTSDiscount(Discounting,E21,,AllTriggers)</f>
        <v>0.99162689720121766</v>
      </c>
      <c r="J21" s="345">
        <f>_xll.qlYieldTSDiscount(Discounting,F21,,AllTriggers)</f>
        <v>0.98679100292827637</v>
      </c>
      <c r="K21" s="32">
        <f t="shared" si="4"/>
        <v>9.8824791274895376E-3</v>
      </c>
      <c r="L21" s="32" t="e">
        <f t="shared" si="5"/>
        <v>#NUM!</v>
      </c>
      <c r="M21" s="332" t="b">
        <v>0</v>
      </c>
      <c r="N21" s="32">
        <f>_xll.qlInterpolationInterpolate($N$1,E21,TRUE)</f>
        <v>3.3219325608882001E-3</v>
      </c>
      <c r="O21" s="446" t="e">
        <f t="shared" si="6"/>
        <v>#NUM!</v>
      </c>
      <c r="P21" s="454" t="e">
        <f t="shared" si="8"/>
        <v>#NUM!</v>
      </c>
      <c r="R21" s="422">
        <f>_xll.qlCalendarAdvance(Calendar,R20,"1D","f")</f>
        <v>42152</v>
      </c>
      <c r="S21" s="448">
        <f>_xll.qlCalendarAdvance(Calendar,R21,$F$1,"mf",,Trigger)</f>
        <v>42338</v>
      </c>
      <c r="T21" s="449">
        <f>_xll.qlDayCounterYearFraction(DayCounter,R21,S21,,,Trigger)</f>
        <v>0.50958904109589043</v>
      </c>
      <c r="U21" s="423">
        <f>_xll.qlInterpolationInterpolate(B6Minterpolation,R21,TRUE)</f>
        <v>2.5512028646036198E-3</v>
      </c>
      <c r="V21" s="345">
        <f>_xll.qlYieldTSDiscount(Discounting,R21,,AllTriggers)</f>
        <v>0.99965005028049581</v>
      </c>
      <c r="W21" s="345">
        <f>_xll.qlYieldTSDiscount(Discounting,S21,,AllTriggers)</f>
        <v>0.99728840016294806</v>
      </c>
      <c r="X21" s="32">
        <f t="shared" si="1"/>
        <v>4.6470217931336242E-3</v>
      </c>
      <c r="Y21" s="451">
        <f t="shared" si="2"/>
        <v>1.2961532781738097E-3</v>
      </c>
    </row>
    <row r="22" spans="1:25" ht="11.25" customHeight="1" thickBot="1" x14ac:dyDescent="0.25">
      <c r="A22" s="30">
        <f t="shared" si="9"/>
        <v>18</v>
      </c>
      <c r="B22" s="30" t="s">
        <v>35</v>
      </c>
      <c r="C22" s="30">
        <f t="shared" si="7"/>
        <v>24</v>
      </c>
      <c r="D22" s="222" t="str">
        <f t="shared" si="3"/>
        <v>GBP18x24F_Quote</v>
      </c>
      <c r="E22" s="223">
        <f>_xll.qlCalendarAdvance("target",$E$4,A22&amp;"M","mf",,Trigger)</f>
        <v>42674</v>
      </c>
      <c r="F22" s="223">
        <f>_xll.qlCalendarAdvance(Calendar,E22,$F$1,"mf",,Trigger)</f>
        <v>42853</v>
      </c>
      <c r="G22" s="343">
        <f>_xll.qlDayCounterYearFraction(DayCounter,E22,F22,,,Trigger)</f>
        <v>0.49041095890410957</v>
      </c>
      <c r="H22" s="224" t="e">
        <f>_xll.qlQuoteValue(D22,AllTriggers)</f>
        <v>#NUM!</v>
      </c>
      <c r="I22" s="346">
        <f>_xll.qlYieldTSDiscount(Discounting,E22,,AllTriggers)</f>
        <v>0.99087119006892999</v>
      </c>
      <c r="J22" s="346">
        <f>_xll.qlYieldTSDiscount(Discounting,F22,,AllTriggers)</f>
        <v>0.98593080896281582</v>
      </c>
      <c r="K22" s="224">
        <f t="shared" si="4"/>
        <v>1.0217716478460738E-2</v>
      </c>
      <c r="L22" s="224" t="e">
        <f t="shared" si="5"/>
        <v>#NUM!</v>
      </c>
      <c r="M22" s="333" t="b">
        <v>0</v>
      </c>
      <c r="N22" s="224">
        <f>_xll.qlInterpolationInterpolate($N$1,E22,TRUE)</f>
        <v>3.4653022008980603E-3</v>
      </c>
      <c r="O22" s="446" t="e">
        <f t="shared" si="6"/>
        <v>#NUM!</v>
      </c>
      <c r="P22" s="455" t="e">
        <f t="shared" si="8"/>
        <v>#NUM!</v>
      </c>
      <c r="R22" s="422">
        <f>_xll.qlCalendarAdvance(Calendar,R21,"1D","f")</f>
        <v>42153</v>
      </c>
      <c r="S22" s="448">
        <f>_xll.qlCalendarAdvance(Calendar,R22,$F$1,"mf",,Trigger)</f>
        <v>42338</v>
      </c>
      <c r="T22" s="449">
        <f>_xll.qlDayCounterYearFraction(DayCounter,R22,S22,,,Trigger)</f>
        <v>0.50684931506849318</v>
      </c>
      <c r="U22" s="423">
        <f>_xll.qlInterpolationInterpolate(B6Minterpolation,R22,TRUE)</f>
        <v>2.552427988139868E-3</v>
      </c>
      <c r="V22" s="345">
        <f>_xll.qlYieldTSDiscount(Discounting,R22,,AllTriggers)</f>
        <v>0.99963763135863237</v>
      </c>
      <c r="W22" s="345">
        <f>_xll.qlYieldTSDiscount(Discounting,S22,,AllTriggers)</f>
        <v>0.99728840016294806</v>
      </c>
      <c r="X22" s="32">
        <f t="shared" si="1"/>
        <v>4.6475720118601318E-3</v>
      </c>
      <c r="Y22" s="451">
        <f t="shared" si="2"/>
        <v>1.2898239033542172E-3</v>
      </c>
    </row>
    <row r="23" spans="1:25" ht="11.25" customHeight="1" x14ac:dyDescent="0.2">
      <c r="E23" s="155"/>
      <c r="F23" s="155"/>
      <c r="G23" s="155"/>
      <c r="H23" s="33"/>
      <c r="I23" s="225"/>
      <c r="J23" s="31"/>
      <c r="K23" s="33"/>
      <c r="L23" s="33"/>
      <c r="O23" s="225"/>
      <c r="P23" s="225"/>
      <c r="R23" s="422">
        <f>_xll.qlCalendarAdvance(Calendar,R22,"1D","f")</f>
        <v>42156</v>
      </c>
      <c r="S23" s="448">
        <f>_xll.qlCalendarAdvance(Calendar,R23,$F$1,"mf",,Trigger)</f>
        <v>42339</v>
      </c>
      <c r="T23" s="449">
        <f>_xll.qlDayCounterYearFraction(DayCounter,R23,S23,,,Trigger)</f>
        <v>0.50136986301369868</v>
      </c>
      <c r="U23" s="423">
        <f>_xll.qlInterpolationInterpolate(B6Minterpolation,R23,TRUE)</f>
        <v>2.5542720555614645E-3</v>
      </c>
      <c r="V23" s="345">
        <f>_xll.qlYieldTSDiscount(Discounting,R23,,AllTriggers)</f>
        <v>0.99960040395345373</v>
      </c>
      <c r="W23" s="345">
        <f>_xll.qlYieldTSDiscount(Discounting,S23,,AllTriggers)</f>
        <v>0.99727423854253228</v>
      </c>
      <c r="X23" s="32">
        <f t="shared" si="1"/>
        <v>4.6523005971006092E-3</v>
      </c>
      <c r="Y23" s="451">
        <f t="shared" si="2"/>
        <v>1.2768393643896754E-3</v>
      </c>
    </row>
    <row r="24" spans="1:25" ht="11.25" customHeight="1" x14ac:dyDescent="0.2">
      <c r="E24" s="155"/>
      <c r="F24" s="155"/>
      <c r="G24" s="155"/>
      <c r="H24" s="33"/>
      <c r="K24" s="33"/>
      <c r="L24" s="33"/>
      <c r="P24" s="31"/>
      <c r="R24" s="422">
        <f>_xll.qlCalendarAdvance(Calendar,R23,"1D","f")</f>
        <v>42157</v>
      </c>
      <c r="S24" s="448">
        <f>_xll.qlCalendarAdvance(Calendar,R24,$F$1,"mf",,Trigger)</f>
        <v>42340</v>
      </c>
      <c r="T24" s="449">
        <f>_xll.qlDayCounterYearFraction(DayCounter,R24,S24,,,Trigger)</f>
        <v>0.50136986301369868</v>
      </c>
      <c r="U24" s="423">
        <f>_xll.qlInterpolationInterpolate(B6Minterpolation,R24,TRUE)</f>
        <v>2.554340582386053E-3</v>
      </c>
      <c r="V24" s="345">
        <f>_xll.qlYieldTSDiscount(Discounting,R24,,AllTriggers)</f>
        <v>0.99958800422752669</v>
      </c>
      <c r="W24" s="345">
        <f>_xll.qlYieldTSDiscount(Discounting,S24,,AllTriggers)</f>
        <v>0.99726007217662882</v>
      </c>
      <c r="X24" s="32">
        <f t="shared" si="1"/>
        <v>4.6558999915566014E-3</v>
      </c>
      <c r="Y24" s="451">
        <f t="shared" si="2"/>
        <v>1.2768713005342168E-3</v>
      </c>
    </row>
    <row r="25" spans="1:25" ht="11.25" customHeight="1" x14ac:dyDescent="0.2">
      <c r="E25" s="155"/>
      <c r="F25" s="155"/>
      <c r="G25" s="155"/>
      <c r="H25" s="33"/>
      <c r="K25" s="33"/>
      <c r="L25" s="33"/>
      <c r="R25" s="422">
        <f>_xll.qlCalendarAdvance(Calendar,R24,"1D","f")</f>
        <v>42158</v>
      </c>
      <c r="S25" s="448">
        <f>_xll.qlCalendarAdvance(Calendar,R25,$F$1,"mf",,Trigger)</f>
        <v>42341</v>
      </c>
      <c r="T25" s="449">
        <f>_xll.qlDayCounterYearFraction(DayCounter,R25,S25,,,Trigger)</f>
        <v>0.50136986301369868</v>
      </c>
      <c r="U25" s="423">
        <f>_xll.qlInterpolationInterpolate(B6Minterpolation,R25,TRUE)</f>
        <v>2.5541708288516931E-3</v>
      </c>
      <c r="V25" s="345">
        <f>_xll.qlYieldTSDiscount(Discounting,R25,,AllTriggers)</f>
        <v>0.99957560902551046</v>
      </c>
      <c r="W25" s="345">
        <f>_xll.qlYieldTSDiscount(Discounting,S25,,AllTriggers)</f>
        <v>0.99724590097754451</v>
      </c>
      <c r="X25" s="32">
        <f t="shared" si="1"/>
        <v>4.6595182254508599E-3</v>
      </c>
      <c r="Y25" s="451">
        <f t="shared" si="2"/>
        <v>1.276784188474481E-3</v>
      </c>
    </row>
    <row r="26" spans="1:25" ht="11.25" customHeight="1" x14ac:dyDescent="0.2">
      <c r="E26" s="155"/>
      <c r="F26" s="155"/>
      <c r="G26" s="155"/>
      <c r="H26" s="33"/>
      <c r="K26" s="33"/>
      <c r="L26" s="33"/>
      <c r="R26" s="422">
        <f>_xll.qlCalendarAdvance(Calendar,R25,"1D","f")</f>
        <v>42159</v>
      </c>
      <c r="S26" s="448">
        <f>_xll.qlCalendarAdvance(Calendar,R26,$F$1,"mf",,Trigger)</f>
        <v>42342</v>
      </c>
      <c r="T26" s="449">
        <f>_xll.qlDayCounterYearFraction(DayCounter,R26,S26,,,Trigger)</f>
        <v>0.50136986301369868</v>
      </c>
      <c r="U26" s="423">
        <f>_xll.qlInterpolationInterpolate(B6Minterpolation,R26,TRUE)</f>
        <v>2.553783675437799E-3</v>
      </c>
      <c r="V26" s="345">
        <f>_xll.qlYieldTSDiscount(Discounting,R26,,AllTriggers)</f>
        <v>0.99956321823901995</v>
      </c>
      <c r="W26" s="345">
        <f>_xll.qlYieldTSDiscount(Discounting,S26,,AllTriggers)</f>
        <v>0.99723172485759104</v>
      </c>
      <c r="X26" s="32">
        <f t="shared" si="1"/>
        <v>4.6631552586539624E-3</v>
      </c>
      <c r="Y26" s="451">
        <f t="shared" si="2"/>
        <v>1.2765884599534986E-3</v>
      </c>
    </row>
    <row r="27" spans="1:25" ht="11.25" customHeight="1" x14ac:dyDescent="0.2">
      <c r="E27" s="155"/>
      <c r="F27" s="155"/>
      <c r="G27" s="155"/>
      <c r="H27" s="33"/>
      <c r="K27" s="33"/>
      <c r="L27" s="33"/>
      <c r="R27" s="422">
        <f>_xll.qlCalendarAdvance(Calendar,R26,"1D","f")</f>
        <v>42160</v>
      </c>
      <c r="S27" s="448">
        <f>_xll.qlCalendarAdvance(Calendar,R27,$F$1,"mf",,Trigger)</f>
        <v>42345</v>
      </c>
      <c r="T27" s="449">
        <f>_xll.qlDayCounterYearFraction(DayCounter,R27,S27,,,Trigger)</f>
        <v>0.50684931506849318</v>
      </c>
      <c r="U27" s="423">
        <f>_xll.qlInterpolationInterpolate(B6Minterpolation,R27,TRUE)</f>
        <v>2.5532000026237838E-3</v>
      </c>
      <c r="V27" s="345">
        <f>_xll.qlYieldTSDiscount(Discounting,R27,,AllTriggers)</f>
        <v>0.99955083175967552</v>
      </c>
      <c r="W27" s="345">
        <f>_xll.qlYieldTSDiscount(Discounting,S27,,AllTriggers)</f>
        <v>0.99718916609571007</v>
      </c>
      <c r="X27" s="32">
        <f t="shared" si="1"/>
        <v>4.6726365313871096E-3</v>
      </c>
      <c r="Y27" s="451">
        <f t="shared" si="2"/>
        <v>1.2901974340036972E-3</v>
      </c>
    </row>
    <row r="28" spans="1:25" ht="11.25" customHeight="1" x14ac:dyDescent="0.2">
      <c r="E28" s="155"/>
      <c r="F28" s="155"/>
      <c r="G28" s="155"/>
      <c r="H28" s="33"/>
      <c r="K28" s="33"/>
      <c r="L28" s="33"/>
      <c r="R28" s="422">
        <f>_xll.qlCalendarAdvance(Calendar,R27,"1D","f")</f>
        <v>42163</v>
      </c>
      <c r="S28" s="448">
        <f>_xll.qlCalendarAdvance(Calendar,R28,$F$1,"mf",,Trigger)</f>
        <v>42346</v>
      </c>
      <c r="T28" s="449">
        <f>_xll.qlDayCounterYearFraction(DayCounter,R28,S28,,,Trigger)</f>
        <v>0.50136986301369868</v>
      </c>
      <c r="U28" s="423">
        <f>_xll.qlInterpolationInterpolate(B6Minterpolation,R28,TRUE)</f>
        <v>2.5504786725751541E-3</v>
      </c>
      <c r="V28" s="345">
        <f>_xll.qlYieldTSDiscount(Discounting,R28,,AllTriggers)</f>
        <v>0.99951369708080307</v>
      </c>
      <c r="W28" s="345">
        <f>_xll.qlYieldTSDiscount(Discounting,S28,,AllTriggers)</f>
        <v>0.99717496941549955</v>
      </c>
      <c r="X28" s="32">
        <f t="shared" si="1"/>
        <v>4.6778905819747398E-3</v>
      </c>
      <c r="Y28" s="451">
        <f t="shared" si="2"/>
        <v>1.2749280128459223E-3</v>
      </c>
    </row>
    <row r="29" spans="1:25" ht="11.25" customHeight="1" x14ac:dyDescent="0.2">
      <c r="E29" s="155"/>
      <c r="F29" s="155"/>
      <c r="G29" s="155"/>
      <c r="H29" s="33"/>
      <c r="K29" s="33"/>
      <c r="L29" s="33"/>
      <c r="R29" s="422">
        <f>_xll.qlCalendarAdvance(Calendar,R28,"1D","f")</f>
        <v>42164</v>
      </c>
      <c r="S29" s="448">
        <f>_xll.qlCalendarAdvance(Calendar,R29,$F$1,"mf",,Trigger)</f>
        <v>42347</v>
      </c>
      <c r="T29" s="449">
        <f>_xll.qlDayCounterYearFraction(DayCounter,R29,S29,,,Trigger)</f>
        <v>0.50136986301369868</v>
      </c>
      <c r="U29" s="423">
        <f>_xll.qlInterpolationInterpolate(B6Minterpolation,R29,TRUE)</f>
        <v>2.549317726954796E-3</v>
      </c>
      <c r="V29" s="345">
        <f>_xll.qlYieldTSDiscount(Discounting,R29,,AllTriggers)</f>
        <v>0.9995013267463545</v>
      </c>
      <c r="W29" s="345">
        <f>_xll.qlYieldTSDiscount(Discounting,S29,,AllTriggers)</f>
        <v>0.99716076737605497</v>
      </c>
      <c r="X29" s="32">
        <f t="shared" si="1"/>
        <v>4.6816210097886729E-3</v>
      </c>
      <c r="Y29" s="451">
        <f t="shared" si="2"/>
        <v>1.2743456750128428E-3</v>
      </c>
    </row>
    <row r="30" spans="1:25" ht="11.25" customHeight="1" x14ac:dyDescent="0.2">
      <c r="E30" s="155"/>
      <c r="F30" s="155"/>
      <c r="G30" s="155"/>
      <c r="H30" s="33"/>
      <c r="K30" s="33"/>
      <c r="L30" s="33"/>
      <c r="R30" s="422">
        <f>_xll.qlCalendarAdvance(Calendar,R29,"1D","f")</f>
        <v>42165</v>
      </c>
      <c r="S30" s="448">
        <f>_xll.qlCalendarAdvance(Calendar,R30,$F$1,"mf",,Trigger)</f>
        <v>42348</v>
      </c>
      <c r="T30" s="449">
        <f>_xll.qlDayCounterYearFraction(DayCounter,R30,S30,,,Trigger)</f>
        <v>0.50136986301369868</v>
      </c>
      <c r="U30" s="423">
        <f>_xll.qlInterpolationInterpolate(B6Minterpolation,R30,TRUE)</f>
        <v>2.5480646643313864E-3</v>
      </c>
      <c r="V30" s="345">
        <f>_xll.qlYieldTSDiscount(Discounting,R30,,AllTriggers)</f>
        <v>0.99948896017723488</v>
      </c>
      <c r="W30" s="345">
        <f>_xll.qlYieldTSDiscount(Discounting,S30,,AllTriggers)</f>
        <v>0.99714655988971868</v>
      </c>
      <c r="X30" s="32">
        <f t="shared" si="1"/>
        <v>4.6853699961397774E-3</v>
      </c>
      <c r="Y30" s="451">
        <f t="shared" si="2"/>
        <v>1.2737173093987433E-3</v>
      </c>
    </row>
    <row r="31" spans="1:25" ht="11.25" customHeight="1" x14ac:dyDescent="0.2">
      <c r="E31" s="155"/>
      <c r="F31" s="155"/>
      <c r="G31" s="155"/>
      <c r="H31" s="33"/>
      <c r="K31" s="33"/>
      <c r="L31" s="33"/>
      <c r="R31" s="422">
        <f>_xll.qlCalendarAdvance(Calendar,R30,"1D","f")</f>
        <v>42166</v>
      </c>
      <c r="S31" s="448">
        <f>_xll.qlCalendarAdvance(Calendar,R31,$F$1,"mf",,Trigger)</f>
        <v>42349</v>
      </c>
      <c r="T31" s="449">
        <f>_xll.qlDayCounterYearFraction(DayCounter,R31,S31,,,Trigger)</f>
        <v>0.50136986301369868</v>
      </c>
      <c r="U31" s="423">
        <f>_xll.qlInterpolationInterpolate(B6Minterpolation,R31,TRUE)</f>
        <v>2.5467403651843398E-3</v>
      </c>
      <c r="V31" s="345">
        <f>_xll.qlYieldTSDiscount(Discounting,R31,,AllTriggers)</f>
        <v>0.99947659726509697</v>
      </c>
      <c r="W31" s="345">
        <f>_xll.qlYieldTSDiscount(Discounting,S31,,AllTriggers)</f>
        <v>0.99713234686883789</v>
      </c>
      <c r="X31" s="32">
        <f t="shared" si="1"/>
        <v>4.689137500899959E-3</v>
      </c>
      <c r="Y31" s="451">
        <f t="shared" si="2"/>
        <v>1.2730533472193769E-3</v>
      </c>
    </row>
    <row r="32" spans="1:25" ht="11.25" customHeight="1" x14ac:dyDescent="0.2">
      <c r="E32" s="155"/>
      <c r="F32" s="155"/>
      <c r="G32" s="155"/>
      <c r="H32" s="33"/>
      <c r="K32" s="33"/>
      <c r="L32" s="33"/>
      <c r="R32" s="422">
        <f>_xll.qlCalendarAdvance(Calendar,R31,"1D","f")</f>
        <v>42167</v>
      </c>
      <c r="S32" s="448">
        <f>_xll.qlCalendarAdvance(Calendar,R32,$F$1,"mf",,Trigger)</f>
        <v>42352</v>
      </c>
      <c r="T32" s="449">
        <f>_xll.qlDayCounterYearFraction(DayCounter,R32,S32,,,Trigger)</f>
        <v>0.50684931506849318</v>
      </c>
      <c r="U32" s="423">
        <f>_xll.qlInterpolationInterpolate(B6Minterpolation,R32,TRUE)</f>
        <v>2.5453657099930699E-3</v>
      </c>
      <c r="V32" s="345">
        <f>_xll.qlYieldTSDiscount(Discounting,R32,,AllTriggers)</f>
        <v>0.99946423790159888</v>
      </c>
      <c r="W32" s="345">
        <f>_xll.qlYieldTSDiscount(Discounting,S32,,AllTriggers)</f>
        <v>0.99708967372247947</v>
      </c>
      <c r="X32" s="32">
        <f t="shared" si="1"/>
        <v>4.6986254811983855E-3</v>
      </c>
      <c r="Y32" s="451">
        <f t="shared" si="2"/>
        <v>1.2862242181090784E-3</v>
      </c>
    </row>
    <row r="33" spans="5:25" ht="11.25" customHeight="1" x14ac:dyDescent="0.2">
      <c r="E33" s="155"/>
      <c r="F33" s="155"/>
      <c r="G33" s="155"/>
      <c r="H33" s="33"/>
      <c r="K33" s="33"/>
      <c r="L33" s="33"/>
      <c r="R33" s="422">
        <f>_xll.qlCalendarAdvance(Calendar,R32,"1D","f")</f>
        <v>42170</v>
      </c>
      <c r="S33" s="448">
        <f>_xll.qlCalendarAdvance(Calendar,R33,$F$1,"mf",,Trigger)</f>
        <v>42353</v>
      </c>
      <c r="T33" s="449">
        <f>_xll.qlDayCounterYearFraction(DayCounter,R33,S33,,,Trigger)</f>
        <v>0.50136986301369868</v>
      </c>
      <c r="U33" s="423">
        <f>_xll.qlInterpolationInterpolate(B6Minterpolation,R33,TRUE)</f>
        <v>2.5411484129480603E-3</v>
      </c>
      <c r="V33" s="345">
        <f>_xll.qlYieldTSDiscount(Discounting,R33,,AllTriggers)</f>
        <v>0.99942718001960684</v>
      </c>
      <c r="W33" s="345">
        <f>_xll.qlYieldTSDiscount(Discounting,S33,,AllTriggers)</f>
        <v>0.99707543768699691</v>
      </c>
      <c r="X33" s="32">
        <f t="shared" si="1"/>
        <v>4.7043919014828394E-3</v>
      </c>
      <c r="Y33" s="451">
        <f t="shared" si="2"/>
        <v>1.2702501553433594E-3</v>
      </c>
    </row>
    <row r="34" spans="5:25" ht="11.25" customHeight="1" x14ac:dyDescent="0.2">
      <c r="E34" s="155"/>
      <c r="F34" s="155"/>
      <c r="G34" s="155"/>
      <c r="H34" s="33"/>
      <c r="K34" s="33"/>
      <c r="L34" s="33"/>
      <c r="R34" s="422">
        <f>_xll.qlCalendarAdvance(Calendar,R33,"1D","f")</f>
        <v>42171</v>
      </c>
      <c r="S34" s="448">
        <f>_xll.qlCalendarAdvance(Calendar,R34,$F$1,"mf",,Trigger)</f>
        <v>42354</v>
      </c>
      <c r="T34" s="449">
        <f>_xll.qlDayCounterYearFraction(DayCounter,R34,S34,,,Trigger)</f>
        <v>0.50136986301369868</v>
      </c>
      <c r="U34" s="423">
        <f>_xll.qlInterpolationInterpolate(B6Minterpolation,R34,TRUE)</f>
        <v>2.5397811383740367E-3</v>
      </c>
      <c r="V34" s="345">
        <f>_xll.qlYieldTSDiscount(Discounting,R34,,AllTriggers)</f>
        <v>0.99941483376735796</v>
      </c>
      <c r="W34" s="345">
        <f>_xll.qlYieldTSDiscount(Discounting,S34,,AllTriggers)</f>
        <v>0.99706119567878337</v>
      </c>
      <c r="X34" s="32">
        <f t="shared" si="1"/>
        <v>4.7082513963780503E-3</v>
      </c>
      <c r="Y34" s="451">
        <f t="shared" si="2"/>
        <v>1.2695646767652907E-3</v>
      </c>
    </row>
    <row r="35" spans="5:25" ht="11.25" customHeight="1" x14ac:dyDescent="0.2">
      <c r="E35" s="155"/>
      <c r="F35" s="155"/>
      <c r="G35" s="155"/>
      <c r="H35" s="33"/>
      <c r="K35" s="33"/>
      <c r="L35" s="33"/>
      <c r="R35" s="422">
        <f>_xll.qlCalendarAdvance(Calendar,R34,"1D","f")</f>
        <v>42172</v>
      </c>
      <c r="S35" s="448">
        <f>_xll.qlCalendarAdvance(Calendar,R35,$F$1,"mf",,Trigger)</f>
        <v>42355</v>
      </c>
      <c r="T35" s="449">
        <f>_xll.qlDayCounterYearFraction(DayCounter,R35,S35,,,Trigger)</f>
        <v>0.50136986301369868</v>
      </c>
      <c r="U35" s="423">
        <f>_xll.qlInterpolationInterpolate(B6Minterpolation,R35,TRUE)</f>
        <v>2.5384679101528593E-3</v>
      </c>
      <c r="V35" s="345">
        <f>_xll.qlYieldTSDiscount(Discounting,R35,,AllTriggers)</f>
        <v>0.99940249052212071</v>
      </c>
      <c r="W35" s="345">
        <f>_xll.qlYieldTSDiscount(Discounting,S35,,AllTriggers)</f>
        <v>0.99704694761021706</v>
      </c>
      <c r="X35" s="32">
        <f t="shared" si="1"/>
        <v>4.712129168919969E-3</v>
      </c>
      <c r="Y35" s="451">
        <f t="shared" si="2"/>
        <v>1.2689061878356559E-3</v>
      </c>
    </row>
    <row r="36" spans="5:25" ht="11.25" customHeight="1" x14ac:dyDescent="0.2">
      <c r="E36" s="155"/>
      <c r="F36" s="155"/>
      <c r="G36" s="155"/>
      <c r="H36" s="33"/>
      <c r="K36" s="33"/>
      <c r="L36" s="33"/>
      <c r="R36" s="422">
        <f>_xll.qlCalendarAdvance(Calendar,R35,"1D","f")</f>
        <v>42173</v>
      </c>
      <c r="S36" s="448">
        <f>_xll.qlCalendarAdvance(Calendar,R36,$F$1,"mf",,Trigger)</f>
        <v>42356</v>
      </c>
      <c r="T36" s="449">
        <f>_xll.qlDayCounterYearFraction(DayCounter,R36,S36,,,Trigger)</f>
        <v>0.50136986301369868</v>
      </c>
      <c r="U36" s="423">
        <f>_xll.qlInterpolationInterpolate(B6Minterpolation,R36,TRUE)</f>
        <v>2.5372296087639427E-3</v>
      </c>
      <c r="V36" s="345">
        <f>_xll.qlYieldTSDiscount(Discounting,R36,,AllTriggers)</f>
        <v>0.99939015017558552</v>
      </c>
      <c r="W36" s="345">
        <f>_xll.qlYieldTSDiscount(Discounting,S36,,AllTriggers)</f>
        <v>0.99703269339368106</v>
      </c>
      <c r="X36" s="32">
        <f t="shared" si="1"/>
        <v>4.7160251789813831E-3</v>
      </c>
      <c r="Y36" s="451">
        <f t="shared" si="2"/>
        <v>1.2682851194054014E-3</v>
      </c>
    </row>
    <row r="37" spans="5:25" ht="11.25" customHeight="1" x14ac:dyDescent="0.2">
      <c r="E37" s="155"/>
      <c r="F37" s="155"/>
      <c r="G37" s="155"/>
      <c r="H37" s="33"/>
      <c r="K37" s="33"/>
      <c r="L37" s="33"/>
      <c r="R37" s="422">
        <f>_xll.qlCalendarAdvance(Calendar,R36,"1D","f")</f>
        <v>42174</v>
      </c>
      <c r="S37" s="448">
        <f>_xll.qlCalendarAdvance(Calendar,R37,$F$1,"mf",,Trigger)</f>
        <v>42359</v>
      </c>
      <c r="T37" s="449">
        <f>_xll.qlDayCounterYearFraction(DayCounter,R37,S37,,,Trigger)</f>
        <v>0.50684931506849318</v>
      </c>
      <c r="U37" s="423">
        <f>_xll.qlInterpolationInterpolate(B6Minterpolation,R37,TRUE)</f>
        <v>2.5360871146866996E-3</v>
      </c>
      <c r="V37" s="345">
        <f>_xll.qlYieldTSDiscount(Discounting,R37,,AllTriggers)</f>
        <v>0.99937781261944825</v>
      </c>
      <c r="W37" s="345">
        <f>_xll.qlYieldTSDiscount(Discounting,S37,,AllTriggers)</f>
        <v>0.99698989298016405</v>
      </c>
      <c r="X37" s="32">
        <f t="shared" si="1"/>
        <v>4.7255252466564986E-3</v>
      </c>
      <c r="Y37" s="451">
        <f t="shared" si="2"/>
        <v>1.2815211415821031E-3</v>
      </c>
    </row>
    <row r="38" spans="5:25" ht="11.25" customHeight="1" x14ac:dyDescent="0.2">
      <c r="E38" s="155"/>
      <c r="F38" s="155"/>
      <c r="G38" s="155"/>
      <c r="H38" s="33"/>
      <c r="K38" s="33"/>
      <c r="L38" s="33"/>
      <c r="R38" s="422">
        <f>_xll.qlCalendarAdvance(Calendar,R37,"1D","f")</f>
        <v>42177</v>
      </c>
      <c r="S38" s="448">
        <f>_xll.qlCalendarAdvance(Calendar,R38,$F$1,"mf",,Trigger)</f>
        <v>42360</v>
      </c>
      <c r="T38" s="449">
        <f>_xll.qlDayCounterYearFraction(DayCounter,R38,S38,,,Trigger)</f>
        <v>0.50136986301369868</v>
      </c>
      <c r="U38" s="423">
        <f>_xll.qlInterpolationInterpolate(B6Minterpolation,R38,TRUE)</f>
        <v>2.533443281119156E-3</v>
      </c>
      <c r="V38" s="345">
        <f>_xll.qlYieldTSDiscount(Discounting,R38,,AllTriggers)</f>
        <v>0.99934081561046284</v>
      </c>
      <c r="W38" s="345">
        <f>_xll.qlYieldTSDiscount(Discounting,S38,,AllTriggers)</f>
        <v>0.99697561329568407</v>
      </c>
      <c r="X38" s="32">
        <f t="shared" si="1"/>
        <v>4.7317907919030688E-3</v>
      </c>
      <c r="Y38" s="451">
        <f t="shared" si="2"/>
        <v>1.2663836654280836E-3</v>
      </c>
    </row>
    <row r="39" spans="5:25" ht="11.25" customHeight="1" x14ac:dyDescent="0.2">
      <c r="E39" s="155"/>
      <c r="F39" s="155"/>
      <c r="G39" s="155"/>
      <c r="H39" s="33"/>
      <c r="K39" s="33"/>
      <c r="L39" s="33"/>
      <c r="R39" s="422">
        <f>_xll.qlCalendarAdvance(Calendar,R38,"1D","f")</f>
        <v>42178</v>
      </c>
      <c r="S39" s="448">
        <f>_xll.qlCalendarAdvance(Calendar,R39,$F$1,"mf",,Trigger)</f>
        <v>42361</v>
      </c>
      <c r="T39" s="449">
        <f>_xll.qlDayCounterYearFraction(DayCounter,R39,S39,,,Trigger)</f>
        <v>0.50136986301369868</v>
      </c>
      <c r="U39" s="423">
        <f>_xll.qlInterpolationInterpolate(B6Minterpolation,R39,TRUE)</f>
        <v>2.5328928210827492E-3</v>
      </c>
      <c r="V39" s="345">
        <f>_xll.qlYieldTSDiscount(Discounting,R39,,AllTriggers)</f>
        <v>0.99932848813298292</v>
      </c>
      <c r="W39" s="345">
        <f>_xll.qlYieldTSDiscount(Discounting,S39,,AllTriggers)</f>
        <v>0.99696132702522755</v>
      </c>
      <c r="X39" s="32">
        <f t="shared" si="1"/>
        <v>4.7357773876733145E-3</v>
      </c>
      <c r="Y39" s="451">
        <f t="shared" si="2"/>
        <v>1.2661061599059721E-3</v>
      </c>
    </row>
    <row r="40" spans="5:25" ht="11.25" customHeight="1" x14ac:dyDescent="0.2">
      <c r="E40" s="155"/>
      <c r="F40" s="155"/>
      <c r="G40" s="155"/>
      <c r="H40" s="33"/>
      <c r="K40" s="33"/>
      <c r="L40" s="33"/>
      <c r="R40" s="422">
        <f>_xll.qlCalendarAdvance(Calendar,R39,"1D","f")</f>
        <v>42179</v>
      </c>
      <c r="S40" s="448">
        <f>_xll.qlCalendarAdvance(Calendar,R40,$F$1,"mf",,Trigger)</f>
        <v>42362</v>
      </c>
      <c r="T40" s="449">
        <f>_xll.qlDayCounterYearFraction(DayCounter,R40,S40,,,Trigger)</f>
        <v>0.50136986301369868</v>
      </c>
      <c r="U40" s="423">
        <f>_xll.qlInterpolationInterpolate(B6Minterpolation,R40,TRUE)</f>
        <v>2.5325425707550865E-3</v>
      </c>
      <c r="V40" s="345">
        <f>_xll.qlYieldTSDiscount(Discounting,R40,,AllTriggers)</f>
        <v>0.99931616290446068</v>
      </c>
      <c r="W40" s="345">
        <f>_xll.qlYieldTSDiscount(Discounting,S40,,AllTriggers)</f>
        <v>0.99694703408120866</v>
      </c>
      <c r="X40" s="32">
        <f t="shared" si="1"/>
        <v>4.7397819802086584E-3</v>
      </c>
      <c r="Y40" s="451">
        <f t="shared" si="2"/>
        <v>1.2659286584800462E-3</v>
      </c>
    </row>
    <row r="41" spans="5:25" ht="11.25" customHeight="1" x14ac:dyDescent="0.2">
      <c r="E41" s="155"/>
      <c r="F41" s="155"/>
      <c r="G41" s="155"/>
      <c r="H41" s="33"/>
      <c r="K41" s="33"/>
      <c r="L41" s="33"/>
      <c r="R41" s="422">
        <f>_xll.qlCalendarAdvance(Calendar,R40,"1D","f")</f>
        <v>42180</v>
      </c>
      <c r="S41" s="448">
        <f>_xll.qlCalendarAdvance(Calendar,R41,$F$1,"mf",,Trigger)</f>
        <v>42367</v>
      </c>
      <c r="T41" s="449">
        <f>_xll.qlDayCounterYearFraction(DayCounter,R41,S41,,,Trigger)</f>
        <v>0.51232876712328768</v>
      </c>
      <c r="U41" s="423">
        <f>_xll.qlInterpolationInterpolate(B6Minterpolation,R41,TRUE)</f>
        <v>2.5324134106155813E-3</v>
      </c>
      <c r="V41" s="345">
        <f>_xll.qlYieldTSDiscount(Discounting,R41,,AllTriggers)</f>
        <v>0.99930383981662396</v>
      </c>
      <c r="W41" s="345">
        <f>_xll.qlYieldTSDiscount(Discounting,S41,,AllTriggers)</f>
        <v>0.99687546619253375</v>
      </c>
      <c r="X41" s="32">
        <f t="shared" si="1"/>
        <v>4.7547299658224447E-3</v>
      </c>
      <c r="Y41" s="451">
        <f t="shared" si="2"/>
        <v>1.2934385526987666E-3</v>
      </c>
    </row>
    <row r="42" spans="5:25" ht="11.25" customHeight="1" x14ac:dyDescent="0.2">
      <c r="E42" s="155"/>
      <c r="F42" s="155"/>
      <c r="G42" s="155"/>
      <c r="H42" s="33"/>
      <c r="K42" s="33"/>
      <c r="L42" s="33"/>
      <c r="R42" s="422">
        <f>_xll.qlCalendarAdvance(Calendar,R41,"1D","f")</f>
        <v>42181</v>
      </c>
      <c r="S42" s="448">
        <f>_xll.qlCalendarAdvance(Calendar,R42,$F$1,"mf",,Trigger)</f>
        <v>42367</v>
      </c>
      <c r="T42" s="449">
        <f>_xll.qlDayCounterYearFraction(DayCounter,R42,S42,,,Trigger)</f>
        <v>0.50958904109589043</v>
      </c>
      <c r="U42" s="423">
        <f>_xll.qlInterpolationInterpolate(B6Minterpolation,R42,TRUE)</f>
        <v>2.5325262211436475E-3</v>
      </c>
      <c r="V42" s="345">
        <f>_xll.qlYieldTSDiscount(Discounting,R42,,AllTriggers)</f>
        <v>0.99929151876120614</v>
      </c>
      <c r="W42" s="345">
        <f>_xll.qlYieldTSDiscount(Discounting,S42,,AllTriggers)</f>
        <v>0.99687546619253375</v>
      </c>
      <c r="X42" s="32">
        <f t="shared" si="1"/>
        <v>4.7560388318908528E-3</v>
      </c>
      <c r="Y42" s="451">
        <f t="shared" si="2"/>
        <v>1.2865993430770952E-3</v>
      </c>
    </row>
    <row r="43" spans="5:25" ht="11.25" customHeight="1" x14ac:dyDescent="0.2">
      <c r="E43" s="155"/>
      <c r="F43" s="155"/>
      <c r="G43" s="155"/>
      <c r="H43" s="33"/>
      <c r="K43" s="33"/>
      <c r="L43" s="33"/>
      <c r="R43" s="422">
        <f>_xll.qlCalendarAdvance(Calendar,R42,"1D","f")</f>
        <v>42184</v>
      </c>
      <c r="S43" s="448">
        <f>_xll.qlCalendarAdvance(Calendar,R43,$F$1,"mf",,Trigger)</f>
        <v>42367</v>
      </c>
      <c r="T43" s="449">
        <f>_xll.qlDayCounterYearFraction(DayCounter,R43,S43,,,Trigger)</f>
        <v>0.50136986301369868</v>
      </c>
      <c r="U43" s="423">
        <f>_xll.qlInterpolationInterpolate(B6Minterpolation,R43,TRUE)</f>
        <v>2.5345252815274157E-3</v>
      </c>
      <c r="V43" s="345">
        <f>_xll.qlYieldTSDiscount(Discounting,R43,,AllTriggers)</f>
        <v>0.99925456670688029</v>
      </c>
      <c r="W43" s="345">
        <f>_xll.qlYieldTSDiscount(Discounting,S43,,AllTriggers)</f>
        <v>0.99687546619253375</v>
      </c>
      <c r="X43" s="32">
        <f t="shared" si="1"/>
        <v>4.7600734899799395E-3</v>
      </c>
      <c r="Y43" s="451">
        <f t="shared" si="2"/>
        <v>1.2669062678393565E-3</v>
      </c>
    </row>
    <row r="44" spans="5:25" ht="11.25" customHeight="1" x14ac:dyDescent="0.2">
      <c r="E44" s="155"/>
      <c r="F44" s="155"/>
      <c r="G44" s="155"/>
      <c r="H44" s="33"/>
      <c r="K44" s="33"/>
      <c r="L44" s="33"/>
      <c r="R44" s="422">
        <f>_xll.qlCalendarAdvance(Calendar,R43,"1D","f")</f>
        <v>42185</v>
      </c>
      <c r="S44" s="448">
        <f>_xll.qlCalendarAdvance(Calendar,R44,$F$1,"mf",,Trigger)</f>
        <v>42368</v>
      </c>
      <c r="T44" s="449">
        <f>_xll.qlDayCounterYearFraction(DayCounter,R44,S44,,,Trigger)</f>
        <v>0.50136986301369868</v>
      </c>
      <c r="U44" s="423">
        <f>_xll.qlInterpolationInterpolate(B6Minterpolation,R44,TRUE)</f>
        <v>2.5358147795199078E-3</v>
      </c>
      <c r="V44" s="345">
        <f>_xll.qlYieldTSDiscount(Discounting,R44,,AllTriggers)</f>
        <v>0.9992422526985788</v>
      </c>
      <c r="W44" s="345">
        <f>_xll.qlYieldTSDiscount(Discounting,S44,,AllTriggers)</f>
        <v>0.99686113136812649</v>
      </c>
      <c r="X44" s="32">
        <f t="shared" si="1"/>
        <v>4.7641852204800923E-3</v>
      </c>
      <c r="Y44" s="451">
        <f t="shared" si="2"/>
        <v>1.267547822010044E-3</v>
      </c>
    </row>
    <row r="45" spans="5:25" ht="11.25" customHeight="1" x14ac:dyDescent="0.2">
      <c r="E45" s="155"/>
      <c r="F45" s="155"/>
      <c r="G45" s="155"/>
      <c r="H45" s="33"/>
      <c r="K45" s="33"/>
      <c r="L45" s="33"/>
      <c r="R45" s="422">
        <f>_xll.qlCalendarAdvance(Calendar,R44,"1D","f")</f>
        <v>42186</v>
      </c>
      <c r="S45" s="448">
        <f>_xll.qlCalendarAdvance(Calendar,R45,$F$1,"mf",,Trigger)</f>
        <v>42373</v>
      </c>
      <c r="T45" s="449">
        <f>_xll.qlDayCounterYearFraction(DayCounter,R45,S45,,,Trigger)</f>
        <v>0.51232876712328768</v>
      </c>
      <c r="U45" s="423">
        <f>_xll.qlInterpolationInterpolate(B6Minterpolation,R45,TRUE)</f>
        <v>2.5374992985882348E-3</v>
      </c>
      <c r="V45" s="345">
        <f>_xll.qlYieldTSDiscount(Discounting,R45,,AllTriggers)</f>
        <v>0.99922994018245115</v>
      </c>
      <c r="W45" s="345">
        <f>_xll.qlYieldTSDiscount(Discounting,S45,,AllTriggers)</f>
        <v>0.99678932430608924</v>
      </c>
      <c r="X45" s="32">
        <f t="shared" si="1"/>
        <v>4.779113138928673E-3</v>
      </c>
      <c r="Y45" s="451">
        <f t="shared" si="2"/>
        <v>1.2960183639541957E-3</v>
      </c>
    </row>
    <row r="46" spans="5:25" ht="11.25" customHeight="1" x14ac:dyDescent="0.2">
      <c r="E46" s="155"/>
      <c r="F46" s="155"/>
      <c r="G46" s="155"/>
      <c r="H46" s="33"/>
      <c r="K46" s="33"/>
      <c r="L46" s="33"/>
      <c r="R46" s="422">
        <f>_xll.qlCalendarAdvance(Calendar,R45,"1D","f")</f>
        <v>42187</v>
      </c>
      <c r="S46" s="448">
        <f>_xll.qlCalendarAdvance(Calendar,R46,$F$1,"mf",,Trigger)</f>
        <v>42373</v>
      </c>
      <c r="T46" s="449">
        <f>_xll.qlDayCounterYearFraction(DayCounter,R46,S46,,,Trigger)</f>
        <v>0.50958904109589043</v>
      </c>
      <c r="U46" s="423">
        <f>_xll.qlInterpolationInterpolate(B6Minterpolation,R46,TRUE)</f>
        <v>2.5396122619337309E-3</v>
      </c>
      <c r="V46" s="345">
        <f>_xll.qlYieldTSDiscount(Discounting,R46,,AllTriggers)</f>
        <v>0.99921762905530209</v>
      </c>
      <c r="W46" s="345">
        <f>_xll.qlYieldTSDiscount(Discounting,S46,,AllTriggers)</f>
        <v>0.99678932430608924</v>
      </c>
      <c r="X46" s="32">
        <f t="shared" si="1"/>
        <v>4.7805705469415012E-3</v>
      </c>
      <c r="Y46" s="451">
        <f t="shared" si="2"/>
        <v>1.2901808639032119E-3</v>
      </c>
    </row>
    <row r="47" spans="5:25" ht="11.25" customHeight="1" x14ac:dyDescent="0.2">
      <c r="E47" s="155"/>
      <c r="F47" s="155"/>
      <c r="G47" s="155"/>
      <c r="H47" s="33"/>
      <c r="K47" s="33"/>
      <c r="L47" s="33"/>
      <c r="R47" s="422">
        <f>_xll.qlCalendarAdvance(Calendar,R46,"1D","f")</f>
        <v>42188</v>
      </c>
      <c r="S47" s="448">
        <f>_xll.qlCalendarAdvance(Calendar,R47,$F$1,"mf",,Trigger)</f>
        <v>42373</v>
      </c>
      <c r="T47" s="449">
        <f>_xll.qlDayCounterYearFraction(DayCounter,R47,S47,,,Trigger)</f>
        <v>0.50684931506849318</v>
      </c>
      <c r="U47" s="423">
        <f>_xll.qlInterpolationInterpolate(B6Minterpolation,R47,TRUE)</f>
        <v>2.5421203921019006E-3</v>
      </c>
      <c r="V47" s="345">
        <f>_xll.qlYieldTSDiscount(Discounting,R47,,AllTriggers)</f>
        <v>0.99920531921494959</v>
      </c>
      <c r="W47" s="345">
        <f>_xll.qlYieldTSDiscount(Discounting,S47,,AllTriggers)</f>
        <v>0.99678932430608924</v>
      </c>
      <c r="X47" s="32">
        <f t="shared" si="1"/>
        <v>4.7820462577085922E-3</v>
      </c>
      <c r="Y47" s="451">
        <f t="shared" si="2"/>
        <v>1.2845311984893343E-3</v>
      </c>
    </row>
    <row r="48" spans="5:25" ht="11.25" customHeight="1" x14ac:dyDescent="0.2">
      <c r="E48" s="155"/>
      <c r="F48" s="155"/>
      <c r="G48" s="155"/>
      <c r="H48" s="33"/>
      <c r="K48" s="33"/>
      <c r="L48" s="33"/>
      <c r="R48" s="422">
        <f>_xll.qlCalendarAdvance(Calendar,R47,"1D","f")</f>
        <v>42191</v>
      </c>
      <c r="S48" s="448">
        <f>_xll.qlCalendarAdvance(Calendar,R48,$F$1,"mf",,Trigger)</f>
        <v>42375</v>
      </c>
      <c r="T48" s="449">
        <f>_xll.qlDayCounterYearFraction(DayCounter,R48,S48,,,Trigger)</f>
        <v>0.50410958904109593</v>
      </c>
      <c r="U48" s="423">
        <f>_xll.qlInterpolationInterpolate(B6Minterpolation,R48,TRUE)</f>
        <v>2.5516830089974893E-3</v>
      </c>
      <c r="V48" s="345">
        <f>_xll.qlYieldTSDiscount(Discounting,R48,,AllTriggers)</f>
        <v>0.99916839639292532</v>
      </c>
      <c r="W48" s="345">
        <f>_xll.qlYieldTSDiscount(Discounting,S48,,AllTriggers)</f>
        <v>0.99676050479124989</v>
      </c>
      <c r="X48" s="32">
        <f t="shared" si="1"/>
        <v>4.7920479174180372E-3</v>
      </c>
      <c r="Y48" s="451">
        <f t="shared" si="2"/>
        <v>1.2824053237258035E-3</v>
      </c>
    </row>
    <row r="49" spans="5:25" ht="11.25" customHeight="1" x14ac:dyDescent="0.2">
      <c r="E49" s="155"/>
      <c r="F49" s="155"/>
      <c r="G49" s="155"/>
      <c r="H49" s="33"/>
      <c r="K49" s="33"/>
      <c r="L49" s="33"/>
      <c r="R49" s="422">
        <f>_xll.qlCalendarAdvance(Calendar,R48,"1D","f")</f>
        <v>42192</v>
      </c>
      <c r="S49" s="448">
        <f>_xll.qlCalendarAdvance(Calendar,R49,$F$1,"mf",,Trigger)</f>
        <v>42376</v>
      </c>
      <c r="T49" s="449">
        <f>_xll.qlDayCounterYearFraction(DayCounter,R49,S49,,,Trigger)</f>
        <v>0.50410958904109593</v>
      </c>
      <c r="U49" s="423">
        <f>_xll.qlInterpolationInterpolate(B6Minterpolation,R49,TRUE)</f>
        <v>2.5554390319113924E-3</v>
      </c>
      <c r="V49" s="345">
        <f>_xll.qlYieldTSDiscount(Discounting,R49,,AllTriggers)</f>
        <v>0.99915609067803812</v>
      </c>
      <c r="W49" s="345">
        <f>_xll.qlYieldTSDiscount(Discounting,S49,,AllTriggers)</f>
        <v>0.99674606578592206</v>
      </c>
      <c r="X49" s="32">
        <f t="shared" si="1"/>
        <v>4.7963629496264428E-3</v>
      </c>
      <c r="Y49" s="451">
        <f t="shared" si="2"/>
        <v>1.284289000213785E-3</v>
      </c>
    </row>
    <row r="50" spans="5:25" ht="11.25" customHeight="1" x14ac:dyDescent="0.2">
      <c r="E50" s="155"/>
      <c r="F50" s="155"/>
      <c r="G50" s="155"/>
      <c r="H50" s="33"/>
      <c r="K50" s="33"/>
      <c r="L50" s="33"/>
      <c r="R50" s="422">
        <f>_xll.qlCalendarAdvance(Calendar,R49,"1D","f")</f>
        <v>42193</v>
      </c>
      <c r="S50" s="448">
        <f>_xll.qlCalendarAdvance(Calendar,R50,$F$1,"mf",,Trigger)</f>
        <v>42377</v>
      </c>
      <c r="T50" s="449">
        <f>_xll.qlDayCounterYearFraction(DayCounter,R50,S50,,,Trigger)</f>
        <v>0.50410958904109593</v>
      </c>
      <c r="U50" s="423">
        <f>_xll.qlInterpolationInterpolate(B6Minterpolation,R50,TRUE)</f>
        <v>2.5594238343754892E-3</v>
      </c>
      <c r="V50" s="345">
        <f>_xll.qlYieldTSDiscount(Discounting,R50,,AllTriggers)</f>
        <v>0.99914378573911222</v>
      </c>
      <c r="W50" s="345">
        <f>_xll.qlYieldTSDiscount(Discounting,S50,,AllTriggers)</f>
        <v>0.99673160442971653</v>
      </c>
      <c r="X50" s="32">
        <f t="shared" si="1"/>
        <v>4.8007242415486085E-3</v>
      </c>
      <c r="Y50" s="451">
        <f t="shared" si="2"/>
        <v>1.2862875387190649E-3</v>
      </c>
    </row>
    <row r="51" spans="5:25" ht="11.25" customHeight="1" x14ac:dyDescent="0.2">
      <c r="E51" s="155"/>
      <c r="F51" s="155"/>
      <c r="G51" s="155"/>
      <c r="H51" s="33"/>
      <c r="K51" s="33"/>
      <c r="L51" s="33"/>
      <c r="R51" s="422">
        <f>_xll.qlCalendarAdvance(Calendar,R50,"1D","f")</f>
        <v>42194</v>
      </c>
      <c r="S51" s="448">
        <f>_xll.qlCalendarAdvance(Calendar,R51,$F$1,"mf",,Trigger)</f>
        <v>42380</v>
      </c>
      <c r="T51" s="449">
        <f>_xll.qlDayCounterYearFraction(DayCounter,R51,S51,,,Trigger)</f>
        <v>0.50958904109589043</v>
      </c>
      <c r="U51" s="423">
        <f>_xll.qlInterpolationInterpolate(B6Minterpolation,R51,TRUE)</f>
        <v>2.5636041389352831E-3</v>
      </c>
      <c r="V51" s="345">
        <f>_xll.qlYieldTSDiscount(Discounting,R51,,AllTriggers)</f>
        <v>0.99913148147399555</v>
      </c>
      <c r="W51" s="345">
        <f>_xll.qlYieldTSDiscount(Discounting,S51,,AllTriggers)</f>
        <v>0.99668806486599515</v>
      </c>
      <c r="X51" s="32">
        <f t="shared" si="1"/>
        <v>4.8108097668799858E-3</v>
      </c>
      <c r="Y51" s="451">
        <f t="shared" si="2"/>
        <v>1.3023413436292779E-3</v>
      </c>
    </row>
    <row r="52" spans="5:25" ht="11.25" customHeight="1" x14ac:dyDescent="0.2">
      <c r="E52" s="155"/>
      <c r="F52" s="155"/>
      <c r="G52" s="155"/>
      <c r="H52" s="33"/>
      <c r="K52" s="33"/>
      <c r="L52" s="33"/>
      <c r="R52" s="422">
        <f>_xll.qlCalendarAdvance(Calendar,R51,"1D","f")</f>
        <v>42195</v>
      </c>
      <c r="S52" s="448">
        <f>_xll.qlCalendarAdvance(Calendar,R52,$F$1,"mf",,Trigger)</f>
        <v>42380</v>
      </c>
      <c r="T52" s="449">
        <f>_xll.qlDayCounterYearFraction(DayCounter,R52,S52,,,Trigger)</f>
        <v>0.50684931506849318</v>
      </c>
      <c r="U52" s="423">
        <f>_xll.qlInterpolationInterpolate(B6Minterpolation,R52,TRUE)</f>
        <v>2.5679466681362787E-3</v>
      </c>
      <c r="V52" s="345">
        <f>_xll.qlYieldTSDiscount(Discounting,R52,,AllTriggers)</f>
        <v>0.99911917778054149</v>
      </c>
      <c r="W52" s="345">
        <f>_xll.qlYieldTSDiscount(Discounting,S52,,AllTriggers)</f>
        <v>0.99668806486599515</v>
      </c>
      <c r="X52" s="32">
        <f t="shared" si="1"/>
        <v>4.8124586254482092E-3</v>
      </c>
      <c r="Y52" s="451">
        <f t="shared" si="2"/>
        <v>1.297552790229792E-3</v>
      </c>
    </row>
    <row r="53" spans="5:25" x14ac:dyDescent="0.2">
      <c r="E53" s="155"/>
      <c r="F53" s="155"/>
      <c r="G53" s="155"/>
      <c r="H53" s="33"/>
      <c r="K53" s="33"/>
      <c r="L53" s="33"/>
      <c r="R53" s="422">
        <f>_xll.qlCalendarAdvance(Calendar,R52,"1D","f")</f>
        <v>42198</v>
      </c>
      <c r="S53" s="448">
        <f>_xll.qlCalendarAdvance(Calendar,R53,$F$1,"mf",,Trigger)</f>
        <v>42382</v>
      </c>
      <c r="T53" s="449">
        <f>_xll.qlDayCounterYearFraction(DayCounter,R53,S53,,,Trigger)</f>
        <v>0.50410958904109593</v>
      </c>
      <c r="U53" s="423">
        <f>_xll.qlInterpolationInterpolate(B6Minterpolation,R53,TRUE)</f>
        <v>2.581614829041515E-3</v>
      </c>
      <c r="V53" s="345">
        <f>_xll.qlYieldTSDiscount(Discounting,R53,,AllTriggers)</f>
        <v>0.99908226910875986</v>
      </c>
      <c r="W53" s="345">
        <f>_xll.qlYieldTSDiscount(Discounting,S53,,AllTriggers)</f>
        <v>0.99665888752330367</v>
      </c>
      <c r="X53" s="32">
        <f t="shared" si="1"/>
        <v>4.8233669260438553E-3</v>
      </c>
      <c r="Y53" s="451">
        <f t="shared" si="2"/>
        <v>1.2974180531102838E-3</v>
      </c>
    </row>
    <row r="54" spans="5:25" x14ac:dyDescent="0.2">
      <c r="R54" s="422">
        <f>_xll.qlCalendarAdvance(Calendar,R53,"1D","f")</f>
        <v>42199</v>
      </c>
      <c r="S54" s="448">
        <f>_xll.qlCalendarAdvance(Calendar,R54,$F$1,"mf",,Trigger)</f>
        <v>42383</v>
      </c>
      <c r="T54" s="449">
        <f>_xll.qlDayCounterYearFraction(DayCounter,R54,S54,,,Trigger)</f>
        <v>0.50410958904109593</v>
      </c>
      <c r="U54" s="423">
        <f>_xll.qlInterpolationInterpolate(B6Minterpolation,R54,TRUE)</f>
        <v>2.5862734822623568E-3</v>
      </c>
      <c r="V54" s="345">
        <f>_xll.qlYieldTSDiscount(Discounting,R54,,AllTriggers)</f>
        <v>0.9990699666805869</v>
      </c>
      <c r="W54" s="345">
        <f>_xll.qlYieldTSDiscount(Discounting,S54,,AllTriggers)</f>
        <v>0.99664424714627797</v>
      </c>
      <c r="X54" s="32">
        <f t="shared" si="1"/>
        <v>4.8280911743380488E-3</v>
      </c>
      <c r="Y54" s="451">
        <f t="shared" si="2"/>
        <v>1.2997547021724985E-3</v>
      </c>
    </row>
    <row r="55" spans="5:25" x14ac:dyDescent="0.2">
      <c r="R55" s="422">
        <f>_xll.qlCalendarAdvance(Calendar,R54,"1D","f")</f>
        <v>42200</v>
      </c>
      <c r="S55" s="448">
        <f>_xll.qlCalendarAdvance(Calendar,R55,$F$1,"mf",,Trigger)</f>
        <v>42384</v>
      </c>
      <c r="T55" s="449">
        <f>_xll.qlDayCounterYearFraction(DayCounter,R55,S55,,,Trigger)</f>
        <v>0.50410958904109593</v>
      </c>
      <c r="U55" s="423">
        <f>_xll.qlInterpolationInterpolate(B6Minterpolation,R55,TRUE)</f>
        <v>2.5909279728519204E-3</v>
      </c>
      <c r="V55" s="345">
        <f>_xll.qlYieldTSDiscount(Discounting,R55,,AllTriggers)</f>
        <v>0.99905766431341736</v>
      </c>
      <c r="W55" s="345">
        <f>_xll.qlYieldTSDiscount(Discounting,S55,,AllTriggers)</f>
        <v>0.99662956944771419</v>
      </c>
      <c r="X55" s="32">
        <f t="shared" si="1"/>
        <v>4.8328901487743048E-3</v>
      </c>
      <c r="Y55" s="451">
        <f t="shared" si="2"/>
        <v>1.3020891951747732E-3</v>
      </c>
    </row>
    <row r="56" spans="5:25" x14ac:dyDescent="0.2">
      <c r="R56" s="422">
        <f>_xll.qlCalendarAdvance(Calendar,R55,"1D","f")</f>
        <v>42201</v>
      </c>
      <c r="S56" s="448">
        <f>_xll.qlCalendarAdvance(Calendar,R56,$F$1,"mf",,Trigger)</f>
        <v>42387</v>
      </c>
      <c r="T56" s="449">
        <f>_xll.qlDayCounterYearFraction(DayCounter,R56,S56,,,Trigger)</f>
        <v>0.50958904109589043</v>
      </c>
      <c r="U56" s="423">
        <f>_xll.qlInterpolationInterpolate(B6Minterpolation,R56,TRUE)</f>
        <v>2.59554502335571E-3</v>
      </c>
      <c r="V56" s="345">
        <f>_xll.qlYieldTSDiscount(Discounting,R56,,AllTriggers)</f>
        <v>0.99904536190513438</v>
      </c>
      <c r="W56" s="345">
        <f>_xll.qlYieldTSDiscount(Discounting,S56,,AllTriggers)</f>
        <v>0.99658529104193805</v>
      </c>
      <c r="X56" s="32">
        <f t="shared" si="1"/>
        <v>4.8440996046505858E-3</v>
      </c>
      <c r="Y56" s="451">
        <f t="shared" si="2"/>
        <v>1.3185347007825009E-3</v>
      </c>
    </row>
    <row r="57" spans="5:25" x14ac:dyDescent="0.2">
      <c r="R57" s="422">
        <f>_xll.qlCalendarAdvance(Calendar,R56,"1D","f")</f>
        <v>42202</v>
      </c>
      <c r="S57" s="448">
        <f>_xll.qlCalendarAdvance(Calendar,R57,$F$1,"mf",,Trigger)</f>
        <v>42387</v>
      </c>
      <c r="T57" s="449">
        <f>_xll.qlDayCounterYearFraction(DayCounter,R57,S57,,,Trigger)</f>
        <v>0.50684931506849318</v>
      </c>
      <c r="U57" s="423">
        <f>_xll.qlInterpolationInterpolate(B6Minterpolation,R57,TRUE)</f>
        <v>2.600091356319229E-3</v>
      </c>
      <c r="V57" s="345">
        <f>_xll.qlYieldTSDiscount(Discounting,R57,,AllTriggers)</f>
        <v>0.99903305935362618</v>
      </c>
      <c r="W57" s="345">
        <f>_xll.qlYieldTSDiscount(Discounting,S57,,AllTriggers)</f>
        <v>0.99658529104193805</v>
      </c>
      <c r="X57" s="32">
        <f t="shared" si="1"/>
        <v>4.8459281573492779E-3</v>
      </c>
      <c r="Y57" s="451">
        <f t="shared" si="2"/>
        <v>1.31376223469816E-3</v>
      </c>
    </row>
    <row r="58" spans="5:25" x14ac:dyDescent="0.2">
      <c r="R58" s="422">
        <f>_xll.qlCalendarAdvance(Calendar,R57,"1D","f")</f>
        <v>42205</v>
      </c>
      <c r="S58" s="448">
        <f>_xll.qlCalendarAdvance(Calendar,R58,$F$1,"mf",,Trigger)</f>
        <v>42389</v>
      </c>
      <c r="T58" s="449">
        <f>_xll.qlDayCounterYearFraction(DayCounter,R58,S58,,,Trigger)</f>
        <v>0.50410958904109593</v>
      </c>
      <c r="U58" s="423">
        <f>_xll.qlInterpolationInterpolate(B6Minterpolation,R58,TRUE)</f>
        <v>2.6129732754232048E-3</v>
      </c>
      <c r="V58" s="345">
        <f>_xll.qlYieldTSDiscount(Discounting,R58,,AllTriggers)</f>
        <v>0.99899614981870977</v>
      </c>
      <c r="W58" s="345">
        <f>_xll.qlYieldTSDiscount(Discounting,S58,,AllTriggers)</f>
        <v>0.99655554630113341</v>
      </c>
      <c r="X58" s="32">
        <f t="shared" si="1"/>
        <v>4.8581482532168039E-3</v>
      </c>
      <c r="Y58" s="451">
        <f t="shared" si="2"/>
        <v>1.3131442784611212E-3</v>
      </c>
    </row>
    <row r="59" spans="5:25" x14ac:dyDescent="0.2">
      <c r="R59" s="422">
        <f>_xll.qlCalendarAdvance(Calendar,R58,"1D","f")</f>
        <v>42206</v>
      </c>
      <c r="S59" s="448">
        <f>_xll.qlCalendarAdvance(Calendar,R59,$F$1,"mf",,Trigger)</f>
        <v>42390</v>
      </c>
      <c r="T59" s="449">
        <f>_xll.qlDayCounterYearFraction(DayCounter,R59,S59,,,Trigger)</f>
        <v>0.50410958904109593</v>
      </c>
      <c r="U59" s="423">
        <f>_xll.qlInterpolationInterpolate(B6Minterpolation,R59,TRUE)</f>
        <v>2.6169039636806833E-3</v>
      </c>
      <c r="V59" s="345">
        <f>_xll.qlYieldTSDiscount(Discounting,R59,,AllTriggers)</f>
        <v>0.99898384567328491</v>
      </c>
      <c r="W59" s="345">
        <f>_xll.qlYieldTSDiscount(Discounting,S59,,AllTriggers)</f>
        <v>0.99654059977677978</v>
      </c>
      <c r="X59" s="32">
        <f t="shared" si="1"/>
        <v>4.8634809893089723E-3</v>
      </c>
      <c r="Y59" s="451">
        <f t="shared" si="2"/>
        <v>1.3151148148669242E-3</v>
      </c>
    </row>
    <row r="60" spans="5:25" x14ac:dyDescent="0.2">
      <c r="R60" s="422">
        <f>_xll.qlCalendarAdvance(Calendar,R59,"1D","f")</f>
        <v>42207</v>
      </c>
      <c r="S60" s="448">
        <f>_xll.qlCalendarAdvance(Calendar,R60,$F$1,"mf",,Trigger)</f>
        <v>42391</v>
      </c>
      <c r="T60" s="449">
        <f>_xll.qlDayCounterYearFraction(DayCounter,R60,S60,,,Trigger)</f>
        <v>0.50410958904109593</v>
      </c>
      <c r="U60" s="423">
        <f>_xll.qlInterpolationInterpolate(B6Minterpolation,R60,TRUE)</f>
        <v>2.6205975471254115E-3</v>
      </c>
      <c r="V60" s="345">
        <f>_xll.qlYieldTSDiscount(Discounting,R60,,AllTriggers)</f>
        <v>0.99897154087415185</v>
      </c>
      <c r="W60" s="345">
        <f>_xll.qlYieldTSDiscount(Discounting,S60,,AllTriggers)</f>
        <v>0.99652560096661114</v>
      </c>
      <c r="X60" s="32">
        <f t="shared" si="1"/>
        <v>4.8689169203086332E-3</v>
      </c>
      <c r="Y60" s="451">
        <f t="shared" si="2"/>
        <v>1.3169661912949351E-3</v>
      </c>
    </row>
    <row r="61" spans="5:25" x14ac:dyDescent="0.2">
      <c r="R61" s="422">
        <f>_xll.qlCalendarAdvance(Calendar,R60,"1D","f")</f>
        <v>42208</v>
      </c>
      <c r="S61" s="448">
        <f>_xll.qlCalendarAdvance(Calendar,R61,$F$1,"mf",,Trigger)</f>
        <v>42394</v>
      </c>
      <c r="T61" s="449">
        <f>_xll.qlDayCounterYearFraction(DayCounter,R61,S61,,,Trigger)</f>
        <v>0.50958904109589043</v>
      </c>
      <c r="U61" s="423">
        <f>_xll.qlInterpolationInterpolate(B6Minterpolation,R61,TRUE)</f>
        <v>2.624020748302894E-3</v>
      </c>
      <c r="V61" s="345">
        <f>_xll.qlYieldTSDiscount(Discounting,R61,,AllTriggers)</f>
        <v>0.99895923531922914</v>
      </c>
      <c r="W61" s="345">
        <f>_xll.qlYieldTSDiscount(Discounting,S61,,AllTriggers)</f>
        <v>0.99648026944975676</v>
      </c>
      <c r="X61" s="32">
        <f t="shared" si="1"/>
        <v>4.8818200155516947E-3</v>
      </c>
      <c r="Y61" s="451">
        <f t="shared" si="2"/>
        <v>1.3329651661970433E-3</v>
      </c>
    </row>
    <row r="62" spans="5:25" x14ac:dyDescent="0.2">
      <c r="R62" s="422">
        <f>_xll.qlCalendarAdvance(Calendar,R61,"1D","f")</f>
        <v>42209</v>
      </c>
      <c r="S62" s="448">
        <f>_xll.qlCalendarAdvance(Calendar,R62,$F$1,"mf",,Trigger)</f>
        <v>42394</v>
      </c>
      <c r="T62" s="449">
        <f>_xll.qlDayCounterYearFraction(DayCounter,R62,S62,,,Trigger)</f>
        <v>0.50684931506849318</v>
      </c>
      <c r="U62" s="423">
        <f>_xll.qlInterpolationInterpolate(B6Minterpolation,R62,TRUE)</f>
        <v>2.6271402897586342E-3</v>
      </c>
      <c r="V62" s="345">
        <f>_xll.qlYieldTSDiscount(Discounting,R62,,AllTriggers)</f>
        <v>0.99894692890644032</v>
      </c>
      <c r="W62" s="345">
        <f>_xll.qlYieldTSDiscount(Discounting,S62,,AllTriggers)</f>
        <v>0.99648026944975676</v>
      </c>
      <c r="X62" s="32">
        <f t="shared" si="1"/>
        <v>4.88384225033616E-3</v>
      </c>
      <c r="Y62" s="451">
        <f t="shared" si="2"/>
        <v>1.3273948998669485E-3</v>
      </c>
    </row>
    <row r="63" spans="5:25" x14ac:dyDescent="0.2">
      <c r="R63" s="422">
        <f>_xll.qlCalendarAdvance(Calendar,R62,"1D","f")</f>
        <v>42212</v>
      </c>
      <c r="S63" s="448">
        <f>_xll.qlCalendarAdvance(Calendar,R63,$F$1,"mf",,Trigger)</f>
        <v>42396</v>
      </c>
      <c r="T63" s="449">
        <f>_xll.qlDayCounterYearFraction(DayCounter,R63,S63,,,Trigger)</f>
        <v>0.50410958904109593</v>
      </c>
      <c r="U63" s="423">
        <f>_xll.qlInterpolationInterpolate(B6Minterpolation,R63,TRUE)</f>
        <v>2.6343441812504424E-3</v>
      </c>
      <c r="V63" s="345">
        <f>_xll.qlYieldTSDiscount(Discounting,R63,,AllTriggers)</f>
        <v>0.99891000350018777</v>
      </c>
      <c r="W63" s="345">
        <f>_xll.qlYieldTSDiscount(Discounting,S63,,AllTriggers)</f>
        <v>0.9964497478308747</v>
      </c>
      <c r="X63" s="32">
        <f t="shared" si="1"/>
        <v>4.8977868528508337E-3</v>
      </c>
      <c r="Y63" s="451">
        <f t="shared" si="2"/>
        <v>1.3238507052899882E-3</v>
      </c>
    </row>
    <row r="64" spans="5:25" x14ac:dyDescent="0.2">
      <c r="R64" s="422">
        <f>_xll.qlCalendarAdvance(Calendar,R63,"1D","f")</f>
        <v>42213</v>
      </c>
      <c r="S64" s="448">
        <f>_xll.qlCalendarAdvance(Calendar,R64,$F$1,"mf",,Trigger)</f>
        <v>42397</v>
      </c>
      <c r="T64" s="449">
        <f>_xll.qlDayCounterYearFraction(DayCounter,R64,S64,,,Trigger)</f>
        <v>0.50410958904109593</v>
      </c>
      <c r="U64" s="423">
        <f>_xll.qlInterpolationInterpolate(B6Minterpolation,R64,TRUE)</f>
        <v>2.6359163092742549E-3</v>
      </c>
      <c r="V64" s="345">
        <f>_xll.qlYieldTSDiscount(Discounting,R64,,AllTriggers)</f>
        <v>0.99889769263527028</v>
      </c>
      <c r="W64" s="345">
        <f>_xll.qlYieldTSDiscount(Discounting,S64,,AllTriggers)</f>
        <v>0.99643439042917437</v>
      </c>
      <c r="X64" s="32">
        <f t="shared" si="1"/>
        <v>4.9039273665758163E-3</v>
      </c>
      <c r="Y64" s="451">
        <f t="shared" si="2"/>
        <v>1.3246361443477335E-3</v>
      </c>
    </row>
    <row r="65" spans="18:25" x14ac:dyDescent="0.2">
      <c r="R65" s="422">
        <f>_xll.qlCalendarAdvance(Calendar,R64,"1D","f")</f>
        <v>42214</v>
      </c>
      <c r="S65" s="448">
        <f>_xll.qlCalendarAdvance(Calendar,R65,$F$1,"mf",,Trigger)</f>
        <v>42398</v>
      </c>
      <c r="T65" s="449">
        <f>_xll.qlDayCounterYearFraction(DayCounter,R65,S65,,,Trigger)</f>
        <v>0.50410958904109593</v>
      </c>
      <c r="U65" s="423">
        <f>_xll.qlInterpolationInterpolate(B6Minterpolation,R65,TRUE)</f>
        <v>2.6370183903038453E-3</v>
      </c>
      <c r="V65" s="345">
        <f>_xll.qlYieldTSDiscount(Discounting,R65,,AllTriggers)</f>
        <v>0.99888538040217978</v>
      </c>
      <c r="W65" s="345">
        <f>_xll.qlYieldTSDiscount(Discounting,S65,,AllTriggers)</f>
        <v>0.99641896578409539</v>
      </c>
      <c r="X65" s="32">
        <f t="shared" si="1"/>
        <v>4.9101995469367568E-3</v>
      </c>
      <c r="Y65" s="451">
        <f t="shared" si="2"/>
        <v>1.3251854331786021E-3</v>
      </c>
    </row>
    <row r="66" spans="18:25" x14ac:dyDescent="0.2">
      <c r="R66" s="422">
        <f>_xll.qlCalendarAdvance(Calendar,R65,"1D","f")</f>
        <v>42215</v>
      </c>
      <c r="S66" s="448">
        <f>_xll.qlCalendarAdvance(Calendar,R66,$F$1,"mf",,Trigger)</f>
        <v>42398</v>
      </c>
      <c r="T66" s="449">
        <f>_xll.qlDayCounterYearFraction(DayCounter,R66,S66,,,Trigger)</f>
        <v>0.50136986301369868</v>
      </c>
      <c r="U66" s="423">
        <f>_xll.qlInterpolationInterpolate(B6Minterpolation,R66,TRUE)</f>
        <v>2.637617146884718E-3</v>
      </c>
      <c r="V66" s="345">
        <f>_xll.qlYieldTSDiscount(Discounting,R66,,AllTriggers)</f>
        <v>0.99887306669886999</v>
      </c>
      <c r="W66" s="345">
        <f>_xll.qlYieldTSDiscount(Discounting,S66,,AllTriggers)</f>
        <v>0.99641896578409539</v>
      </c>
      <c r="X66" s="32">
        <f t="shared" si="1"/>
        <v>4.9123828531152823E-3</v>
      </c>
      <c r="Y66" s="451">
        <f t="shared" si="2"/>
        <v>1.3183033858829183E-3</v>
      </c>
    </row>
    <row r="67" spans="18:25" x14ac:dyDescent="0.2">
      <c r="R67" s="422">
        <f>_xll.qlCalendarAdvance(Calendar,R66,"1D","f")</f>
        <v>42216</v>
      </c>
      <c r="S67" s="448">
        <f>_xll.qlCalendarAdvance(Calendar,R67,$F$1,"mf",,Trigger)</f>
        <v>42398</v>
      </c>
      <c r="T67" s="449">
        <f>_xll.qlDayCounterYearFraction(DayCounter,R67,S67,,,Trigger)</f>
        <v>0.49863013698630138</v>
      </c>
      <c r="U67" s="423">
        <f>_xll.qlInterpolationInterpolate(B6Minterpolation,R67,TRUE)</f>
        <v>2.6379120235273138E-3</v>
      </c>
      <c r="V67" s="345">
        <f>_xll.qlYieldTSDiscount(Discounting,R67,,AllTriggers)</f>
        <v>0.99886075142329978</v>
      </c>
      <c r="W67" s="345">
        <f>_xll.qlYieldTSDiscount(Discounting,S67,,AllTriggers)</f>
        <v>0.99641896578409539</v>
      </c>
      <c r="X67" s="32">
        <f t="shared" si="1"/>
        <v>4.9145869871777305E-3</v>
      </c>
      <c r="Y67" s="451">
        <f t="shared" si="2"/>
        <v>1.3112668998557166E-3</v>
      </c>
    </row>
    <row r="68" spans="18:25" x14ac:dyDescent="0.2">
      <c r="R68" s="422">
        <f>_xll.qlCalendarAdvance(Calendar,R67,"1D","f")</f>
        <v>42219</v>
      </c>
      <c r="S68" s="448">
        <f>_xll.qlCalendarAdvance(Calendar,R68,$F$1,"mf",,Trigger)</f>
        <v>42403</v>
      </c>
      <c r="T68" s="449">
        <f>_xll.qlDayCounterYearFraction(DayCounter,R68,S68,,,Trigger)</f>
        <v>0.50410958904109593</v>
      </c>
      <c r="U68" s="423">
        <f>_xll.qlInterpolationInterpolate(B6Minterpolation,R68,TRUE)</f>
        <v>2.6383451509400285E-3</v>
      </c>
      <c r="V68" s="345">
        <f>_xll.qlYieldTSDiscount(Discounting,R68,,AllTriggers)</f>
        <v>0.99882379473348426</v>
      </c>
      <c r="W68" s="345">
        <f>_xll.qlYieldTSDiscount(Discounting,S68,,AllTriggers)</f>
        <v>0.99634082637567534</v>
      </c>
      <c r="X68" s="32">
        <f t="shared" ref="X68:X131" si="10">(V68/W68-1)/T68</f>
        <v>4.943542817358846E-3</v>
      </c>
      <c r="Y68" s="451">
        <f t="shared" ref="Y68:Y131" si="11">LN((1+(U68+X68)*T68)/(1+X68*T68))</f>
        <v>1.3258295150390248E-3</v>
      </c>
    </row>
    <row r="69" spans="18:25" x14ac:dyDescent="0.2">
      <c r="R69" s="422">
        <f>_xll.qlCalendarAdvance(Calendar,R68,"1D","f")</f>
        <v>42220</v>
      </c>
      <c r="S69" s="448">
        <f>_xll.qlCalendarAdvance(Calendar,R69,$F$1,"mf",,Trigger)</f>
        <v>42404</v>
      </c>
      <c r="T69" s="449">
        <f>_xll.qlDayCounterYearFraction(DayCounter,R69,S69,,,Trigger)</f>
        <v>0.50410958904109593</v>
      </c>
      <c r="U69" s="423">
        <f>_xll.qlInterpolationInterpolate(B6Minterpolation,R69,TRUE)</f>
        <v>2.6383565260033924E-3</v>
      </c>
      <c r="V69" s="345">
        <f>_xll.qlYieldTSDiscount(Discounting,R69,,AllTriggers)</f>
        <v>0.99881147158781003</v>
      </c>
      <c r="W69" s="345">
        <f>_xll.qlYieldTSDiscount(Discounting,S69,,AllTriggers)</f>
        <v>0.99632500235663868</v>
      </c>
      <c r="X69" s="32">
        <f t="shared" si="10"/>
        <v>4.9505916156594833E-3</v>
      </c>
      <c r="Y69" s="451">
        <f t="shared" si="11"/>
        <v>1.3258305311470641E-3</v>
      </c>
    </row>
    <row r="70" spans="18:25" x14ac:dyDescent="0.2">
      <c r="R70" s="422">
        <f>_xll.qlCalendarAdvance(Calendar,R69,"1D","f")</f>
        <v>42221</v>
      </c>
      <c r="S70" s="448">
        <f>_xll.qlCalendarAdvance(Calendar,R70,$F$1,"mf",,Trigger)</f>
        <v>42405</v>
      </c>
      <c r="T70" s="449">
        <f>_xll.qlDayCounterYearFraction(DayCounter,R70,S70,,,Trigger)</f>
        <v>0.50410958904109593</v>
      </c>
      <c r="U70" s="423">
        <f>_xll.qlInterpolationInterpolate(B6Minterpolation,R70,TRUE)</f>
        <v>2.6383101507450614E-3</v>
      </c>
      <c r="V70" s="345">
        <f>_xll.qlYieldTSDiscount(Discounting,R70,,AllTriggers)</f>
        <v>0.99879914599602981</v>
      </c>
      <c r="W70" s="345">
        <f>_xll.qlYieldTSDiscount(Discounting,S70,,AllTriggers)</f>
        <v>0.99630911550394019</v>
      </c>
      <c r="X70" s="32">
        <f t="shared" si="10"/>
        <v>4.9577611848309923E-3</v>
      </c>
      <c r="Y70" s="451">
        <f t="shared" si="11"/>
        <v>1.3258024653470543E-3</v>
      </c>
    </row>
    <row r="71" spans="18:25" x14ac:dyDescent="0.2">
      <c r="R71" s="422">
        <f>_xll.qlCalendarAdvance(Calendar,R70,"1D","f")</f>
        <v>42222</v>
      </c>
      <c r="S71" s="448">
        <f>_xll.qlCalendarAdvance(Calendar,R71,$F$1,"mf",,Trigger)</f>
        <v>42408</v>
      </c>
      <c r="T71" s="449">
        <f>_xll.qlDayCounterYearFraction(DayCounter,R71,S71,,,Trigger)</f>
        <v>0.50958904109589043</v>
      </c>
      <c r="U71" s="423">
        <f>_xll.qlInterpolationInterpolate(B6Minterpolation,R71,TRUE)</f>
        <v>2.6382112751942802E-3</v>
      </c>
      <c r="V71" s="345">
        <f>_xll.qlYieldTSDiscount(Discounting,R71,,AllTriggers)</f>
        <v>0.99878681776521494</v>
      </c>
      <c r="W71" s="345">
        <f>_xll.qlYieldTSDiscount(Discounting,S71,,AllTriggers)</f>
        <v>0.99626108885154407</v>
      </c>
      <c r="X71" s="32">
        <f t="shared" si="10"/>
        <v>4.9750046135996597E-3</v>
      </c>
      <c r="Y71" s="451">
        <f t="shared" si="11"/>
        <v>1.3401054879169849E-3</v>
      </c>
    </row>
    <row r="72" spans="18:25" x14ac:dyDescent="0.2">
      <c r="R72" s="422">
        <f>_xll.qlCalendarAdvance(Calendar,R71,"1D","f")</f>
        <v>42223</v>
      </c>
      <c r="S72" s="448">
        <f>_xll.qlCalendarAdvance(Calendar,R72,$F$1,"mf",,Trigger)</f>
        <v>42408</v>
      </c>
      <c r="T72" s="449">
        <f>_xll.qlDayCounterYearFraction(DayCounter,R72,S72,,,Trigger)</f>
        <v>0.50684931506849318</v>
      </c>
      <c r="U72" s="423">
        <f>_xll.qlInterpolationInterpolate(B6Minterpolation,R72,TRUE)</f>
        <v>2.6380651493802935E-3</v>
      </c>
      <c r="V72" s="345">
        <f>_xll.qlYieldTSDiscount(Discounting,R72,,AllTriggers)</f>
        <v>0.99877448670244651</v>
      </c>
      <c r="W72" s="345">
        <f>_xll.qlYieldTSDiscount(Discounting,S72,,AllTriggers)</f>
        <v>0.99626108885154407</v>
      </c>
      <c r="X72" s="32">
        <f t="shared" si="10"/>
        <v>4.9774763720574914E-3</v>
      </c>
      <c r="Y72" s="451">
        <f t="shared" si="11"/>
        <v>1.3328480856289019E-3</v>
      </c>
    </row>
    <row r="73" spans="18:25" x14ac:dyDescent="0.2">
      <c r="R73" s="422">
        <f>_xll.qlCalendarAdvance(Calendar,R72,"1D","f")</f>
        <v>42226</v>
      </c>
      <c r="S73" s="448">
        <f>_xll.qlCalendarAdvance(Calendar,R73,$F$1,"mf",,Trigger)</f>
        <v>42410</v>
      </c>
      <c r="T73" s="449">
        <f>_xll.qlDayCounterYearFraction(DayCounter,R73,S73,,,Trigger)</f>
        <v>0.50410958904109593</v>
      </c>
      <c r="U73" s="423">
        <f>_xll.qlInterpolationInterpolate(B6Minterpolation,R73,TRUE)</f>
        <v>2.6373957706515528E-3</v>
      </c>
      <c r="V73" s="345">
        <f>_xll.qlYieldTSDiscount(Discounting,R73,,AllTriggers)</f>
        <v>0.99873747459337237</v>
      </c>
      <c r="W73" s="345">
        <f>_xll.qlYieldTSDiscount(Discounting,S73,,AllTriggers)</f>
        <v>0.99622877691133849</v>
      </c>
      <c r="X73" s="32">
        <f t="shared" si="10"/>
        <v>4.9953311927990783E-3</v>
      </c>
      <c r="Y73" s="451">
        <f t="shared" si="11"/>
        <v>1.3253182542480165E-3</v>
      </c>
    </row>
    <row r="74" spans="18:25" x14ac:dyDescent="0.2">
      <c r="R74" s="422">
        <f>_xll.qlCalendarAdvance(Calendar,R73,"1D","f")</f>
        <v>42227</v>
      </c>
      <c r="S74" s="448">
        <f>_xll.qlCalendarAdvance(Calendar,R74,$F$1,"mf",,Trigger)</f>
        <v>42411</v>
      </c>
      <c r="T74" s="449">
        <f>_xll.qlDayCounterYearFraction(DayCounter,R74,S74,,,Trigger)</f>
        <v>0.50410958904109593</v>
      </c>
      <c r="U74" s="423">
        <f>_xll.qlInterpolationInterpolate(B6Minterpolation,R74,TRUE)</f>
        <v>2.6371131440771954E-3</v>
      </c>
      <c r="V74" s="345">
        <f>_xll.qlYieldTSDiscount(Discounting,R74,,AllTriggers)</f>
        <v>0.99872513027379028</v>
      </c>
      <c r="W74" s="345">
        <f>_xll.qlYieldTSDiscount(Discounting,S74,,AllTriggers)</f>
        <v>0.9962125359613323</v>
      </c>
      <c r="X74" s="32">
        <f t="shared" si="10"/>
        <v>5.0031717463686542E-3</v>
      </c>
      <c r="Y74" s="451">
        <f t="shared" si="11"/>
        <v>1.3251711044551821E-3</v>
      </c>
    </row>
    <row r="75" spans="18:25" x14ac:dyDescent="0.2">
      <c r="R75" s="422">
        <f>_xll.qlCalendarAdvance(Calendar,R74,"1D","f")</f>
        <v>42228</v>
      </c>
      <c r="S75" s="448">
        <f>_xll.qlCalendarAdvance(Calendar,R75,$F$1,"mf",,Trigger)</f>
        <v>42412</v>
      </c>
      <c r="T75" s="449">
        <f>_xll.qlDayCounterYearFraction(DayCounter,R75,S75,,,Trigger)</f>
        <v>0.50410958904109593</v>
      </c>
      <c r="U75" s="423">
        <f>_xll.qlInterpolationInterpolate(B6Minterpolation,R75,TRUE)</f>
        <v>2.6368095173858581E-3</v>
      </c>
      <c r="V75" s="345">
        <f>_xll.qlYieldTSDiscount(Discounting,R75,,AllTriggers)</f>
        <v>0.99871278215780301</v>
      </c>
      <c r="W75" s="345">
        <f>_xll.qlYieldTSDiscount(Discounting,S75,,AllTriggers)</f>
        <v>0.99619623981199501</v>
      </c>
      <c r="X75" s="32">
        <f t="shared" si="10"/>
        <v>5.0111151903495599E-3</v>
      </c>
      <c r="Y75" s="451">
        <f t="shared" si="11"/>
        <v>1.3250133415906552E-3</v>
      </c>
    </row>
    <row r="76" spans="18:25" x14ac:dyDescent="0.2">
      <c r="R76" s="422">
        <f>_xll.qlCalendarAdvance(Calendar,R75,"1D","f")</f>
        <v>42229</v>
      </c>
      <c r="S76" s="448">
        <f>_xll.qlCalendarAdvance(Calendar,R76,$F$1,"mf",,Trigger)</f>
        <v>42415</v>
      </c>
      <c r="T76" s="449">
        <f>_xll.qlDayCounterYearFraction(DayCounter,R76,S76,,,Trigger)</f>
        <v>0.50958904109589043</v>
      </c>
      <c r="U76" s="423">
        <f>_xll.qlInterpolationInterpolate(B6Minterpolation,R76,TRUE)</f>
        <v>2.6364901406067858E-3</v>
      </c>
      <c r="V76" s="345">
        <f>_xll.qlYieldTSDiscount(Discounting,R76,,AllTriggers)</f>
        <v>0.99870043005254872</v>
      </c>
      <c r="W76" s="345">
        <f>_xll.qlYieldTSDiscount(Discounting,S76,,AllTriggers)</f>
        <v>0.99614703107144487</v>
      </c>
      <c r="X76" s="32">
        <f t="shared" si="10"/>
        <v>5.0300830553486218E-3</v>
      </c>
      <c r="Y76" s="451">
        <f t="shared" si="11"/>
        <v>1.3391943382394381E-3</v>
      </c>
    </row>
    <row r="77" spans="18:25" x14ac:dyDescent="0.2">
      <c r="R77" s="422">
        <f>_xll.qlCalendarAdvance(Calendar,R76,"1D","f")</f>
        <v>42230</v>
      </c>
      <c r="S77" s="448">
        <f>_xll.qlCalendarAdvance(Calendar,R77,$F$1,"mf",,Trigger)</f>
        <v>42415</v>
      </c>
      <c r="T77" s="449">
        <f>_xll.qlDayCounterYearFraction(DayCounter,R77,S77,,,Trigger)</f>
        <v>0.50684931506849318</v>
      </c>
      <c r="U77" s="423">
        <f>_xll.qlInterpolationInterpolate(B6Minterpolation,R77,TRUE)</f>
        <v>2.6361602637692233E-3</v>
      </c>
      <c r="V77" s="345">
        <f>_xll.qlYieldTSDiscount(Discounting,R77,,AllTriggers)</f>
        <v>0.99868807376517554</v>
      </c>
      <c r="W77" s="345">
        <f>_xll.qlYieldTSDiscount(Discounting,S77,,AllTriggers)</f>
        <v>0.99614703107144487</v>
      </c>
      <c r="X77" s="32">
        <f t="shared" si="10"/>
        <v>5.0327997790736738E-3</v>
      </c>
      <c r="Y77" s="451">
        <f t="shared" si="11"/>
        <v>1.331849080483445E-3</v>
      </c>
    </row>
    <row r="78" spans="18:25" x14ac:dyDescent="0.2">
      <c r="R78" s="422">
        <f>_xll.qlCalendarAdvance(Calendar,R77,"1D","f")</f>
        <v>42233</v>
      </c>
      <c r="S78" s="448">
        <f>_xll.qlCalendarAdvance(Calendar,R78,$F$1,"mf",,Trigger)</f>
        <v>42417</v>
      </c>
      <c r="T78" s="449">
        <f>_xll.qlDayCounterYearFraction(DayCounter,R78,S78,,,Trigger)</f>
        <v>0.50410958904109593</v>
      </c>
      <c r="U78" s="423">
        <f>_xll.qlInterpolationInterpolate(B6Minterpolation,R78,TRUE)</f>
        <v>2.6351601331980456E-3</v>
      </c>
      <c r="V78" s="345">
        <f>_xll.qlYieldTSDiscount(Discounting,R78,,AllTriggers)</f>
        <v>0.99865097788196633</v>
      </c>
      <c r="W78" s="345">
        <f>_xll.qlYieldTSDiscount(Discounting,S78,,AllTriggers)</f>
        <v>0.99611396923630824</v>
      </c>
      <c r="X78" s="32">
        <f t="shared" si="10"/>
        <v>5.0522863601422923E-3</v>
      </c>
      <c r="Y78" s="451">
        <f t="shared" si="11"/>
        <v>1.3241576689849664E-3</v>
      </c>
    </row>
    <row r="79" spans="18:25" x14ac:dyDescent="0.2">
      <c r="R79" s="422">
        <f>_xll.qlCalendarAdvance(Calendar,R78,"1D","f")</f>
        <v>42234</v>
      </c>
      <c r="S79" s="448">
        <f>_xll.qlCalendarAdvance(Calendar,R79,$F$1,"mf",,Trigger)</f>
        <v>42418</v>
      </c>
      <c r="T79" s="449">
        <f>_xll.qlDayCounterYearFraction(DayCounter,R79,S79,,,Trigger)</f>
        <v>0.50410958904109593</v>
      </c>
      <c r="U79" s="423">
        <f>_xll.qlInterpolationInterpolate(B6Minterpolation,R79,TRUE)</f>
        <v>2.6348407564189733E-3</v>
      </c>
      <c r="V79" s="345">
        <f>_xll.qlYieldTSDiscount(Discounting,R79,,AllTriggers)</f>
        <v>0.99863860293778961</v>
      </c>
      <c r="W79" s="345">
        <f>_xll.qlYieldTSDiscount(Discounting,S79,,AllTriggers)</f>
        <v>0.99609736478667676</v>
      </c>
      <c r="X79" s="32">
        <f t="shared" si="10"/>
        <v>5.0607935024309944E-3</v>
      </c>
      <c r="Y79" s="451">
        <f t="shared" si="11"/>
        <v>1.3239916297875674E-3</v>
      </c>
    </row>
    <row r="80" spans="18:25" x14ac:dyDescent="0.2">
      <c r="R80" s="422">
        <f>_xll.qlCalendarAdvance(Calendar,R79,"1D","f")</f>
        <v>42235</v>
      </c>
      <c r="S80" s="448">
        <f>_xll.qlCalendarAdvance(Calendar,R80,$F$1,"mf",,Trigger)</f>
        <v>42419</v>
      </c>
      <c r="T80" s="449">
        <f>_xll.qlDayCounterYearFraction(DayCounter,R80,S80,,,Trigger)</f>
        <v>0.50410958904109593</v>
      </c>
      <c r="U80" s="423">
        <f>_xll.qlInterpolationInterpolate(B6Minterpolation,R80,TRUE)</f>
        <v>2.6345371297276359E-3</v>
      </c>
      <c r="V80" s="345">
        <f>_xll.qlYieldTSDiscount(Discounting,R80,,AllTriggers)</f>
        <v>0.99862622284737801</v>
      </c>
      <c r="W80" s="345">
        <f>_xll.qlYieldTSDiscount(Discounting,S80,,AllTriggers)</f>
        <v>0.99608071276901522</v>
      </c>
      <c r="X80" s="32">
        <f t="shared" si="10"/>
        <v>5.0693856534738506E-3</v>
      </c>
      <c r="Y80" s="451">
        <f t="shared" si="11"/>
        <v>1.323833444488753E-3</v>
      </c>
    </row>
    <row r="81" spans="18:25" x14ac:dyDescent="0.2">
      <c r="R81" s="422">
        <f>_xll.qlCalendarAdvance(Calendar,R80,"1D","f")</f>
        <v>42236</v>
      </c>
      <c r="S81" s="448">
        <f>_xll.qlCalendarAdvance(Calendar,R81,$F$1,"mf",,Trigger)</f>
        <v>42422</v>
      </c>
      <c r="T81" s="449">
        <f>_xll.qlDayCounterYearFraction(DayCounter,R81,S81,,,Trigger)</f>
        <v>0.50958904109589043</v>
      </c>
      <c r="U81" s="423">
        <f>_xll.qlInterpolationInterpolate(B6Minterpolation,R81,TRUE)</f>
        <v>2.6342545031532785E-3</v>
      </c>
      <c r="V81" s="345">
        <f>_xll.qlYieldTSDiscount(Discounting,R81,,AllTriggers)</f>
        <v>0.99861383741793752</v>
      </c>
      <c r="W81" s="345">
        <f>_xll.qlYieldTSDiscount(Discounting,S81,,AllTriggers)</f>
        <v>0.99603048220678847</v>
      </c>
      <c r="X81" s="32">
        <f t="shared" si="10"/>
        <v>5.0896909956866286E-3</v>
      </c>
      <c r="Y81" s="451">
        <f t="shared" si="11"/>
        <v>1.3380190027326559E-3</v>
      </c>
    </row>
    <row r="82" spans="18:25" x14ac:dyDescent="0.2">
      <c r="R82" s="422">
        <f>_xll.qlCalendarAdvance(Calendar,R81,"1D","f")</f>
        <v>42237</v>
      </c>
      <c r="S82" s="448">
        <f>_xll.qlCalendarAdvance(Calendar,R82,$F$1,"mf",,Trigger)</f>
        <v>42422</v>
      </c>
      <c r="T82" s="449">
        <f>_xll.qlDayCounterYearFraction(DayCounter,R82,S82,,,Trigger)</f>
        <v>0.50684931506849318</v>
      </c>
      <c r="U82" s="423">
        <f>_xll.qlInterpolationInterpolate(B6Minterpolation,R82,TRUE)</f>
        <v>2.6339981267251467E-3</v>
      </c>
      <c r="V82" s="345">
        <f>_xll.qlYieldTSDiscount(Discounting,R82,,AllTriggers)</f>
        <v>0.99860144645668336</v>
      </c>
      <c r="W82" s="345">
        <f>_xll.qlYieldTSDiscount(Discounting,S82,,AllTriggers)</f>
        <v>0.99603048220678847</v>
      </c>
      <c r="X82" s="32">
        <f t="shared" si="10"/>
        <v>5.0926583775668787E-3</v>
      </c>
      <c r="Y82" s="451">
        <f t="shared" si="11"/>
        <v>1.3307172018915498E-3</v>
      </c>
    </row>
    <row r="83" spans="18:25" x14ac:dyDescent="0.2">
      <c r="R83" s="422">
        <f>_xll.qlCalendarAdvance(Calendar,R82,"1D","f")</f>
        <v>42240</v>
      </c>
      <c r="S83" s="448">
        <f>_xll.qlCalendarAdvance(Calendar,R83,$F$1,"mf",,Trigger)</f>
        <v>42424</v>
      </c>
      <c r="T83" s="449">
        <f>_xll.qlDayCounterYearFraction(DayCounter,R83,S83,,,Trigger)</f>
        <v>0.50410958904109593</v>
      </c>
      <c r="U83" s="423">
        <f>_xll.qlInterpolationInterpolate(B6Minterpolation,R83,TRUE)</f>
        <v>2.6334389986105511E-3</v>
      </c>
      <c r="V83" s="345">
        <f>_xll.qlYieldTSDiscount(Discounting,R83,,AllTriggers)</f>
        <v>0.99856423845433817</v>
      </c>
      <c r="W83" s="345">
        <f>_xll.qlYieldTSDiscount(Discounting,S83,,AllTriggers)</f>
        <v>0.99599677730537062</v>
      </c>
      <c r="X83" s="32">
        <f t="shared" si="10"/>
        <v>5.1135321261897675E-3</v>
      </c>
      <c r="Y83" s="451">
        <f t="shared" si="11"/>
        <v>1.3232526534350327E-3</v>
      </c>
    </row>
    <row r="84" spans="18:25" x14ac:dyDescent="0.2">
      <c r="R84" s="422">
        <f>_xll.qlCalendarAdvance(Calendar,R83,"1D","f")</f>
        <v>42241</v>
      </c>
      <c r="S84" s="448">
        <f>_xll.qlCalendarAdvance(Calendar,R84,$F$1,"mf",,Trigger)</f>
        <v>42425</v>
      </c>
      <c r="T84" s="449">
        <f>_xll.qlDayCounterYearFraction(DayCounter,R84,S84,,,Trigger)</f>
        <v>0.50410958904109593</v>
      </c>
      <c r="U84" s="423">
        <f>_xll.qlInterpolationInterpolate(B6Minterpolation,R84,TRUE)</f>
        <v>2.6333401230597699E-3</v>
      </c>
      <c r="V84" s="345">
        <f>_xll.qlYieldTSDiscount(Discounting,R84,,AllTriggers)</f>
        <v>0.99855182343817706</v>
      </c>
      <c r="W84" s="345">
        <f>_xll.qlYieldTSDiscount(Discounting,S84,,AllTriggers)</f>
        <v>0.99597986276565731</v>
      </c>
      <c r="X84" s="32">
        <f t="shared" si="10"/>
        <v>5.1225806809711222E-3</v>
      </c>
      <c r="Y84" s="451">
        <f t="shared" si="11"/>
        <v>1.3231969870062597E-3</v>
      </c>
    </row>
    <row r="85" spans="18:25" x14ac:dyDescent="0.2">
      <c r="R85" s="422">
        <f>_xll.qlCalendarAdvance(Calendar,R84,"1D","f")</f>
        <v>42242</v>
      </c>
      <c r="S85" s="448">
        <f>_xll.qlCalendarAdvance(Calendar,R85,$F$1,"mf",,Trigger)</f>
        <v>42426</v>
      </c>
      <c r="T85" s="449">
        <f>_xll.qlDayCounterYearFraction(DayCounter,R85,S85,,,Trigger)</f>
        <v>0.50410958904109593</v>
      </c>
      <c r="U85" s="423">
        <f>_xll.qlInterpolationInterpolate(B6Minterpolation,R85,TRUE)</f>
        <v>2.6332937478014389E-3</v>
      </c>
      <c r="V85" s="345">
        <f>_xll.qlYieldTSDiscount(Discounting,R85,,AllTriggers)</f>
        <v>0.99853940192642454</v>
      </c>
      <c r="W85" s="345">
        <f>_xll.qlYieldTSDiscount(Discounting,S85,,AllTriggers)</f>
        <v>0.99596290828599299</v>
      </c>
      <c r="X85" s="32">
        <f t="shared" si="10"/>
        <v>5.1316963612364581E-3</v>
      </c>
      <c r="Y85" s="451">
        <f t="shared" si="11"/>
        <v>1.3231676391596665E-3</v>
      </c>
    </row>
    <row r="86" spans="18:25" x14ac:dyDescent="0.2">
      <c r="R86" s="422">
        <f>_xll.qlCalendarAdvance(Calendar,R85,"1D","f")</f>
        <v>42243</v>
      </c>
      <c r="S86" s="448">
        <f>_xll.qlCalendarAdvance(Calendar,R86,$F$1,"mf",,Trigger)</f>
        <v>42429</v>
      </c>
      <c r="T86" s="449">
        <f>_xll.qlDayCounterYearFraction(DayCounter,R86,S86,,,Trigger)</f>
        <v>0.50958904109589043</v>
      </c>
      <c r="U86" s="423">
        <f>_xll.qlInterpolationInterpolate(B6Minterpolation,R86,TRUE)</f>
        <v>2.6333051228648028E-3</v>
      </c>
      <c r="V86" s="345">
        <f>_xll.qlYieldTSDiscount(Discounting,R86,,AllTriggers)</f>
        <v>0.99852697372635424</v>
      </c>
      <c r="W86" s="345">
        <f>_xll.qlYieldTSDiscount(Discounting,S86,,AllTriggers)</f>
        <v>0.9959118161014725</v>
      </c>
      <c r="X86" s="32">
        <f t="shared" si="10"/>
        <v>5.152961593767014E-3</v>
      </c>
      <c r="Y86" s="451">
        <f t="shared" si="11"/>
        <v>1.3374941224107962E-3</v>
      </c>
    </row>
    <row r="87" spans="18:25" x14ac:dyDescent="0.2">
      <c r="R87" s="422">
        <f>_xll.qlCalendarAdvance(Calendar,R86,"1D","f")</f>
        <v>42244</v>
      </c>
      <c r="S87" s="448">
        <f>_xll.qlCalendarAdvance(Calendar,R87,$F$1,"mf",,Trigger)</f>
        <v>42429</v>
      </c>
      <c r="T87" s="449">
        <f>_xll.qlDayCounterYearFraction(DayCounter,R87,S87,,,Trigger)</f>
        <v>0.50684931506849318</v>
      </c>
      <c r="U87" s="423">
        <f>_xll.qlInterpolationInterpolate(B6Minterpolation,R87,TRUE)</f>
        <v>2.6333794982791076E-3</v>
      </c>
      <c r="V87" s="345">
        <f>_xll.qlYieldTSDiscount(Discounting,R87,,AllTriggers)</f>
        <v>0.99851453864524942</v>
      </c>
      <c r="W87" s="345">
        <f>_xll.qlYieldTSDiscount(Discounting,S87,,AllTriggers)</f>
        <v>0.9959118161014725</v>
      </c>
      <c r="X87" s="32">
        <f t="shared" si="10"/>
        <v>5.1561806497296241E-3</v>
      </c>
      <c r="Y87" s="451">
        <f t="shared" si="11"/>
        <v>1.3303621796425362E-3</v>
      </c>
    </row>
    <row r="88" spans="18:25" x14ac:dyDescent="0.2">
      <c r="R88" s="422">
        <f>_xll.qlCalendarAdvance(Calendar,R87,"1D","f")</f>
        <v>42248</v>
      </c>
      <c r="S88" s="448">
        <f>_xll.qlCalendarAdvance(Calendar,R88,$F$1,"mf",,Trigger)</f>
        <v>42430</v>
      </c>
      <c r="T88" s="449">
        <f>_xll.qlDayCounterYearFraction(DayCounter,R88,S88,,,Trigger)</f>
        <v>0.49863013698630138</v>
      </c>
      <c r="U88" s="423">
        <f>_xll.qlInterpolationInterpolate(B6Minterpolation,R88,TRUE)</f>
        <v>2.6344871834215345E-3</v>
      </c>
      <c r="V88" s="345">
        <f>_xll.qlYieldTSDiscount(Discounting,R88,,AllTriggers)</f>
        <v>0.99846473016435033</v>
      </c>
      <c r="W88" s="345">
        <f>_xll.qlYieldTSDiscount(Discounting,S88,,AllTriggers)</f>
        <v>0.99589471283233055</v>
      </c>
      <c r="X88" s="32">
        <f t="shared" si="10"/>
        <v>5.175402150426822E-3</v>
      </c>
      <c r="Y88" s="451">
        <f t="shared" si="11"/>
        <v>1.3093958170698151E-3</v>
      </c>
    </row>
    <row r="89" spans="18:25" x14ac:dyDescent="0.2">
      <c r="R89" s="422">
        <f>_xll.qlCalendarAdvance(Calendar,R88,"1D","f")</f>
        <v>42249</v>
      </c>
      <c r="S89" s="448">
        <f>_xll.qlCalendarAdvance(Calendar,R89,$F$1,"mf",,Trigger)</f>
        <v>42431</v>
      </c>
      <c r="T89" s="449">
        <f>_xll.qlDayCounterYearFraction(DayCounter,R89,S89,,,Trigger)</f>
        <v>0.49863013698630138</v>
      </c>
      <c r="U89" s="423">
        <f>_xll.qlInterpolationInterpolate(B6Minterpolation,R89,TRUE)</f>
        <v>2.6351676583107149E-3</v>
      </c>
      <c r="V89" s="345">
        <f>_xll.qlYieldTSDiscount(Discounting,R89,,AllTriggers)</f>
        <v>0.99845226208410598</v>
      </c>
      <c r="W89" s="345">
        <f>_xll.qlYieldTSDiscount(Discounting,S89,,AllTriggers)</f>
        <v>0.99587757552877687</v>
      </c>
      <c r="X89" s="32">
        <f t="shared" si="10"/>
        <v>5.1848940742955452E-3</v>
      </c>
      <c r="Y89" s="451">
        <f t="shared" si="11"/>
        <v>1.309727627202658E-3</v>
      </c>
    </row>
    <row r="90" spans="18:25" x14ac:dyDescent="0.2">
      <c r="R90" s="422">
        <f>_xll.qlCalendarAdvance(Calendar,R89,"1D","f")</f>
        <v>42250</v>
      </c>
      <c r="S90" s="448">
        <f>_xll.qlCalendarAdvance(Calendar,R90,$F$1,"mf",,Trigger)</f>
        <v>42432</v>
      </c>
      <c r="T90" s="449">
        <f>_xll.qlDayCounterYearFraction(DayCounter,R90,S90,,,Trigger)</f>
        <v>0.49863013698630138</v>
      </c>
      <c r="U90" s="423">
        <f>_xll.qlInterpolationInterpolate(B6Minterpolation,R90,TRUE)</f>
        <v>2.6360600152800749E-3</v>
      </c>
      <c r="V90" s="345">
        <f>_xll.qlYieldTSDiscount(Discounting,R90,,AllTriggers)</f>
        <v>0.99843978807963008</v>
      </c>
      <c r="W90" s="345">
        <f>_xll.qlYieldTSDiscount(Discounting,S90,,AllTriggers)</f>
        <v>0.99586040573885903</v>
      </c>
      <c r="X90" s="32">
        <f t="shared" si="10"/>
        <v>5.1944399859414426E-3</v>
      </c>
      <c r="Y90" s="451">
        <f t="shared" si="11"/>
        <v>1.3101646388249744E-3</v>
      </c>
    </row>
    <row r="91" spans="18:25" x14ac:dyDescent="0.2">
      <c r="R91" s="422">
        <f>_xll.qlCalendarAdvance(Calendar,R90,"1D","f")</f>
        <v>42251</v>
      </c>
      <c r="S91" s="448">
        <f>_xll.qlCalendarAdvance(Calendar,R91,$F$1,"mf",,Trigger)</f>
        <v>42433</v>
      </c>
      <c r="T91" s="449">
        <f>_xll.qlDayCounterYearFraction(DayCounter,R91,S91,,,Trigger)</f>
        <v>0.49863013698630138</v>
      </c>
      <c r="U91" s="423">
        <f>_xll.qlInterpolationInterpolate(B6Minterpolation,R91,TRUE)</f>
        <v>2.6371497180220356E-3</v>
      </c>
      <c r="V91" s="345">
        <f>_xll.qlYieldTSDiscount(Discounting,R91,,AllTriggers)</f>
        <v>0.99842730838079097</v>
      </c>
      <c r="W91" s="345">
        <f>_xll.qlYieldTSDiscount(Discounting,S91,,AllTriggers)</f>
        <v>0.99584320501052137</v>
      </c>
      <c r="X91" s="32">
        <f t="shared" si="10"/>
        <v>5.2040372265740294E-3</v>
      </c>
      <c r="Y91" s="451">
        <f t="shared" si="11"/>
        <v>1.3106996319849076E-3</v>
      </c>
    </row>
    <row r="92" spans="18:25" x14ac:dyDescent="0.2">
      <c r="R92" s="422">
        <f>_xll.qlCalendarAdvance(Calendar,R91,"1D","f")</f>
        <v>42254</v>
      </c>
      <c r="S92" s="448">
        <f>_xll.qlCalendarAdvance(Calendar,R92,$F$1,"mf",,Trigger)</f>
        <v>42436</v>
      </c>
      <c r="T92" s="449">
        <f>_xll.qlDayCounterYearFraction(DayCounter,R92,S92,,,Trigger)</f>
        <v>0.49863013698630138</v>
      </c>
      <c r="U92" s="423">
        <f>_xll.qlInterpolationInterpolate(B6Minterpolation,R92,TRUE)</f>
        <v>2.6414575378077214E-3</v>
      </c>
      <c r="V92" s="345">
        <f>_xll.qlYieldTSDiscount(Discounting,R92,,AllTriggers)</f>
        <v>0.99838983741660614</v>
      </c>
      <c r="W92" s="345">
        <f>_xll.qlYieldTSDiscount(Discounting,S92,,AllTriggers)</f>
        <v>0.99579143267287218</v>
      </c>
      <c r="X92" s="32">
        <f t="shared" si="10"/>
        <v>5.2331103337795006E-3</v>
      </c>
      <c r="Y92" s="451">
        <f t="shared" si="11"/>
        <v>1.3128203028914659E-3</v>
      </c>
    </row>
    <row r="93" spans="18:25" x14ac:dyDescent="0.2">
      <c r="R93" s="422">
        <f>_xll.qlCalendarAdvance(Calendar,R92,"1D","f")</f>
        <v>42255</v>
      </c>
      <c r="S93" s="448">
        <f>_xll.qlCalendarAdvance(Calendar,R93,$F$1,"mf",,Trigger)</f>
        <v>42437</v>
      </c>
      <c r="T93" s="449">
        <f>_xll.qlDayCounterYearFraction(DayCounter,R93,S93,,,Trigger)</f>
        <v>0.49863013698630138</v>
      </c>
      <c r="U93" s="423">
        <f>_xll.qlInterpolationInterpolate(B6Minterpolation,R93,TRUE)</f>
        <v>2.6431912605642863E-3</v>
      </c>
      <c r="V93" s="345">
        <f>_xll.qlYieldTSDiscount(Discounting,R93,,AllTriggers)</f>
        <v>0.99837733723876909</v>
      </c>
      <c r="W93" s="345">
        <f>_xll.qlYieldTSDiscount(Discounting,S93,,AllTriggers)</f>
        <v>0.99577412366821438</v>
      </c>
      <c r="X93" s="32">
        <f t="shared" si="10"/>
        <v>5.2428863015081774E-3</v>
      </c>
      <c r="Y93" s="451">
        <f t="shared" si="11"/>
        <v>1.3136750250386151E-3</v>
      </c>
    </row>
    <row r="94" spans="18:25" x14ac:dyDescent="0.2">
      <c r="R94" s="422">
        <f>_xll.qlCalendarAdvance(Calendar,R93,"1D","f")</f>
        <v>42256</v>
      </c>
      <c r="S94" s="448">
        <f>_xll.qlCalendarAdvance(Calendar,R94,$F$1,"mf",,Trigger)</f>
        <v>42438</v>
      </c>
      <c r="T94" s="449">
        <f>_xll.qlDayCounterYearFraction(DayCounter,R94,S94,,,Trigger)</f>
        <v>0.49863013698630138</v>
      </c>
      <c r="U94" s="423">
        <f>_xll.qlInterpolationInterpolate(B6Minterpolation,R94,TRUE)</f>
        <v>2.6450496475555535E-3</v>
      </c>
      <c r="V94" s="345">
        <f>_xll.qlYieldTSDiscount(Discounting,R94,,AllTriggers)</f>
        <v>0.99836483251573926</v>
      </c>
      <c r="W94" s="345">
        <f>_xll.qlYieldTSDiscount(Discounting,S94,,AllTriggers)</f>
        <v>0.99575679146329155</v>
      </c>
      <c r="X94" s="32">
        <f t="shared" si="10"/>
        <v>5.2527003035568514E-3</v>
      </c>
      <c r="Y94" s="451">
        <f t="shared" si="11"/>
        <v>1.3145916308070671E-3</v>
      </c>
    </row>
    <row r="95" spans="18:25" x14ac:dyDescent="0.2">
      <c r="R95" s="422">
        <f>_xll.qlCalendarAdvance(Calendar,R94,"1D","f")</f>
        <v>42257</v>
      </c>
      <c r="S95" s="448">
        <f>_xll.qlCalendarAdvance(Calendar,R95,$F$1,"mf",,Trigger)</f>
        <v>42439</v>
      </c>
      <c r="T95" s="449">
        <f>_xll.qlDayCounterYearFraction(DayCounter,R95,S95,,,Trigger)</f>
        <v>0.49863013698630138</v>
      </c>
      <c r="U95" s="423">
        <f>_xll.qlInterpolationInterpolate(B6Minterpolation,R95,TRUE)</f>
        <v>2.6470181624739437E-3</v>
      </c>
      <c r="V95" s="345">
        <f>_xll.qlYieldTSDiscount(Discounting,R95,,AllTriggers)</f>
        <v>0.99835232347731639</v>
      </c>
      <c r="W95" s="345">
        <f>_xll.qlYieldTSDiscount(Discounting,S95,,AllTriggers)</f>
        <v>0.99573943760541828</v>
      </c>
      <c r="X95" s="32">
        <f t="shared" si="10"/>
        <v>5.2625496808455892E-3</v>
      </c>
      <c r="Y95" s="451">
        <f t="shared" si="11"/>
        <v>1.3155629010408176E-3</v>
      </c>
    </row>
    <row r="96" spans="18:25" x14ac:dyDescent="0.2">
      <c r="R96" s="422">
        <f>_xll.qlCalendarAdvance(Calendar,R95,"1D","f")</f>
        <v>42258</v>
      </c>
      <c r="S96" s="448">
        <f>_xll.qlCalendarAdvance(Calendar,R96,$F$1,"mf",,Trigger)</f>
        <v>42440</v>
      </c>
      <c r="T96" s="449">
        <f>_xll.qlDayCounterYearFraction(DayCounter,R96,S96,,,Trigger)</f>
        <v>0.49863013698630138</v>
      </c>
      <c r="U96" s="423">
        <f>_xll.qlInterpolationInterpolate(B6Minterpolation,R96,TRUE)</f>
        <v>2.6490822690118767E-3</v>
      </c>
      <c r="V96" s="345">
        <f>_xll.qlYieldTSDiscount(Discounting,R96,,AllTriggers)</f>
        <v>0.998339810353289</v>
      </c>
      <c r="W96" s="345">
        <f>_xll.qlYieldTSDiscount(Discounting,S96,,AllTriggers)</f>
        <v>0.99572206364180282</v>
      </c>
      <c r="X96" s="32">
        <f t="shared" si="10"/>
        <v>5.2724317742450259E-3</v>
      </c>
      <c r="Y96" s="451">
        <f t="shared" si="11"/>
        <v>1.3165816167420292E-3</v>
      </c>
    </row>
    <row r="97" spans="18:25" x14ac:dyDescent="0.2">
      <c r="R97" s="422">
        <f>_xll.qlCalendarAdvance(Calendar,R96,"1D","f")</f>
        <v>42261</v>
      </c>
      <c r="S97" s="448">
        <f>_xll.qlCalendarAdvance(Calendar,R97,$F$1,"mf",,Trigger)</f>
        <v>42443</v>
      </c>
      <c r="T97" s="449">
        <f>_xll.qlDayCounterYearFraction(DayCounter,R97,S97,,,Trigger)</f>
        <v>0.49863013698630138</v>
      </c>
      <c r="U97" s="423">
        <f>_xll.qlInterpolationInterpolate(B6Minterpolation,R97,TRUE)</f>
        <v>2.6557027752671394E-3</v>
      </c>
      <c r="V97" s="345">
        <f>_xll.qlYieldTSDiscount(Discounting,R97,,AllTriggers)</f>
        <v>0.99830224876529061</v>
      </c>
      <c r="W97" s="345">
        <f>_xll.qlYieldTSDiscount(Discounting,S97,,AllTriggers)</f>
        <v>0.9956698365869866</v>
      </c>
      <c r="X97" s="32">
        <f t="shared" si="10"/>
        <v>5.3022477590386171E-3</v>
      </c>
      <c r="Y97" s="451">
        <f t="shared" si="11"/>
        <v>1.3198502491655207E-3</v>
      </c>
    </row>
    <row r="98" spans="18:25" x14ac:dyDescent="0.2">
      <c r="R98" s="422">
        <f>_xll.qlCalendarAdvance(Calendar,R97,"1D","f")</f>
        <v>42262</v>
      </c>
      <c r="S98" s="448">
        <f>_xll.qlCalendarAdvance(Calendar,R98,$F$1,"mf",,Trigger)</f>
        <v>42444</v>
      </c>
      <c r="T98" s="449">
        <f>_xll.qlDayCounterYearFraction(DayCounter,R98,S98,,,Trigger)</f>
        <v>0.49863013698630138</v>
      </c>
      <c r="U98" s="423">
        <f>_xll.qlInterpolationInterpolate(B6Minterpolation,R98,TRUE)</f>
        <v>2.6580038852074494E-3</v>
      </c>
      <c r="V98" s="345">
        <f>_xll.qlYieldTSDiscount(Discounting,R98,,AllTriggers)</f>
        <v>0.99828972159649898</v>
      </c>
      <c r="W98" s="345">
        <f>_xll.qlYieldTSDiscount(Discounting,S98,,AllTriggers)</f>
        <v>0.99565239767034952</v>
      </c>
      <c r="X98" s="32">
        <f t="shared" si="10"/>
        <v>5.3122341245576618E-3</v>
      </c>
      <c r="Y98" s="451">
        <f t="shared" si="11"/>
        <v>1.3209865601131791E-3</v>
      </c>
    </row>
    <row r="99" spans="18:25" x14ac:dyDescent="0.2">
      <c r="R99" s="422">
        <f>_xll.qlCalendarAdvance(Calendar,R98,"1D","f")</f>
        <v>42263</v>
      </c>
      <c r="S99" s="448">
        <f>_xll.qlCalendarAdvance(Calendar,R99,$F$1,"mf",,Trigger)</f>
        <v>42445</v>
      </c>
      <c r="T99" s="449">
        <f>_xll.qlDayCounterYearFraction(DayCounter,R99,S99,,,Trigger)</f>
        <v>0.49863013698630138</v>
      </c>
      <c r="U99" s="423">
        <f>_xll.qlInterpolationInterpolate(B6Minterpolation,R99,TRUE)</f>
        <v>2.6603279052294045E-3</v>
      </c>
      <c r="V99" s="345">
        <f>_xll.qlYieldTSDiscount(Discounting,R99,,AllTriggers)</f>
        <v>0.99827719149087257</v>
      </c>
      <c r="W99" s="345">
        <f>_xll.qlYieldTSDiscount(Discounting,S99,,AllTriggers)</f>
        <v>0.99563494638240713</v>
      </c>
      <c r="X99" s="32">
        <f t="shared" si="10"/>
        <v>5.3222399097688682E-3</v>
      </c>
      <c r="Y99" s="451">
        <f t="shared" si="11"/>
        <v>1.3221342240906367E-3</v>
      </c>
    </row>
    <row r="100" spans="18:25" x14ac:dyDescent="0.2">
      <c r="R100" s="422">
        <f>_xll.qlCalendarAdvance(Calendar,R99,"1D","f")</f>
        <v>42264</v>
      </c>
      <c r="S100" s="448">
        <f>_xll.qlCalendarAdvance(Calendar,R100,$F$1,"mf",,Trigger)</f>
        <v>42446</v>
      </c>
      <c r="T100" s="449">
        <f>_xll.qlDayCounterYearFraction(DayCounter,R100,S100,,,Trigger)</f>
        <v>0.49863013698630138</v>
      </c>
      <c r="U100" s="423">
        <f>_xll.qlInterpolationInterpolate(B6Minterpolation,R100,TRUE)</f>
        <v>2.6626602990254254E-3</v>
      </c>
      <c r="V100" s="345">
        <f>_xll.qlYieldTSDiscount(Discounting,R100,,AllTriggers)</f>
        <v>0.99826465867813063</v>
      </c>
      <c r="W100" s="345">
        <f>_xll.qlYieldTSDiscount(Discounting,S100,,AllTriggers)</f>
        <v>0.99561748426972396</v>
      </c>
      <c r="X100" s="32">
        <f t="shared" si="10"/>
        <v>5.3322624552333813E-3</v>
      </c>
      <c r="Y100" s="451">
        <f t="shared" si="11"/>
        <v>1.3232860231441193E-3</v>
      </c>
    </row>
    <row r="101" spans="18:25" x14ac:dyDescent="0.2">
      <c r="R101" s="422">
        <f>_xll.qlCalendarAdvance(Calendar,R100,"1D","f")</f>
        <v>42265</v>
      </c>
      <c r="S101" s="448">
        <f>_xll.qlCalendarAdvance(Calendar,R101,$F$1,"mf",,Trigger)</f>
        <v>42447</v>
      </c>
      <c r="T101" s="449">
        <f>_xll.qlDayCounterYearFraction(DayCounter,R101,S101,,,Trigger)</f>
        <v>0.49863013698630138</v>
      </c>
      <c r="U101" s="423">
        <f>_xll.qlInterpolationInterpolate(B6Minterpolation,R101,TRUE)</f>
        <v>2.6649865302879323E-3</v>
      </c>
      <c r="V101" s="345">
        <f>_xll.qlYieldTSDiscount(Discounting,R101,,AllTriggers)</f>
        <v>0.9982521233879813</v>
      </c>
      <c r="W101" s="345">
        <f>_xll.qlYieldTSDiscount(Discounting,S101,,AllTriggers)</f>
        <v>0.99560001287875655</v>
      </c>
      <c r="X101" s="32">
        <f t="shared" si="10"/>
        <v>5.3422991014589107E-3</v>
      </c>
      <c r="Y101" s="451">
        <f t="shared" si="11"/>
        <v>1.324434739502848E-3</v>
      </c>
    </row>
    <row r="102" spans="18:25" x14ac:dyDescent="0.2">
      <c r="R102" s="422">
        <f>_xll.qlCalendarAdvance(Calendar,R101,"1D","f")</f>
        <v>42268</v>
      </c>
      <c r="S102" s="448">
        <f>_xll.qlCalendarAdvance(Calendar,R102,$F$1,"mf",,Trigger)</f>
        <v>42450</v>
      </c>
      <c r="T102" s="449">
        <f>_xll.qlDayCounterYearFraction(DayCounter,R102,S102,,,Trigger)</f>
        <v>0.49863013698630138</v>
      </c>
      <c r="U102" s="423">
        <f>_xll.qlInterpolationInterpolate(B6Minterpolation,R102,TRUE)</f>
        <v>2.6717828857985748E-3</v>
      </c>
      <c r="V102" s="345">
        <f>_xll.qlYieldTSDiscount(Discounting,R102,,AllTriggers)</f>
        <v>0.99821450494999564</v>
      </c>
      <c r="W102" s="345">
        <f>_xll.qlYieldTSDiscount(Discounting,S102,,AllTriggers)</f>
        <v>0.99554755849909005</v>
      </c>
      <c r="X102" s="32">
        <f t="shared" si="10"/>
        <v>5.372467048990498E-3</v>
      </c>
      <c r="Y102" s="451">
        <f t="shared" si="11"/>
        <v>1.3277902174538626E-3</v>
      </c>
    </row>
    <row r="103" spans="18:25" x14ac:dyDescent="0.2">
      <c r="R103" s="422">
        <f>_xll.qlCalendarAdvance(Calendar,R102,"1D","f")</f>
        <v>42269</v>
      </c>
      <c r="S103" s="448">
        <f>_xll.qlCalendarAdvance(Calendar,R103,$F$1,"mf",,Trigger)</f>
        <v>42451</v>
      </c>
      <c r="T103" s="449">
        <f>_xll.qlDayCounterYearFraction(DayCounter,R103,S103,,,Trigger)</f>
        <v>0.49863013698630138</v>
      </c>
      <c r="U103" s="423">
        <f>_xll.qlInterpolationInterpolate(B6Minterpolation,R103,TRUE)</f>
        <v>2.6739391038512307E-3</v>
      </c>
      <c r="V103" s="345">
        <f>_xll.qlYieldTSDiscount(Discounting,R103,,AllTriggers)</f>
        <v>0.99820196204706579</v>
      </c>
      <c r="W103" s="345">
        <f>_xll.qlYieldTSDiscount(Discounting,S103,,AllTriggers)</f>
        <v>0.99553006545738454</v>
      </c>
      <c r="X103" s="32">
        <f t="shared" si="10"/>
        <v>5.3825335022840322E-3</v>
      </c>
      <c r="Y103" s="451">
        <f t="shared" si="11"/>
        <v>1.3288544289888967E-3</v>
      </c>
    </row>
    <row r="104" spans="18:25" x14ac:dyDescent="0.2">
      <c r="R104" s="422">
        <f>_xll.qlCalendarAdvance(Calendar,R103,"1D","f")</f>
        <v>42270</v>
      </c>
      <c r="S104" s="448">
        <f>_xll.qlCalendarAdvance(Calendar,R104,$F$1,"mf",,Trigger)</f>
        <v>42452</v>
      </c>
      <c r="T104" s="449">
        <f>_xll.qlDayCounterYearFraction(DayCounter,R104,S104,,,Trigger)</f>
        <v>0.49863013698630138</v>
      </c>
      <c r="U104" s="423">
        <f>_xll.qlInterpolationInterpolate(B6Minterpolation,R104,TRUE)</f>
        <v>2.6760164778324748E-3</v>
      </c>
      <c r="V104" s="345">
        <f>_xll.qlYieldTSDiscount(Discounting,R104,,AllTriggers)</f>
        <v>0.99818941781509563</v>
      </c>
      <c r="W104" s="345">
        <f>_xll.qlYieldTSDiscount(Discounting,S104,,AllTriggers)</f>
        <v>0.99551257086805189</v>
      </c>
      <c r="X104" s="32">
        <f t="shared" si="10"/>
        <v>5.3926007580849247E-3</v>
      </c>
      <c r="Y104" s="451">
        <f t="shared" si="11"/>
        <v>1.3298794717132455E-3</v>
      </c>
    </row>
    <row r="105" spans="18:25" x14ac:dyDescent="0.2">
      <c r="R105" s="422">
        <f>_xll.qlCalendarAdvance(Calendar,R104,"1D","f")</f>
        <v>42271</v>
      </c>
      <c r="S105" s="448">
        <f>_xll.qlCalendarAdvance(Calendar,R105,$F$1,"mf",,Trigger)</f>
        <v>42453</v>
      </c>
      <c r="T105" s="449">
        <f>_xll.qlDayCounterYearFraction(DayCounter,R105,S105,,,Trigger)</f>
        <v>0.49863013698630138</v>
      </c>
      <c r="U105" s="423">
        <f>_xll.qlInterpolationInterpolate(B6Minterpolation,R105,TRUE)</f>
        <v>2.6780004714347279E-3</v>
      </c>
      <c r="V105" s="345">
        <f>_xll.qlYieldTSDiscount(Discounting,R105,,AllTriggers)</f>
        <v>0.99817687248372389</v>
      </c>
      <c r="W105" s="345">
        <f>_xll.qlYieldTSDiscount(Discounting,S105,,AllTriggers)</f>
        <v>0.99549507627689759</v>
      </c>
      <c r="X105" s="32">
        <f t="shared" si="10"/>
        <v>5.4026661565829345E-3</v>
      </c>
      <c r="Y105" s="451">
        <f t="shared" si="11"/>
        <v>1.330858128940636E-3</v>
      </c>
    </row>
    <row r="106" spans="18:25" x14ac:dyDescent="0.2">
      <c r="R106" s="422">
        <f>_xll.qlCalendarAdvance(Calendar,R105,"1D","f")</f>
        <v>42272</v>
      </c>
      <c r="S106" s="448">
        <f>_xll.qlCalendarAdvance(Calendar,R106,$F$1,"mf",,Trigger)</f>
        <v>42458</v>
      </c>
      <c r="T106" s="449">
        <f>_xll.qlDayCounterYearFraction(DayCounter,R106,S106,,,Trigger)</f>
        <v>0.50958904109589043</v>
      </c>
      <c r="U106" s="423">
        <f>_xll.qlInterpolationInterpolate(B6Minterpolation,R106,TRUE)</f>
        <v>2.6798765483504097E-3</v>
      </c>
      <c r="V106" s="345">
        <f>_xll.qlYieldTSDiscount(Discounting,R106,,AllTriggers)</f>
        <v>0.9981643262825779</v>
      </c>
      <c r="W106" s="345">
        <f>_xll.qlYieldTSDiscount(Discounting,S106,,AllTriggers)</f>
        <v>0.99540765738939729</v>
      </c>
      <c r="X106" s="32">
        <f t="shared" si="10"/>
        <v>5.4345494960747025E-3</v>
      </c>
      <c r="Y106" s="451">
        <f t="shared" si="11"/>
        <v>1.3609376957632773E-3</v>
      </c>
    </row>
    <row r="107" spans="18:25" x14ac:dyDescent="0.2">
      <c r="R107" s="422">
        <f>_xll.qlCalendarAdvance(Calendar,R106,"1D","f")</f>
        <v>42275</v>
      </c>
      <c r="S107" s="448">
        <f>_xll.qlCalendarAdvance(Calendar,R107,$F$1,"mf",,Trigger)</f>
        <v>42458</v>
      </c>
      <c r="T107" s="449">
        <f>_xll.qlDayCounterYearFraction(DayCounter,R107,S107,,,Trigger)</f>
        <v>0.50136986301369868</v>
      </c>
      <c r="U107" s="423">
        <f>_xll.qlInterpolationInterpolate(B6Minterpolation,R107,TRUE)</f>
        <v>2.6847119159022349E-3</v>
      </c>
      <c r="V107" s="345">
        <f>_xll.qlYieldTSDiscount(Discounting,R107,,AllTriggers)</f>
        <v>0.99812668475659361</v>
      </c>
      <c r="W107" s="345">
        <f>_xll.qlYieldTSDiscount(Discounting,S107,,AllTriggers)</f>
        <v>0.99540765738939729</v>
      </c>
      <c r="X107" s="32">
        <f t="shared" si="10"/>
        <v>5.4482167392310345E-3</v>
      </c>
      <c r="Y107" s="451">
        <f t="shared" si="11"/>
        <v>1.3414667052380404E-3</v>
      </c>
    </row>
    <row r="108" spans="18:25" x14ac:dyDescent="0.2">
      <c r="R108" s="422">
        <f>_xll.qlCalendarAdvance(Calendar,R107,"1D","f")</f>
        <v>42276</v>
      </c>
      <c r="S108" s="448">
        <f>_xll.qlCalendarAdvance(Calendar,R108,$F$1,"mf",,Trigger)</f>
        <v>42458</v>
      </c>
      <c r="T108" s="449">
        <f>_xll.qlDayCounterYearFraction(DayCounter,R108,S108,,,Trigger)</f>
        <v>0.49863013698630138</v>
      </c>
      <c r="U108" s="423">
        <f>_xll.qlInterpolationInterpolate(B6Minterpolation,R108,TRUE)</f>
        <v>2.6860109629958375E-3</v>
      </c>
      <c r="V108" s="345">
        <f>_xll.qlYieldTSDiscount(Discounting,R108,,AllTriggers)</f>
        <v>0.9981141373723923</v>
      </c>
      <c r="W108" s="345">
        <f>_xll.qlYieldTSDiscount(Discounting,S108,,AllTriggers)</f>
        <v>0.99540765738939729</v>
      </c>
      <c r="X108" s="32">
        <f t="shared" si="10"/>
        <v>5.4528721924467236E-3</v>
      </c>
      <c r="Y108" s="451">
        <f t="shared" si="11"/>
        <v>1.3348030603672976E-3</v>
      </c>
    </row>
    <row r="109" spans="18:25" x14ac:dyDescent="0.2">
      <c r="R109" s="422">
        <f>_xll.qlCalendarAdvance(Calendar,R108,"1D","f")</f>
        <v>42277</v>
      </c>
      <c r="S109" s="448">
        <f>_xll.qlCalendarAdvance(Calendar,R109,$F$1,"mf",,Trigger)</f>
        <v>42459</v>
      </c>
      <c r="T109" s="449">
        <f>_xll.qlDayCounterYearFraction(DayCounter,R109,S109,,,Trigger)</f>
        <v>0.49863013698630138</v>
      </c>
      <c r="U109" s="423">
        <f>_xll.qlInterpolationInterpolate(B6Minterpolation,R109,TRUE)</f>
        <v>2.6871294118649717E-3</v>
      </c>
      <c r="V109" s="345">
        <f>_xll.qlYieldTSDiscount(Discounting,R109,,AllTriggers)</f>
        <v>0.99810159026638001</v>
      </c>
      <c r="W109" s="345">
        <f>_xll.qlYieldTSDiscount(Discounting,S109,,AllTriggers)</f>
        <v>0.99539019524315053</v>
      </c>
      <c r="X109" s="32">
        <f t="shared" si="10"/>
        <v>5.4628705881350293E-3</v>
      </c>
      <c r="Y109" s="451">
        <f t="shared" si="11"/>
        <v>1.3353518634800011E-3</v>
      </c>
    </row>
    <row r="110" spans="18:25" x14ac:dyDescent="0.2">
      <c r="R110" s="422">
        <f>_xll.qlCalendarAdvance(Calendar,R109,"1D","f")</f>
        <v>42278</v>
      </c>
      <c r="S110" s="448">
        <f>_xll.qlCalendarAdvance(Calendar,R110,$F$1,"mf",,Trigger)</f>
        <v>42461</v>
      </c>
      <c r="T110" s="449">
        <f>_xll.qlDayCounterYearFraction(DayCounter,R110,S110,,,Trigger)</f>
        <v>0.50136986301369868</v>
      </c>
      <c r="U110" s="423">
        <f>_xll.qlInterpolationInterpolate(B6Minterpolation,R110,TRUE)</f>
        <v>2.6881099659189366E-3</v>
      </c>
      <c r="V110" s="345">
        <f>_xll.qlYieldTSDiscount(Discounting,R110,,AllTriggers)</f>
        <v>0.99808904334488757</v>
      </c>
      <c r="W110" s="345">
        <f>_xll.qlYieldTSDiscount(Discounting,S110,,AllTriggers)</f>
        <v>0.99535530435685549</v>
      </c>
      <c r="X110" s="32">
        <f t="shared" si="10"/>
        <v>5.4779830757740377E-3</v>
      </c>
      <c r="Y110" s="451">
        <f t="shared" si="11"/>
        <v>1.3431434879735652E-3</v>
      </c>
    </row>
    <row r="111" spans="18:25" x14ac:dyDescent="0.2">
      <c r="R111" s="422">
        <f>_xll.qlCalendarAdvance(Calendar,R110,"1D","f")</f>
        <v>42279</v>
      </c>
      <c r="S111" s="448">
        <f>_xll.qlCalendarAdvance(Calendar,R111,$F$1,"mf",,Trigger)</f>
        <v>42464</v>
      </c>
      <c r="T111" s="449">
        <f>_xll.qlDayCounterYearFraction(DayCounter,R111,S111,,,Trigger)</f>
        <v>0.50684931506849318</v>
      </c>
      <c r="U111" s="423">
        <f>_xll.qlInterpolationInterpolate(B6Minterpolation,R111,TRUE)</f>
        <v>2.6890077794623456E-3</v>
      </c>
      <c r="V111" s="345">
        <f>_xll.qlYieldTSDiscount(Discounting,R111,,AllTriggers)</f>
        <v>0.99807649522135844</v>
      </c>
      <c r="W111" s="345">
        <f>_xll.qlYieldTSDiscount(Discounting,S111,,AllTriggers)</f>
        <v>0.9953030401389279</v>
      </c>
      <c r="X111" s="32">
        <f t="shared" si="10"/>
        <v>5.497774746700536E-3</v>
      </c>
      <c r="Y111" s="451">
        <f t="shared" si="11"/>
        <v>1.3582116768990466E-3</v>
      </c>
    </row>
    <row r="112" spans="18:25" x14ac:dyDescent="0.2">
      <c r="R112" s="422">
        <f>_xll.qlCalendarAdvance(Calendar,R111,"1D","f")</f>
        <v>42282</v>
      </c>
      <c r="S112" s="448">
        <f>_xll.qlCalendarAdvance(Calendar,R112,$F$1,"mf",,Trigger)</f>
        <v>42465</v>
      </c>
      <c r="T112" s="449">
        <f>_xll.qlDayCounterYearFraction(DayCounter,R112,S112,,,Trigger)</f>
        <v>0.50136986301369868</v>
      </c>
      <c r="U112" s="423">
        <f>_xll.qlInterpolationInterpolate(B6Minterpolation,R112,TRUE)</f>
        <v>2.6912461773831338E-3</v>
      </c>
      <c r="V112" s="345">
        <f>_xll.qlYieldTSDiscount(Discounting,R112,,AllTriggers)</f>
        <v>0.99803882654192233</v>
      </c>
      <c r="W112" s="345">
        <f>_xll.qlYieldTSDiscount(Discounting,S112,,AllTriggers)</f>
        <v>0.99528563031187101</v>
      </c>
      <c r="X112" s="32">
        <f t="shared" si="10"/>
        <v>5.5173585398190983E-3</v>
      </c>
      <c r="Y112" s="451">
        <f t="shared" si="11"/>
        <v>1.3446830213417907E-3</v>
      </c>
    </row>
    <row r="113" spans="18:25" x14ac:dyDescent="0.2">
      <c r="R113" s="422">
        <f>_xll.qlCalendarAdvance(Calendar,R112,"1D","f")</f>
        <v>42283</v>
      </c>
      <c r="S113" s="448">
        <f>_xll.qlCalendarAdvance(Calendar,R113,$F$1,"mf",,Trigger)</f>
        <v>42466</v>
      </c>
      <c r="T113" s="449">
        <f>_xll.qlDayCounterYearFraction(DayCounter,R113,S113,,,Trigger)</f>
        <v>0.50136986301369868</v>
      </c>
      <c r="U113" s="423">
        <f>_xll.qlInterpolationInterpolate(B6Minterpolation,R113,TRUE)</f>
        <v>2.6918544292382175E-3</v>
      </c>
      <c r="V113" s="345">
        <f>_xll.qlYieldTSDiscount(Discounting,R113,,AllTriggers)</f>
        <v>0.9980262565140483</v>
      </c>
      <c r="W113" s="345">
        <f>_xll.qlYieldTSDiscount(Discounting,S113,,AllTriggers)</f>
        <v>0.99526822298915285</v>
      </c>
      <c r="X113" s="32">
        <f t="shared" si="10"/>
        <v>5.5271490652259708E-3</v>
      </c>
      <c r="Y113" s="451">
        <f t="shared" si="11"/>
        <v>1.3449801510838082E-3</v>
      </c>
    </row>
    <row r="114" spans="18:25" x14ac:dyDescent="0.2">
      <c r="R114" s="422">
        <f>_xll.qlCalendarAdvance(Calendar,R113,"1D","f")</f>
        <v>42284</v>
      </c>
      <c r="S114" s="448">
        <f>_xll.qlCalendarAdvance(Calendar,R114,$F$1,"mf",,Trigger)</f>
        <v>42467</v>
      </c>
      <c r="T114" s="449">
        <f>_xll.qlDayCounterYearFraction(DayCounter,R114,S114,,,Trigger)</f>
        <v>0.50136986301369868</v>
      </c>
      <c r="U114" s="423">
        <f>_xll.qlInterpolationInterpolate(B6Minterpolation,R114,TRUE)</f>
        <v>2.6924006407596946E-3</v>
      </c>
      <c r="V114" s="345">
        <f>_xll.qlYieldTSDiscount(Discounting,R114,,AllTriggers)</f>
        <v>0.99801367673646935</v>
      </c>
      <c r="W114" s="345">
        <f>_xll.qlYieldTSDiscount(Discounting,S114,,AllTriggers)</f>
        <v>0.99525081619990807</v>
      </c>
      <c r="X114" s="32">
        <f t="shared" si="10"/>
        <v>5.5369193221090499E-3</v>
      </c>
      <c r="Y114" s="451">
        <f t="shared" si="11"/>
        <v>1.3452463141096556E-3</v>
      </c>
    </row>
    <row r="115" spans="18:25" x14ac:dyDescent="0.2">
      <c r="R115" s="422">
        <f>_xll.qlCalendarAdvance(Calendar,R114,"1D","f")</f>
        <v>42285</v>
      </c>
      <c r="S115" s="448">
        <f>_xll.qlCalendarAdvance(Calendar,R115,$F$1,"mf",,Trigger)</f>
        <v>42468</v>
      </c>
      <c r="T115" s="449">
        <f>_xll.qlDayCounterYearFraction(DayCounter,R115,S115,,,Trigger)</f>
        <v>0.50136986301369868</v>
      </c>
      <c r="U115" s="423">
        <f>_xll.qlInterpolationInterpolate(B6Minterpolation,R115,TRUE)</f>
        <v>2.6928889519829556E-3</v>
      </c>
      <c r="V115" s="345">
        <f>_xll.qlYieldTSDiscount(Discounting,R115,,AllTriggers)</f>
        <v>0.99800108549991062</v>
      </c>
      <c r="W115" s="345">
        <f>_xll.qlYieldTSDiscount(Discounting,S115,,AllTriggers)</f>
        <v>0.99523340797340898</v>
      </c>
      <c r="X115" s="32">
        <f t="shared" si="10"/>
        <v>5.5466698443476462E-3</v>
      </c>
      <c r="Y115" s="451">
        <f t="shared" si="11"/>
        <v>1.3454835776966557E-3</v>
      </c>
    </row>
    <row r="116" spans="18:25" x14ac:dyDescent="0.2">
      <c r="R116" s="422">
        <f>_xll.qlCalendarAdvance(Calendar,R115,"1D","f")</f>
        <v>42286</v>
      </c>
      <c r="S116" s="448">
        <f>_xll.qlCalendarAdvance(Calendar,R116,$F$1,"mf",,Trigger)</f>
        <v>42471</v>
      </c>
      <c r="T116" s="449">
        <f>_xll.qlDayCounterYearFraction(DayCounter,R116,S116,,,Trigger)</f>
        <v>0.50684931506849318</v>
      </c>
      <c r="U116" s="423">
        <f>_xll.qlInterpolationInterpolate(B6Minterpolation,R116,TRUE)</f>
        <v>2.6933235029433906E-3</v>
      </c>
      <c r="V116" s="345">
        <f>_xll.qlYieldTSDiscount(Discounting,R116,,AllTriggers)</f>
        <v>0.9979884810951839</v>
      </c>
      <c r="W116" s="345">
        <f>_xll.qlYieldTSDiscount(Discounting,S116,,AllTriggers)</f>
        <v>0.99518115496517767</v>
      </c>
      <c r="X116" s="32">
        <f t="shared" si="10"/>
        <v>5.5655983367337023E-3</v>
      </c>
      <c r="Y116" s="451">
        <f t="shared" si="11"/>
        <v>1.3603434549182623E-3</v>
      </c>
    </row>
    <row r="117" spans="18:25" x14ac:dyDescent="0.2">
      <c r="R117" s="422">
        <f>_xll.qlCalendarAdvance(Calendar,R116,"1D","f")</f>
        <v>42289</v>
      </c>
      <c r="S117" s="448">
        <f>_xll.qlCalendarAdvance(Calendar,R117,$F$1,"mf",,Trigger)</f>
        <v>42472</v>
      </c>
      <c r="T117" s="449">
        <f>_xll.qlDayCounterYearFraction(DayCounter,R117,S117,,,Trigger)</f>
        <v>0.50136986301369868</v>
      </c>
      <c r="U117" s="423">
        <f>_xll.qlInterpolationInterpolate(B6Minterpolation,R117,TRUE)</f>
        <v>2.6943459946016375E-3</v>
      </c>
      <c r="V117" s="345">
        <f>_xll.qlYieldTSDiscount(Discounting,R117,,AllTriggers)</f>
        <v>0.99795057178141866</v>
      </c>
      <c r="W117" s="345">
        <f>_xll.qlYieldTSDiscount(Discounting,S117,,AllTriggers)</f>
        <v>0.99516372128514341</v>
      </c>
      <c r="X117" s="32">
        <f t="shared" si="10"/>
        <v>5.585485264812313E-3</v>
      </c>
      <c r="Y117" s="451">
        <f t="shared" si="11"/>
        <v>1.346184981572923E-3</v>
      </c>
    </row>
    <row r="118" spans="18:25" x14ac:dyDescent="0.2">
      <c r="R118" s="422">
        <f>_xll.qlCalendarAdvance(Calendar,R117,"1D","f")</f>
        <v>42290</v>
      </c>
      <c r="S118" s="448">
        <f>_xll.qlCalendarAdvance(Calendar,R118,$F$1,"mf",,Trigger)</f>
        <v>42473</v>
      </c>
      <c r="T118" s="449">
        <f>_xll.qlDayCounterYearFraction(DayCounter,R118,S118,,,Trigger)</f>
        <v>0.50136986301369868</v>
      </c>
      <c r="U118" s="423">
        <f>_xll.qlInterpolationInterpolate(B6Minterpolation,R118,TRUE)</f>
        <v>2.6946069048646676E-3</v>
      </c>
      <c r="V118" s="345">
        <f>_xll.qlYieldTSDiscount(Discounting,R118,,AllTriggers)</f>
        <v>0.99793789761387919</v>
      </c>
      <c r="W118" s="345">
        <f>_xll.qlYieldTSDiscount(Discounting,S118,,AllTriggers)</f>
        <v>0.9951462763162866</v>
      </c>
      <c r="X118" s="32">
        <f t="shared" si="10"/>
        <v>5.5951451223906004E-3</v>
      </c>
      <c r="Y118" s="451">
        <f t="shared" si="11"/>
        <v>1.3463087555088233E-3</v>
      </c>
    </row>
    <row r="119" spans="18:25" x14ac:dyDescent="0.2">
      <c r="R119" s="422">
        <f>_xll.qlCalendarAdvance(Calendar,R118,"1D","f")</f>
        <v>42291</v>
      </c>
      <c r="S119" s="448">
        <f>_xll.qlCalendarAdvance(Calendar,R119,$F$1,"mf",,Trigger)</f>
        <v>42474</v>
      </c>
      <c r="T119" s="449">
        <f>_xll.qlDayCounterYearFraction(DayCounter,R119,S119,,,Trigger)</f>
        <v>0.50136986301369868</v>
      </c>
      <c r="U119" s="423">
        <f>_xll.qlInterpolationInterpolate(B6Minterpolation,R119,TRUE)</f>
        <v>2.6948347550418213E-3</v>
      </c>
      <c r="V119" s="345">
        <f>_xll.qlYieldTSDiscount(Discounting,R119,,AllTriggers)</f>
        <v>0.99792520173353894</v>
      </c>
      <c r="W119" s="345">
        <f>_xll.qlYieldTSDiscount(Discounting,S119,,AllTriggers)</f>
        <v>0.99512881808870823</v>
      </c>
      <c r="X119" s="32">
        <f t="shared" si="10"/>
        <v>5.6047884488256879E-3</v>
      </c>
      <c r="Y119" s="451">
        <f t="shared" si="11"/>
        <v>1.3464160327108453E-3</v>
      </c>
    </row>
    <row r="120" spans="18:25" x14ac:dyDescent="0.2">
      <c r="R120" s="422">
        <f>_xll.qlCalendarAdvance(Calendar,R119,"1D","f")</f>
        <v>42292</v>
      </c>
      <c r="S120" s="448">
        <f>_xll.qlCalendarAdvance(Calendar,R120,$F$1,"mf",,Trigger)</f>
        <v>42475</v>
      </c>
      <c r="T120" s="449">
        <f>_xll.qlDayCounterYearFraction(DayCounter,R120,S120,,,Trigger)</f>
        <v>0.50136986301369868</v>
      </c>
      <c r="U120" s="423">
        <f>_xll.qlInterpolationInterpolate(B6Minterpolation,R120,TRUE)</f>
        <v>2.6950336851684891E-3</v>
      </c>
      <c r="V120" s="345">
        <f>_xll.qlYieldTSDiscount(Discounting,R120,,AllTriggers)</f>
        <v>0.99791248243173492</v>
      </c>
      <c r="W120" s="345">
        <f>_xll.qlYieldTSDiscount(Discounting,S120,,AllTriggers)</f>
        <v>0.99511134463264839</v>
      </c>
      <c r="X120" s="32">
        <f t="shared" si="10"/>
        <v>5.6144157780717314E-3</v>
      </c>
      <c r="Y120" s="451">
        <f t="shared" si="11"/>
        <v>1.3465088801442875E-3</v>
      </c>
    </row>
    <row r="121" spans="18:25" x14ac:dyDescent="0.2">
      <c r="R121" s="422">
        <f>_xll.qlCalendarAdvance(Calendar,R120,"1D","f")</f>
        <v>42293</v>
      </c>
      <c r="S121" s="448">
        <f>_xll.qlCalendarAdvance(Calendar,R121,$F$1,"mf",,Trigger)</f>
        <v>42478</v>
      </c>
      <c r="T121" s="449">
        <f>_xll.qlDayCounterYearFraction(DayCounter,R121,S121,,,Trigger)</f>
        <v>0.50684931506849318</v>
      </c>
      <c r="U121" s="423">
        <f>_xll.qlInterpolationInterpolate(B6Minterpolation,R121,TRUE)</f>
        <v>2.6952078352800602E-3</v>
      </c>
      <c r="V121" s="345">
        <f>_xll.qlYieldTSDiscount(Discounting,R121,,AllTriggers)</f>
        <v>0.99789973799989296</v>
      </c>
      <c r="W121" s="345">
        <f>_xll.qlYieldTSDiscount(Discounting,S121,,AllTriggers)</f>
        <v>0.99505881319806688</v>
      </c>
      <c r="X121" s="32">
        <f t="shared" si="10"/>
        <v>5.6329010686685475E-3</v>
      </c>
      <c r="Y121" s="451">
        <f t="shared" si="11"/>
        <v>1.361248272480753E-3</v>
      </c>
    </row>
    <row r="122" spans="18:25" x14ac:dyDescent="0.2">
      <c r="R122" s="422">
        <f>_xll.qlCalendarAdvance(Calendar,R121,"1D","f")</f>
        <v>42296</v>
      </c>
      <c r="S122" s="448">
        <f>_xll.qlCalendarAdvance(Calendar,R122,$F$1,"mf",,Trigger)</f>
        <v>42479</v>
      </c>
      <c r="T122" s="449">
        <f>_xll.qlDayCounterYearFraction(DayCounter,R122,S122,,,Trigger)</f>
        <v>0.50136986301369868</v>
      </c>
      <c r="U122" s="423">
        <f>_xll.qlInterpolationInterpolate(B6Minterpolation,R122,TRUE)</f>
        <v>2.6956230058780978E-3</v>
      </c>
      <c r="V122" s="345">
        <f>_xll.qlYieldTSDiscount(Discounting,R122,,AllTriggers)</f>
        <v>0.9978613368397381</v>
      </c>
      <c r="W122" s="345">
        <f>_xll.qlYieldTSDiscount(Discounting,S122,,AllTriggers)</f>
        <v>0.99504125913326635</v>
      </c>
      <c r="X122" s="32">
        <f t="shared" si="10"/>
        <v>5.6527758026352149E-3</v>
      </c>
      <c r="Y122" s="451">
        <f t="shared" si="11"/>
        <v>1.3467773100180865E-3</v>
      </c>
    </row>
    <row r="123" spans="18:25" x14ac:dyDescent="0.2">
      <c r="R123" s="422">
        <f>_xll.qlCalendarAdvance(Calendar,R122,"1D","f")</f>
        <v>42297</v>
      </c>
      <c r="S123" s="448">
        <f>_xll.qlCalendarAdvance(Calendar,R123,$F$1,"mf",,Trigger)</f>
        <v>42480</v>
      </c>
      <c r="T123" s="449">
        <f>_xll.qlDayCounterYearFraction(DayCounter,R123,S123,,,Trigger)</f>
        <v>0.50136986301369868</v>
      </c>
      <c r="U123" s="423">
        <f>_xll.qlInterpolationInterpolate(B6Minterpolation,R123,TRUE)</f>
        <v>2.6957394362831849E-3</v>
      </c>
      <c r="V123" s="345">
        <f>_xll.qlYieldTSDiscount(Discounting,R123,,AllTriggers)</f>
        <v>0.99784847480379268</v>
      </c>
      <c r="W123" s="345">
        <f>_xll.qlYieldTSDiscount(Discounting,S123,,AllTriggers)</f>
        <v>0.99502367999327679</v>
      </c>
      <c r="X123" s="32">
        <f t="shared" si="10"/>
        <v>5.6623311556301369E-3</v>
      </c>
      <c r="Y123" s="451">
        <f t="shared" si="11"/>
        <v>1.346829011619225E-3</v>
      </c>
    </row>
    <row r="124" spans="18:25" x14ac:dyDescent="0.2">
      <c r="R124" s="422">
        <f>_xll.qlCalendarAdvance(Calendar,R123,"1D","f")</f>
        <v>42298</v>
      </c>
      <c r="S124" s="448">
        <f>_xll.qlCalendarAdvance(Calendar,R124,$F$1,"mf",,Trigger)</f>
        <v>42481</v>
      </c>
      <c r="T124" s="449">
        <f>_xll.qlDayCounterYearFraction(DayCounter,R124,S124,,,Trigger)</f>
        <v>0.50136986301369868</v>
      </c>
      <c r="U124" s="423">
        <f>_xll.qlInterpolationInterpolate(B6Minterpolation,R124,TRUE)</f>
        <v>2.6958517868501254E-3</v>
      </c>
      <c r="V124" s="345">
        <f>_xll.qlYieldTSDiscount(Discounting,R124,,AllTriggers)</f>
        <v>0.99783557909628506</v>
      </c>
      <c r="W124" s="345">
        <f>_xll.qlYieldTSDiscount(Discounting,S124,,AllTriggers)</f>
        <v>0.99500607380917794</v>
      </c>
      <c r="X124" s="32">
        <f t="shared" si="10"/>
        <v>5.671873715387259E-3</v>
      </c>
      <c r="Y124" s="451">
        <f t="shared" si="11"/>
        <v>1.3468786843703533E-3</v>
      </c>
    </row>
    <row r="125" spans="18:25" x14ac:dyDescent="0.2">
      <c r="R125" s="422">
        <f>_xll.qlCalendarAdvance(Calendar,R124,"1D","f")</f>
        <v>42299</v>
      </c>
      <c r="S125" s="448">
        <f>_xll.qlCalendarAdvance(Calendar,R125,$F$1,"mf",,Trigger)</f>
        <v>42482</v>
      </c>
      <c r="T125" s="449">
        <f>_xll.qlDayCounterYearFraction(DayCounter,R125,S125,,,Trigger)</f>
        <v>0.50136986301369868</v>
      </c>
      <c r="U125" s="423">
        <f>_xll.qlInterpolationInterpolate(B6Minterpolation,R125,TRUE)</f>
        <v>2.6959641976143102E-3</v>
      </c>
      <c r="V125" s="345">
        <f>_xll.qlYieldTSDiscount(Discounting,R125,,AllTriggers)</f>
        <v>0.99782264800918319</v>
      </c>
      <c r="W125" s="345">
        <f>_xll.qlYieldTSDiscount(Discounting,S125,,AllTriggers)</f>
        <v>0.994988438612191</v>
      </c>
      <c r="X125" s="32">
        <f t="shared" si="10"/>
        <v>5.6814040159355855E-3</v>
      </c>
      <c r="Y125" s="451">
        <f t="shared" si="11"/>
        <v>1.3469283949495005E-3</v>
      </c>
    </row>
    <row r="126" spans="18:25" x14ac:dyDescent="0.2">
      <c r="R126" s="422">
        <f>_xll.qlCalendarAdvance(Calendar,R125,"1D","f")</f>
        <v>42300</v>
      </c>
      <c r="S126" s="448">
        <f>_xll.qlCalendarAdvance(Calendar,R126,$F$1,"mf",,Trigger)</f>
        <v>42485</v>
      </c>
      <c r="T126" s="449">
        <f>_xll.qlDayCounterYearFraction(DayCounter,R126,S126,,,Trigger)</f>
        <v>0.50684931506849318</v>
      </c>
      <c r="U126" s="423">
        <f>_xll.qlInterpolationInterpolate(B6Minterpolation,R126,TRUE)</f>
        <v>2.696080808611129E-3</v>
      </c>
      <c r="V126" s="345">
        <f>_xll.qlYieldTSDiscount(Discounting,R126,,AllTriggers)</f>
        <v>0.99780967983454727</v>
      </c>
      <c r="W126" s="345">
        <f>_xll.qlYieldTSDiscount(Discounting,S126,,AllTriggers)</f>
        <v>0.99493533925825151</v>
      </c>
      <c r="X126" s="32">
        <f t="shared" si="10"/>
        <v>5.6998641503467453E-3</v>
      </c>
      <c r="Y126" s="451">
        <f t="shared" si="11"/>
        <v>1.3616428269877577E-3</v>
      </c>
    </row>
    <row r="127" spans="18:25" x14ac:dyDescent="0.2">
      <c r="R127" s="422">
        <f>_xll.qlCalendarAdvance(Calendar,R126,"1D","f")</f>
        <v>42303</v>
      </c>
      <c r="S127" s="448">
        <f>_xll.qlCalendarAdvance(Calendar,R127,$F$1,"mf",,Trigger)</f>
        <v>42486</v>
      </c>
      <c r="T127" s="449">
        <f>_xll.qlDayCounterYearFraction(DayCounter,R127,S127,,,Trigger)</f>
        <v>0.50136986301369868</v>
      </c>
      <c r="U127" s="423">
        <f>_xll.qlInterpolationInterpolate(B6Minterpolation,R127,TRUE)</f>
        <v>2.6964972433512887E-3</v>
      </c>
      <c r="V127" s="345">
        <f>_xll.qlYieldTSDiscount(Discounting,R127,,AllTriggers)</f>
        <v>0.99777053570743424</v>
      </c>
      <c r="W127" s="345">
        <f>_xll.qlYieldTSDiscount(Discounting,S127,,AllTriggers)</f>
        <v>0.99491756832477773</v>
      </c>
      <c r="X127" s="32">
        <f t="shared" si="10"/>
        <v>5.7194133069703879E-3</v>
      </c>
      <c r="Y127" s="451">
        <f t="shared" si="11"/>
        <v>1.347168947715868E-3</v>
      </c>
    </row>
    <row r="128" spans="18:25" x14ac:dyDescent="0.2">
      <c r="R128" s="422">
        <f>_xll.qlCalendarAdvance(Calendar,R127,"1D","f")</f>
        <v>42304</v>
      </c>
      <c r="S128" s="448">
        <f>_xll.qlCalendarAdvance(Calendar,R128,$F$1,"mf",,Trigger)</f>
        <v>42487</v>
      </c>
      <c r="T128" s="449">
        <f>_xll.qlDayCounterYearFraction(DayCounter,R128,S128,,,Trigger)</f>
        <v>0.50136986301369868</v>
      </c>
      <c r="U128" s="423">
        <f>_xll.qlInterpolationInterpolate(B6Minterpolation,R128,TRUE)</f>
        <v>2.6966720556325431E-3</v>
      </c>
      <c r="V128" s="345">
        <f>_xll.qlYieldTSDiscount(Discounting,R128,,AllTriggers)</f>
        <v>0.99775740210513164</v>
      </c>
      <c r="W128" s="345">
        <f>_xll.qlYieldTSDiscount(Discounting,S128,,AllTriggers)</f>
        <v>0.99489975853666679</v>
      </c>
      <c r="X128" s="32">
        <f t="shared" si="10"/>
        <v>5.7288903222645028E-3</v>
      </c>
      <c r="Y128" s="451">
        <f t="shared" si="11"/>
        <v>1.3472498462143085E-3</v>
      </c>
    </row>
    <row r="129" spans="18:25" x14ac:dyDescent="0.2">
      <c r="R129" s="422">
        <f>_xll.qlCalendarAdvance(Calendar,R128,"1D","f")</f>
        <v>42305</v>
      </c>
      <c r="S129" s="448">
        <f>_xll.qlCalendarAdvance(Calendar,R129,$F$1,"mf",,Trigger)</f>
        <v>42488</v>
      </c>
      <c r="T129" s="449">
        <f>_xll.qlDayCounterYearFraction(DayCounter,R129,S129,,,Trigger)</f>
        <v>0.50136986301369868</v>
      </c>
      <c r="U129" s="423">
        <f>_xll.qlInterpolationInterpolate(B6Minterpolation,R129,TRUE)</f>
        <v>2.6968717683233815E-3</v>
      </c>
      <c r="V129" s="345">
        <f>_xll.qlYieldTSDiscount(Discounting,R129,,AllTriggers)</f>
        <v>0.99774422287700237</v>
      </c>
      <c r="W129" s="345">
        <f>_xll.qlYieldTSDiscount(Discounting,S129,,AllTriggers)</f>
        <v>0.99488190792600251</v>
      </c>
      <c r="X129" s="32">
        <f t="shared" si="10"/>
        <v>5.7383582827381843E-3</v>
      </c>
      <c r="Y129" s="451">
        <f t="shared" si="11"/>
        <v>1.3473431817732869E-3</v>
      </c>
    </row>
    <row r="130" spans="18:25" x14ac:dyDescent="0.2">
      <c r="R130" s="422">
        <f>_xll.qlCalendarAdvance(Calendar,R129,"1D","f")</f>
        <v>42306</v>
      </c>
      <c r="S130" s="448">
        <f>_xll.qlCalendarAdvance(Calendar,R130,$F$1,"mf",,Trigger)</f>
        <v>42489</v>
      </c>
      <c r="T130" s="449">
        <f>_xll.qlDayCounterYearFraction(DayCounter,R130,S130,,,Trigger)</f>
        <v>0.50136986301369868</v>
      </c>
      <c r="U130" s="423">
        <f>_xll.qlInterpolationInterpolate(B6Minterpolation,R130,TRUE)</f>
        <v>2.697100521459194E-3</v>
      </c>
      <c r="V130" s="345">
        <f>_xll.qlYieldTSDiscount(Discounting,R130,,AllTriggers)</f>
        <v>0.99773099631567452</v>
      </c>
      <c r="W130" s="345">
        <f>_xll.qlYieldTSDiscount(Discounting,S130,,AllTriggers)</f>
        <v>0.99486401452501472</v>
      </c>
      <c r="X130" s="32">
        <f t="shared" si="10"/>
        <v>5.7478177224930659E-3</v>
      </c>
      <c r="Y130" s="451">
        <f t="shared" si="11"/>
        <v>1.3474510207927772E-3</v>
      </c>
    </row>
    <row r="131" spans="18:25" x14ac:dyDescent="0.2">
      <c r="R131" s="422">
        <f>_xll.qlCalendarAdvance(Calendar,R130,"1D","f")</f>
        <v>42307</v>
      </c>
      <c r="S131" s="448">
        <f>_xll.qlCalendarAdvance(Calendar,R131,$F$1,"mf",,Trigger)</f>
        <v>42489</v>
      </c>
      <c r="T131" s="449">
        <f>_xll.qlDayCounterYearFraction(DayCounter,R131,S131,,,Trigger)</f>
        <v>0.49863013698630138</v>
      </c>
      <c r="U131" s="423">
        <f>_xll.qlInterpolationInterpolate(B6Minterpolation,R131,TRUE)</f>
        <v>2.6973624550753706E-3</v>
      </c>
      <c r="V131" s="345">
        <f>_xll.qlYieldTSDiscount(Discounting,R131,,AllTriggers)</f>
        <v>0.99771772071387299</v>
      </c>
      <c r="W131" s="345">
        <f>_xll.qlYieldTSDiscount(Discounting,S131,,AllTriggers)</f>
        <v>0.99486401452501472</v>
      </c>
      <c r="X131" s="32">
        <f t="shared" si="10"/>
        <v>5.7526375449246285E-3</v>
      </c>
      <c r="Y131" s="451">
        <f t="shared" si="11"/>
        <v>1.3402407111811072E-3</v>
      </c>
    </row>
    <row r="132" spans="18:25" x14ac:dyDescent="0.2">
      <c r="R132" s="422">
        <f>_xll.qlCalendarAdvance(Calendar,R131,"1D","f")</f>
        <v>42310</v>
      </c>
      <c r="S132" s="448">
        <f>_xll.qlCalendarAdvance(Calendar,R132,$F$1,"mf",,Trigger)</f>
        <v>42493</v>
      </c>
      <c r="T132" s="449">
        <f>_xll.qlDayCounterYearFraction(DayCounter,R132,S132,,,Trigger)</f>
        <v>0.50136986301369868</v>
      </c>
      <c r="U132" s="423">
        <f>_xll.qlInterpolationInterpolate(B6Minterpolation,R132,TRUE)</f>
        <v>2.6984809444528151E-3</v>
      </c>
      <c r="V132" s="345">
        <f>_xll.qlYieldTSDiscount(Discounting,R132,,AllTriggers)</f>
        <v>0.99767759697172087</v>
      </c>
      <c r="W132" s="345">
        <f>_xll.qlYieldTSDiscount(Discounting,S132,,AllTriggers)</f>
        <v>0.99479199561661658</v>
      </c>
      <c r="X132" s="32">
        <f t="shared" ref="X132:X195" si="12">(V132/W132-1)/T132</f>
        <v>5.7855656480483245E-3</v>
      </c>
      <c r="Y132" s="451">
        <f t="shared" ref="Y132:Y195" si="13">LN((1+(U132+X132)*T132)/(1+X132*T132))</f>
        <v>1.3481147814932942E-3</v>
      </c>
    </row>
    <row r="133" spans="18:25" x14ac:dyDescent="0.2">
      <c r="R133" s="422">
        <f>_xll.qlCalendarAdvance(Calendar,R132,"1D","f")</f>
        <v>42311</v>
      </c>
      <c r="S133" s="448">
        <f>_xll.qlCalendarAdvance(Calendar,R133,$F$1,"mf",,Trigger)</f>
        <v>42493</v>
      </c>
      <c r="T133" s="449">
        <f>_xll.qlDayCounterYearFraction(DayCounter,R133,S133,,,Trigger)</f>
        <v>0.49863013698630138</v>
      </c>
      <c r="U133" s="423">
        <f>_xll.qlInterpolationInterpolate(B6Minterpolation,R133,TRUE)</f>
        <v>2.6989751866708643E-3</v>
      </c>
      <c r="V133" s="345">
        <f>_xll.qlYieldTSDiscount(Discounting,R133,,AllTriggers)</f>
        <v>0.99766412783910852</v>
      </c>
      <c r="W133" s="345">
        <f>_xll.qlYieldTSDiscount(Discounting,S133,,AllTriggers)</f>
        <v>0.99479199561661658</v>
      </c>
      <c r="X133" s="32">
        <f t="shared" si="12"/>
        <v>5.790200782316437E-3</v>
      </c>
      <c r="Y133" s="451">
        <f t="shared" si="13"/>
        <v>1.3410164645719974E-3</v>
      </c>
    </row>
    <row r="134" spans="18:25" x14ac:dyDescent="0.2">
      <c r="R134" s="422">
        <f>_xll.qlCalendarAdvance(Calendar,R133,"1D","f")</f>
        <v>42312</v>
      </c>
      <c r="S134" s="448">
        <f>_xll.qlCalendarAdvance(Calendar,R134,$F$1,"mf",,Trigger)</f>
        <v>42494</v>
      </c>
      <c r="T134" s="449">
        <f>_xll.qlDayCounterYearFraction(DayCounter,R134,S134,,,Trigger)</f>
        <v>0.49863013698630138</v>
      </c>
      <c r="U134" s="423">
        <f>_xll.qlInterpolationInterpolate(B6Minterpolation,R134,TRUE)</f>
        <v>2.6995285795974057E-3</v>
      </c>
      <c r="V134" s="345">
        <f>_xll.qlYieldTSDiscount(Discounting,R134,,AllTriggers)</f>
        <v>0.9976506139101381</v>
      </c>
      <c r="W134" s="345">
        <f>_xll.qlYieldTSDiscount(Discounting,S134,,AllTriggers)</f>
        <v>0.99477387967202047</v>
      </c>
      <c r="X134" s="32">
        <f t="shared" si="12"/>
        <v>5.7995840323178012E-3</v>
      </c>
      <c r="Y134" s="451">
        <f t="shared" si="13"/>
        <v>1.3412849865079828E-3</v>
      </c>
    </row>
    <row r="135" spans="18:25" x14ac:dyDescent="0.2">
      <c r="R135" s="422">
        <f>_xll.qlCalendarAdvance(Calendar,R134,"1D","f")</f>
        <v>42313</v>
      </c>
      <c r="S135" s="448">
        <f>_xll.qlCalendarAdvance(Calendar,R135,$F$1,"mf",,Trigger)</f>
        <v>42495</v>
      </c>
      <c r="T135" s="449">
        <f>_xll.qlDayCounterYearFraction(DayCounter,R135,S135,,,Trigger)</f>
        <v>0.49863013698630138</v>
      </c>
      <c r="U135" s="423">
        <f>_xll.qlInterpolationInterpolate(B6Minterpolation,R135,TRUE)</f>
        <v>2.7001401899298637E-3</v>
      </c>
      <c r="V135" s="345">
        <f>_xll.qlYieldTSDiscount(Discounting,R135,,AllTriggers)</f>
        <v>0.99763705667245239</v>
      </c>
      <c r="W135" s="345">
        <f>_xll.qlYieldTSDiscount(Discounting,S135,,AllTriggers)</f>
        <v>0.99475571942106411</v>
      </c>
      <c r="X135" s="32">
        <f t="shared" si="12"/>
        <v>5.8089698941353142E-3</v>
      </c>
      <c r="Y135" s="451">
        <f t="shared" si="13"/>
        <v>1.341582410432584E-3</v>
      </c>
    </row>
    <row r="136" spans="18:25" x14ac:dyDescent="0.2">
      <c r="R136" s="422">
        <f>_xll.qlCalendarAdvance(Calendar,R135,"1D","f")</f>
        <v>42314</v>
      </c>
      <c r="S136" s="448">
        <f>_xll.qlCalendarAdvance(Calendar,R136,$F$1,"mf",,Trigger)</f>
        <v>42496</v>
      </c>
      <c r="T136" s="449">
        <f>_xll.qlDayCounterYearFraction(DayCounter,R136,S136,,,Trigger)</f>
        <v>0.49863013698630138</v>
      </c>
      <c r="U136" s="423">
        <f>_xll.qlInterpolationInterpolate(B6Minterpolation,R136,TRUE)</f>
        <v>2.7008090843656631E-3</v>
      </c>
      <c r="V136" s="345">
        <f>_xll.qlYieldTSDiscount(Discounting,R136,,AllTriggers)</f>
        <v>0.99762345761361881</v>
      </c>
      <c r="W136" s="345">
        <f>_xll.qlYieldTSDiscount(Discounting,S136,,AllTriggers)</f>
        <v>0.99473751495406593</v>
      </c>
      <c r="X136" s="32">
        <f t="shared" si="12"/>
        <v>5.8183611856368308E-3</v>
      </c>
      <c r="Y136" s="451">
        <f t="shared" si="13"/>
        <v>1.3419082706310234E-3</v>
      </c>
    </row>
    <row r="137" spans="18:25" x14ac:dyDescent="0.2">
      <c r="R137" s="422">
        <f>_xll.qlCalendarAdvance(Calendar,R136,"1D","f")</f>
        <v>42317</v>
      </c>
      <c r="S137" s="448">
        <f>_xll.qlCalendarAdvance(Calendar,R137,$F$1,"mf",,Trigger)</f>
        <v>42499</v>
      </c>
      <c r="T137" s="449">
        <f>_xll.qlDayCounterYearFraction(DayCounter,R137,S137,,,Trigger)</f>
        <v>0.49863013698630138</v>
      </c>
      <c r="U137" s="423">
        <f>_xll.qlInterpolationInterpolate(B6Minterpolation,R137,TRUE)</f>
        <v>2.7031501392673586E-3</v>
      </c>
      <c r="V137" s="345">
        <f>_xll.qlYieldTSDiscount(Discounting,R137,,AllTriggers)</f>
        <v>0.99758242438476974</v>
      </c>
      <c r="W137" s="345">
        <f>_xll.qlYieldTSDiscount(Discounting,S137,,AllTriggers)</f>
        <v>0.99468263715999672</v>
      </c>
      <c r="X137" s="32">
        <f t="shared" si="12"/>
        <v>5.846595817727303E-3</v>
      </c>
      <c r="Y137" s="451">
        <f t="shared" si="13"/>
        <v>1.3430518117911587E-3</v>
      </c>
    </row>
    <row r="138" spans="18:25" x14ac:dyDescent="0.2">
      <c r="R138" s="422">
        <f>_xll.qlCalendarAdvance(Calendar,R137,"1D","f")</f>
        <v>42318</v>
      </c>
      <c r="S138" s="448">
        <f>_xll.qlCalendarAdvance(Calendar,R138,$F$1,"mf",,Trigger)</f>
        <v>42500</v>
      </c>
      <c r="T138" s="449">
        <f>_xll.qlDayCounterYearFraction(DayCounter,R138,S138,,,Trigger)</f>
        <v>0.49863013698630138</v>
      </c>
      <c r="U138" s="423">
        <f>_xll.qlInterpolationInterpolate(B6Minterpolation,R138,TRUE)</f>
        <v>2.7040388370907719E-3</v>
      </c>
      <c r="V138" s="345">
        <f>_xll.qlYieldTSDiscount(Discounting,R138,,AllTriggers)</f>
        <v>0.99756867291549955</v>
      </c>
      <c r="W138" s="345">
        <f>_xll.qlYieldTSDiscount(Discounting,S138,,AllTriggers)</f>
        <v>0.99466425673200431</v>
      </c>
      <c r="X138" s="32">
        <f t="shared" si="12"/>
        <v>5.8560370077099114E-3</v>
      </c>
      <c r="Y138" s="451">
        <f t="shared" si="13"/>
        <v>1.3434867600270659E-3</v>
      </c>
    </row>
    <row r="139" spans="18:25" x14ac:dyDescent="0.2">
      <c r="R139" s="422">
        <f>_xll.qlCalendarAdvance(Calendar,R138,"1D","f")</f>
        <v>42319</v>
      </c>
      <c r="S139" s="448">
        <f>_xll.qlCalendarAdvance(Calendar,R139,$F$1,"mf",,Trigger)</f>
        <v>42501</v>
      </c>
      <c r="T139" s="449">
        <f>_xll.qlDayCounterYearFraction(DayCounter,R139,S139,,,Trigger)</f>
        <v>0.49863013698630138</v>
      </c>
      <c r="U139" s="423">
        <f>_xll.qlInterpolationInterpolate(B6Minterpolation,R139,TRUE)</f>
        <v>2.7049801525046509E-3</v>
      </c>
      <c r="V139" s="345">
        <f>_xll.qlYieldTSDiscount(Discounting,R139,,AllTriggers)</f>
        <v>0.99755488706177353</v>
      </c>
      <c r="W139" s="345">
        <f>_xll.qlYieldTSDiscount(Discounting,S139,,AllTriggers)</f>
        <v>0.99464583253955341</v>
      </c>
      <c r="X139" s="32">
        <f t="shared" si="12"/>
        <v>5.8654977175146891E-3</v>
      </c>
      <c r="Y139" s="451">
        <f t="shared" si="13"/>
        <v>1.3439478160285291E-3</v>
      </c>
    </row>
    <row r="140" spans="18:25" x14ac:dyDescent="0.2">
      <c r="R140" s="422">
        <f>_xll.qlCalendarAdvance(Calendar,R139,"1D","f")</f>
        <v>42320</v>
      </c>
      <c r="S140" s="448">
        <f>_xll.qlCalendarAdvance(Calendar,R140,$F$1,"mf",,Trigger)</f>
        <v>42502</v>
      </c>
      <c r="T140" s="449">
        <f>_xll.qlDayCounterYearFraction(DayCounter,R140,S140,,,Trigger)</f>
        <v>0.49863013698630138</v>
      </c>
      <c r="U140" s="423">
        <f>_xll.qlInterpolationInterpolate(B6Minterpolation,R140,TRUE)</f>
        <v>2.7059731522064202E-3</v>
      </c>
      <c r="V140" s="345">
        <f>_xll.qlYieldTSDiscount(Discounting,R140,,AllTriggers)</f>
        <v>0.99754106831069644</v>
      </c>
      <c r="W140" s="345">
        <f>_xll.qlYieldTSDiscount(Discounting,S140,,AllTriggers)</f>
        <v>0.99462736467295876</v>
      </c>
      <c r="X140" s="32">
        <f t="shared" si="12"/>
        <v>5.8749807653278871E-3</v>
      </c>
      <c r="Y140" s="451">
        <f t="shared" si="13"/>
        <v>1.3444345141044433E-3</v>
      </c>
    </row>
    <row r="141" spans="18:25" x14ac:dyDescent="0.2">
      <c r="R141" s="422">
        <f>_xll.qlCalendarAdvance(Calendar,R140,"1D","f")</f>
        <v>42321</v>
      </c>
      <c r="S141" s="448">
        <f>_xll.qlCalendarAdvance(Calendar,R141,$F$1,"mf",,Trigger)</f>
        <v>42503</v>
      </c>
      <c r="T141" s="449">
        <f>_xll.qlDayCounterYearFraction(DayCounter,R141,S141,,,Trigger)</f>
        <v>0.49863013698630138</v>
      </c>
      <c r="U141" s="423">
        <f>_xll.qlInterpolationInterpolate(B6Minterpolation,R141,TRUE)</f>
        <v>2.7070169028935043E-3</v>
      </c>
      <c r="V141" s="345">
        <f>_xll.qlYieldTSDiscount(Discounting,R141,,AllTriggers)</f>
        <v>0.99752721814929457</v>
      </c>
      <c r="W141" s="345">
        <f>_xll.qlYieldTSDiscount(Discounting,S141,,AllTriggers)</f>
        <v>0.99460885322253401</v>
      </c>
      <c r="X141" s="32">
        <f t="shared" si="12"/>
        <v>5.8844889693905325E-3</v>
      </c>
      <c r="Y141" s="451">
        <f t="shared" si="13"/>
        <v>1.344946388568156E-3</v>
      </c>
    </row>
    <row r="142" spans="18:25" x14ac:dyDescent="0.2">
      <c r="R142" s="422">
        <f>_xll.qlCalendarAdvance(Calendar,R141,"1D","f")</f>
        <v>42324</v>
      </c>
      <c r="S142" s="448">
        <f>_xll.qlCalendarAdvance(Calendar,R142,$F$1,"mf",,Trigger)</f>
        <v>42506</v>
      </c>
      <c r="T142" s="449">
        <f>_xll.qlDayCounterYearFraction(DayCounter,R142,S142,,,Trigger)</f>
        <v>0.49863013698630138</v>
      </c>
      <c r="U142" s="423">
        <f>_xll.qlInterpolationInterpolate(B6Minterpolation,R142,TRUE)</f>
        <v>2.7104433278408949E-3</v>
      </c>
      <c r="V142" s="345">
        <f>_xll.qlYieldTSDiscount(Discounting,R142,,AllTriggers)</f>
        <v>0.9974854940722071</v>
      </c>
      <c r="W142" s="345">
        <f>_xll.qlYieldTSDiscount(Discounting,S142,,AllTriggers)</f>
        <v>0.99455305827140661</v>
      </c>
      <c r="X142" s="32">
        <f t="shared" si="12"/>
        <v>5.9131927023003102E-3</v>
      </c>
      <c r="Y142" s="451">
        <f t="shared" si="13"/>
        <v>1.346628413456242E-3</v>
      </c>
    </row>
    <row r="143" spans="18:25" x14ac:dyDescent="0.2">
      <c r="R143" s="422">
        <f>_xll.qlCalendarAdvance(Calendar,R142,"1D","f")</f>
        <v>42325</v>
      </c>
      <c r="S143" s="448">
        <f>_xll.qlCalendarAdvance(Calendar,R143,$F$1,"mf",,Trigger)</f>
        <v>42507</v>
      </c>
      <c r="T143" s="449">
        <f>_xll.qlDayCounterYearFraction(DayCounter,R143,S143,,,Trigger)</f>
        <v>0.49863013698630138</v>
      </c>
      <c r="U143" s="423">
        <f>_xll.qlInterpolationInterpolate(B6Minterpolation,R143,TRUE)</f>
        <v>2.711680749443487E-3</v>
      </c>
      <c r="V143" s="345">
        <f>_xll.qlYieldTSDiscount(Discounting,R143,,AllTriggers)</f>
        <v>0.99747153313817183</v>
      </c>
      <c r="W143" s="345">
        <f>_xll.qlYieldTSDiscount(Discounting,S143,,AllTriggers)</f>
        <v>0.99453437338878414</v>
      </c>
      <c r="X143" s="32">
        <f t="shared" si="12"/>
        <v>5.9228297148597731E-3</v>
      </c>
      <c r="Y143" s="451">
        <f t="shared" si="13"/>
        <v>1.3472363366569947E-3</v>
      </c>
    </row>
    <row r="144" spans="18:25" x14ac:dyDescent="0.2">
      <c r="R144" s="422">
        <f>_xll.qlCalendarAdvance(Calendar,R143,"1D","f")</f>
        <v>42326</v>
      </c>
      <c r="S144" s="448">
        <f>_xll.qlCalendarAdvance(Calendar,R144,$F$1,"mf",,Trigger)</f>
        <v>42508</v>
      </c>
      <c r="T144" s="449">
        <f>_xll.qlDayCounterYearFraction(DayCounter,R144,S144,,,Trigger)</f>
        <v>0.49863013698630138</v>
      </c>
      <c r="U144" s="423">
        <f>_xll.qlInterpolationInterpolate(B6Minterpolation,R144,TRUE)</f>
        <v>2.7129642555185182E-3</v>
      </c>
      <c r="V144" s="345">
        <f>_xll.qlYieldTSDiscount(Discounting,R144,,AllTriggers)</f>
        <v>0.9974575482277418</v>
      </c>
      <c r="W144" s="345">
        <f>_xll.qlYieldTSDiscount(Discounting,S144,,AllTriggers)</f>
        <v>0.99451564537388815</v>
      </c>
      <c r="X144" s="32">
        <f t="shared" si="12"/>
        <v>5.9325059756945115E-3</v>
      </c>
      <c r="Y144" s="451">
        <f t="shared" si="13"/>
        <v>1.3478671078523321E-3</v>
      </c>
    </row>
    <row r="145" spans="18:25" x14ac:dyDescent="0.2">
      <c r="R145" s="422">
        <f>_xll.qlCalendarAdvance(Calendar,R144,"1D","f")</f>
        <v>42327</v>
      </c>
      <c r="S145" s="448">
        <f>_xll.qlCalendarAdvance(Calendar,R145,$F$1,"mf",,Trigger)</f>
        <v>42509</v>
      </c>
      <c r="T145" s="449">
        <f>_xll.qlDayCounterYearFraction(DayCounter,R145,S145,,,Trigger)</f>
        <v>0.49863013698630138</v>
      </c>
      <c r="U145" s="423">
        <f>_xll.qlInterpolationInterpolate(B6Minterpolation,R145,TRUE)</f>
        <v>2.7142929127634136E-3</v>
      </c>
      <c r="V145" s="345">
        <f>_xll.qlYieldTSDiscount(Discounting,R145,,AllTriggers)</f>
        <v>0.99744354082746023</v>
      </c>
      <c r="W145" s="345">
        <f>_xll.qlYieldTSDiscount(Discounting,S145,,AllTriggers)</f>
        <v>0.99449687431702727</v>
      </c>
      <c r="X145" s="32">
        <f t="shared" si="12"/>
        <v>5.9422243033759722E-3</v>
      </c>
      <c r="Y145" s="451">
        <f t="shared" si="13"/>
        <v>1.3485202613714273E-3</v>
      </c>
    </row>
    <row r="146" spans="18:25" x14ac:dyDescent="0.2">
      <c r="R146" s="422">
        <f>_xll.qlCalendarAdvance(Calendar,R145,"1D","f")</f>
        <v>42328</v>
      </c>
      <c r="S146" s="448">
        <f>_xll.qlCalendarAdvance(Calendar,R146,$F$1,"mf",,Trigger)</f>
        <v>42510</v>
      </c>
      <c r="T146" s="449">
        <f>_xll.qlDayCounterYearFraction(DayCounter,R146,S146,,,Trigger)</f>
        <v>0.49863013698630138</v>
      </c>
      <c r="U146" s="423">
        <f>_xll.qlInterpolationInterpolate(B6Minterpolation,R146,TRUE)</f>
        <v>2.7156657878755971E-3</v>
      </c>
      <c r="V146" s="345">
        <f>_xll.qlYieldTSDiscount(Discounting,R146,,AllTriggers)</f>
        <v>0.9974295124237883</v>
      </c>
      <c r="W146" s="345">
        <f>_xll.qlYieldTSDiscount(Discounting,S146,,AllTriggers)</f>
        <v>0.99447806030850872</v>
      </c>
      <c r="X146" s="32">
        <f t="shared" si="12"/>
        <v>5.9519875165339343E-3</v>
      </c>
      <c r="Y146" s="451">
        <f t="shared" si="13"/>
        <v>1.3491953315455856E-3</v>
      </c>
    </row>
    <row r="147" spans="18:25" x14ac:dyDescent="0.2">
      <c r="R147" s="422">
        <f>_xll.qlCalendarAdvance(Calendar,R146,"1D","f")</f>
        <v>42331</v>
      </c>
      <c r="S147" s="448">
        <f>_xll.qlCalendarAdvance(Calendar,R147,$F$1,"mf",,Trigger)</f>
        <v>42513</v>
      </c>
      <c r="T147" s="449">
        <f>_xll.qlDayCounterYearFraction(DayCounter,R147,S147,,,Trigger)</f>
        <v>0.49863013698630138</v>
      </c>
      <c r="U147" s="423">
        <f>_xll.qlInterpolationInterpolate(B6Minterpolation,R147,TRUE)</f>
        <v>2.7200403873901273E-3</v>
      </c>
      <c r="V147" s="345">
        <f>_xll.qlYieldTSDiscount(Discounting,R147,,AllTriggers)</f>
        <v>0.99738731605580733</v>
      </c>
      <c r="W147" s="345">
        <f>_xll.qlYieldTSDiscount(Discounting,S147,,AllTriggers)</f>
        <v>0.99442136147606586</v>
      </c>
      <c r="X147" s="32">
        <f t="shared" si="12"/>
        <v>5.9815746560276419E-3</v>
      </c>
      <c r="Y147" s="451">
        <f t="shared" si="13"/>
        <v>1.3513473853416266E-3</v>
      </c>
    </row>
    <row r="148" spans="18:25" x14ac:dyDescent="0.2">
      <c r="R148" s="422">
        <f>_xll.qlCalendarAdvance(Calendar,R147,"1D","f")</f>
        <v>42332</v>
      </c>
      <c r="S148" s="448">
        <f>_xll.qlCalendarAdvance(Calendar,R148,$F$1,"mf",,Trigger)</f>
        <v>42514</v>
      </c>
      <c r="T148" s="449">
        <f>_xll.qlDayCounterYearFraction(DayCounter,R148,S148,,,Trigger)</f>
        <v>0.49863013698630138</v>
      </c>
      <c r="U148" s="423">
        <f>_xll.qlInterpolationInterpolate(B6Minterpolation,R148,TRUE)</f>
        <v>2.7215808009457129E-3</v>
      </c>
      <c r="V148" s="345">
        <f>_xll.qlYieldTSDiscount(Discounting,R148,,AllTriggers)</f>
        <v>0.99737321850153771</v>
      </c>
      <c r="W148" s="345">
        <f>_xll.qlYieldTSDiscount(Discounting,S148,,AllTriggers)</f>
        <v>0.99440237656396924</v>
      </c>
      <c r="X148" s="32">
        <f t="shared" si="12"/>
        <v>5.9915455985467703E-3</v>
      </c>
      <c r="Y148" s="451">
        <f t="shared" si="13"/>
        <v>1.3521054654893015E-3</v>
      </c>
    </row>
    <row r="149" spans="18:25" x14ac:dyDescent="0.2">
      <c r="R149" s="422">
        <f>_xll.qlCalendarAdvance(Calendar,R148,"1D","f")</f>
        <v>42333</v>
      </c>
      <c r="S149" s="448">
        <f>_xll.qlCalendarAdvance(Calendar,R149,$F$1,"mf",,Trigger)</f>
        <v>42515</v>
      </c>
      <c r="T149" s="449">
        <f>_xll.qlDayCounterYearFraction(DayCounter,R149,S149,,,Trigger)</f>
        <v>0.49863013698630138</v>
      </c>
      <c r="U149" s="423">
        <f>_xll.qlInterpolationInterpolate(B6Minterpolation,R149,TRUE)</f>
        <v>2.7231607658557114E-3</v>
      </c>
      <c r="V149" s="345">
        <f>_xll.qlYieldTSDiscount(Discounting,R149,,AllTriggers)</f>
        <v>0.99735910737494504</v>
      </c>
      <c r="W149" s="345">
        <f>_xll.qlYieldTSDiscount(Discounting,S149,,AllTriggers)</f>
        <v>0.99438334915173543</v>
      </c>
      <c r="X149" s="32">
        <f t="shared" si="12"/>
        <v>6.0015755205654435E-3</v>
      </c>
      <c r="Y149" s="451">
        <f t="shared" si="13"/>
        <v>1.3528831339780893E-3</v>
      </c>
    </row>
    <row r="150" spans="18:25" x14ac:dyDescent="0.2">
      <c r="R150" s="422">
        <f>_xll.qlCalendarAdvance(Calendar,R149,"1D","f")</f>
        <v>42334</v>
      </c>
      <c r="S150" s="448">
        <f>_xll.qlCalendarAdvance(Calendar,R150,$F$1,"mf",,Trigger)</f>
        <v>42516</v>
      </c>
      <c r="T150" s="449">
        <f>_xll.qlDayCounterYearFraction(DayCounter,R150,S150,,,Trigger)</f>
        <v>0.49863013698630138</v>
      </c>
      <c r="U150" s="423">
        <f>_xll.qlInterpolationInterpolate(B6Minterpolation,R150,TRUE)</f>
        <v>2.724779348817547E-3</v>
      </c>
      <c r="V150" s="345">
        <f>_xll.qlYieldTSDiscount(Discounting,R150,,AllTriggers)</f>
        <v>0.99734498416199369</v>
      </c>
      <c r="W150" s="345">
        <f>_xll.qlYieldTSDiscount(Discounting,S150,,AllTriggers)</f>
        <v>0.99436427932966454</v>
      </c>
      <c r="X150" s="32">
        <f t="shared" si="12"/>
        <v>6.0116672410705793E-3</v>
      </c>
      <c r="Y150" s="451">
        <f t="shared" si="13"/>
        <v>1.3536799251512924E-3</v>
      </c>
    </row>
    <row r="151" spans="18:25" x14ac:dyDescent="0.2">
      <c r="R151" s="422">
        <f>_xll.qlCalendarAdvance(Calendar,R150,"1D","f")</f>
        <v>42335</v>
      </c>
      <c r="S151" s="448">
        <f>_xll.qlCalendarAdvance(Calendar,R151,$F$1,"mf",,Trigger)</f>
        <v>42517</v>
      </c>
      <c r="T151" s="449">
        <f>_xll.qlDayCounterYearFraction(DayCounter,R151,S151,,,Trigger)</f>
        <v>0.49863013698630138</v>
      </c>
      <c r="U151" s="423">
        <f>_xll.qlInterpolationInterpolate(B6Minterpolation,R151,TRUE)</f>
        <v>2.7264356165286447E-3</v>
      </c>
      <c r="V151" s="345">
        <f>_xll.qlYieldTSDiscount(Discounting,R151,,AllTriggers)</f>
        <v>0.99733085034856372</v>
      </c>
      <c r="W151" s="345">
        <f>_xll.qlYieldTSDiscount(Discounting,S151,,AllTriggers)</f>
        <v>0.99434516718805588</v>
      </c>
      <c r="X151" s="32">
        <f t="shared" si="12"/>
        <v>6.0218235791087669E-3</v>
      </c>
      <c r="Y151" s="451">
        <f t="shared" si="13"/>
        <v>1.3544953733528051E-3</v>
      </c>
    </row>
    <row r="152" spans="18:25" x14ac:dyDescent="0.2">
      <c r="R152" s="422">
        <f>_xll.qlCalendarAdvance(Calendar,R151,"1D","f")</f>
        <v>42338</v>
      </c>
      <c r="S152" s="448">
        <f>_xll.qlCalendarAdvance(Calendar,R152,$F$1,"mf",,Trigger)</f>
        <v>42521</v>
      </c>
      <c r="T152" s="449">
        <f>_xll.qlDayCounterYearFraction(DayCounter,R152,S152,,,Trigger)</f>
        <v>0.50136986301369868</v>
      </c>
      <c r="U152" s="423">
        <f>_xll.qlInterpolationInterpolate(B6Minterpolation,R152,TRUE)</f>
        <v>2.7316211951317589E-3</v>
      </c>
      <c r="V152" s="345">
        <f>_xll.qlYieldTSDiscount(Discounting,R152,,AllTriggers)</f>
        <v>0.99728840016294806</v>
      </c>
      <c r="W152" s="345">
        <f>_xll.qlYieldTSDiscount(Discounting,S152,,AllTriggers)</f>
        <v>0.99426829723217647</v>
      </c>
      <c r="X152" s="32">
        <f t="shared" si="12"/>
        <v>6.058427673504509E-3</v>
      </c>
      <c r="Y152" s="451">
        <f t="shared" si="13"/>
        <v>1.3644737906681431E-3</v>
      </c>
    </row>
    <row r="153" spans="18:25" x14ac:dyDescent="0.2">
      <c r="R153" s="422">
        <f>_xll.qlCalendarAdvance(Calendar,R152,"1D","f")</f>
        <v>42339</v>
      </c>
      <c r="S153" s="448">
        <f>_xll.qlCalendarAdvance(Calendar,R153,$F$1,"mf",,Trigger)</f>
        <v>42522</v>
      </c>
      <c r="T153" s="449">
        <f>_xll.qlDayCounterYearFraction(DayCounter,R153,S153,,,Trigger)</f>
        <v>0.50136986301369868</v>
      </c>
      <c r="U153" s="423">
        <f>_xll.qlInterpolationInterpolate(B6Minterpolation,R153,TRUE)</f>
        <v>2.733418868814153E-3</v>
      </c>
      <c r="V153" s="345">
        <f>_xll.qlYieldTSDiscount(Discounting,R153,,AllTriggers)</f>
        <v>0.99727423854253228</v>
      </c>
      <c r="W153" s="345">
        <f>_xll.qlYieldTSDiscount(Discounting,S153,,AllTriggers)</f>
        <v>0.99424897484731656</v>
      </c>
      <c r="X153" s="32">
        <f t="shared" si="12"/>
        <v>6.0688982814952365E-3</v>
      </c>
      <c r="Y153" s="451">
        <f t="shared" si="13"/>
        <v>1.3653639939191446E-3</v>
      </c>
    </row>
    <row r="154" spans="18:25" x14ac:dyDescent="0.2">
      <c r="R154" s="422">
        <f>_xll.qlCalendarAdvance(Calendar,R153,"1D","f")</f>
        <v>42340</v>
      </c>
      <c r="S154" s="448">
        <f>_xll.qlCalendarAdvance(Calendar,R154,$F$1,"mf",,Trigger)</f>
        <v>42523</v>
      </c>
      <c r="T154" s="449">
        <f>_xll.qlDayCounterYearFraction(DayCounter,R154,S154,,,Trigger)</f>
        <v>0.50136986301369868</v>
      </c>
      <c r="U154" s="423">
        <f>_xll.qlInterpolationInterpolate(B6Minterpolation,R154,TRUE)</f>
        <v>2.7352495607329331E-3</v>
      </c>
      <c r="V154" s="345">
        <f>_xll.qlYieldTSDiscount(Discounting,R154,,AllTriggers)</f>
        <v>0.99726007217662882</v>
      </c>
      <c r="W154" s="345">
        <f>_xll.qlYieldTSDiscount(Discounting,S154,,AllTriggers)</f>
        <v>0.99422961068468363</v>
      </c>
      <c r="X154" s="32">
        <f t="shared" si="12"/>
        <v>6.0794438428211899E-3</v>
      </c>
      <c r="Y154" s="451">
        <f t="shared" si="13"/>
        <v>1.3662706174174713E-3</v>
      </c>
    </row>
    <row r="155" spans="18:25" x14ac:dyDescent="0.2">
      <c r="R155" s="422">
        <f>_xll.qlCalendarAdvance(Calendar,R154,"1D","f")</f>
        <v>42341</v>
      </c>
      <c r="S155" s="448">
        <f>_xll.qlCalendarAdvance(Calendar,R155,$F$1,"mf",,Trigger)</f>
        <v>42524</v>
      </c>
      <c r="T155" s="449">
        <f>_xll.qlDayCounterYearFraction(DayCounter,R155,S155,,,Trigger)</f>
        <v>0.50136986301369868</v>
      </c>
      <c r="U155" s="423">
        <f>_xll.qlInterpolationInterpolate(B6Minterpolation,R155,TRUE)</f>
        <v>2.7371123375855241E-3</v>
      </c>
      <c r="V155" s="345">
        <f>_xll.qlYieldTSDiscount(Discounting,R155,,AllTriggers)</f>
        <v>0.99724590097754451</v>
      </c>
      <c r="W155" s="345">
        <f>_xll.qlYieldTSDiscount(Discounting,S155,,AllTriggers)</f>
        <v>0.9942102048345669</v>
      </c>
      <c r="X155" s="32">
        <f t="shared" si="12"/>
        <v>6.0900640055785334E-3</v>
      </c>
      <c r="Y155" s="451">
        <f t="shared" si="13"/>
        <v>1.3671931951294793E-3</v>
      </c>
    </row>
    <row r="156" spans="18:25" x14ac:dyDescent="0.2">
      <c r="R156" s="422">
        <f>_xll.qlCalendarAdvance(Calendar,R155,"1D","f")</f>
        <v>42342</v>
      </c>
      <c r="S156" s="448">
        <f>_xll.qlCalendarAdvance(Calendar,R156,$F$1,"mf",,Trigger)</f>
        <v>42527</v>
      </c>
      <c r="T156" s="449">
        <f>_xll.qlDayCounterYearFraction(DayCounter,R156,S156,,,Trigger)</f>
        <v>0.50684931506849318</v>
      </c>
      <c r="U156" s="423">
        <f>_xll.qlInterpolationInterpolate(B6Minterpolation,R156,TRUE)</f>
        <v>2.739006266069351E-3</v>
      </c>
      <c r="V156" s="345">
        <f>_xll.qlYieldTSDiscount(Discounting,R156,,AllTriggers)</f>
        <v>0.99723172485759104</v>
      </c>
      <c r="W156" s="345">
        <f>_xll.qlYieldTSDiscount(Discounting,S156,,AllTriggers)</f>
        <v>0.99415173806217738</v>
      </c>
      <c r="X156" s="32">
        <f t="shared" si="12"/>
        <v>6.1124780773502514E-3</v>
      </c>
      <c r="Y156" s="451">
        <f t="shared" si="13"/>
        <v>1.383018935557194E-3</v>
      </c>
    </row>
    <row r="157" spans="18:25" x14ac:dyDescent="0.2">
      <c r="R157" s="422">
        <f>_xll.qlCalendarAdvance(Calendar,R156,"1D","f")</f>
        <v>42345</v>
      </c>
      <c r="S157" s="448">
        <f>_xll.qlCalendarAdvance(Calendar,R157,$F$1,"mf",,Trigger)</f>
        <v>42528</v>
      </c>
      <c r="T157" s="449">
        <f>_xll.qlDayCounterYearFraction(DayCounter,R157,S157,,,Trigger)</f>
        <v>0.50136986301369868</v>
      </c>
      <c r="U157" s="423">
        <f>_xll.qlInterpolationInterpolate(B6Minterpolation,R157,TRUE)</f>
        <v>2.7448656282824929E-3</v>
      </c>
      <c r="V157" s="345">
        <f>_xll.qlYieldTSDiscount(Discounting,R157,,AllTriggers)</f>
        <v>0.99718916609571007</v>
      </c>
      <c r="W157" s="345">
        <f>_xll.qlYieldTSDiscount(Discounting,S157,,AllTriggers)</f>
        <v>0.99413216636498103</v>
      </c>
      <c r="X157" s="32">
        <f t="shared" si="12"/>
        <v>6.1332836328911195E-3</v>
      </c>
      <c r="Y157" s="451">
        <f t="shared" si="13"/>
        <v>1.3710337277169351E-3</v>
      </c>
    </row>
    <row r="158" spans="18:25" x14ac:dyDescent="0.2">
      <c r="R158" s="422">
        <f>_xll.qlCalendarAdvance(Calendar,R157,"1D","f")</f>
        <v>42346</v>
      </c>
      <c r="S158" s="448">
        <f>_xll.qlCalendarAdvance(Calendar,R158,$F$1,"mf",,Trigger)</f>
        <v>42529</v>
      </c>
      <c r="T158" s="449">
        <f>_xll.qlDayCounterYearFraction(DayCounter,R158,S158,,,Trigger)</f>
        <v>0.50136986301369868</v>
      </c>
      <c r="U158" s="423">
        <f>_xll.qlInterpolationInterpolate(B6Minterpolation,R158,TRUE)</f>
        <v>2.7468748302655103E-3</v>
      </c>
      <c r="V158" s="345">
        <f>_xll.qlYieldTSDiscount(Discounting,R158,,AllTriggers)</f>
        <v>0.99717496941549955</v>
      </c>
      <c r="W158" s="345">
        <f>_xll.qlYieldTSDiscount(Discounting,S158,,AllTriggers)</f>
        <v>0.99411255343172023</v>
      </c>
      <c r="X158" s="32">
        <f t="shared" si="12"/>
        <v>6.1442715242863849E-3</v>
      </c>
      <c r="Y158" s="451">
        <f t="shared" si="13"/>
        <v>1.3720290862736099E-3</v>
      </c>
    </row>
    <row r="159" spans="18:25" x14ac:dyDescent="0.2">
      <c r="R159" s="422">
        <f>_xll.qlCalendarAdvance(Calendar,R158,"1D","f")</f>
        <v>42347</v>
      </c>
      <c r="S159" s="448">
        <f>_xll.qlCalendarAdvance(Calendar,R159,$F$1,"mf",,Trigger)</f>
        <v>42530</v>
      </c>
      <c r="T159" s="449">
        <f>_xll.qlDayCounterYearFraction(DayCounter,R159,S159,,,Trigger)</f>
        <v>0.50136986301369868</v>
      </c>
      <c r="U159" s="423">
        <f>_xll.qlInterpolationInterpolate(B6Minterpolation,R159,TRUE)</f>
        <v>2.748910517366887E-3</v>
      </c>
      <c r="V159" s="345">
        <f>_xll.qlYieldTSDiscount(Discounting,R159,,AllTriggers)</f>
        <v>0.99716076737605497</v>
      </c>
      <c r="W159" s="345">
        <f>_xll.qlYieldTSDiscount(Discounting,S159,,AllTriggers)</f>
        <v>0.99409289935267386</v>
      </c>
      <c r="X159" s="32">
        <f t="shared" si="12"/>
        <v>6.155331905708176E-3</v>
      </c>
      <c r="Y159" s="451">
        <f t="shared" si="13"/>
        <v>1.373037603015134E-3</v>
      </c>
    </row>
    <row r="160" spans="18:25" x14ac:dyDescent="0.2">
      <c r="R160" s="422">
        <f>_xll.qlCalendarAdvance(Calendar,R159,"1D","f")</f>
        <v>42348</v>
      </c>
      <c r="S160" s="448">
        <f>_xll.qlCalendarAdvance(Calendar,R160,$F$1,"mf",,Trigger)</f>
        <v>42531</v>
      </c>
      <c r="T160" s="449">
        <f>_xll.qlDayCounterYearFraction(DayCounter,R160,S160,,,Trigger)</f>
        <v>0.50136986301369868</v>
      </c>
      <c r="U160" s="423">
        <f>_xll.qlInterpolationInterpolate(B6Minterpolation,R160,TRUE)</f>
        <v>2.750971756284048E-3</v>
      </c>
      <c r="V160" s="345">
        <f>_xll.qlYieldTSDiscount(Discounting,R160,,AllTriggers)</f>
        <v>0.99714655988971868</v>
      </c>
      <c r="W160" s="345">
        <f>_xll.qlYieldTSDiscount(Discounting,S160,,AllTriggers)</f>
        <v>0.99407320421811873</v>
      </c>
      <c r="X160" s="32">
        <f t="shared" si="12"/>
        <v>6.1664644252570847E-3</v>
      </c>
      <c r="Y160" s="451">
        <f t="shared" si="13"/>
        <v>1.3740588119684652E-3</v>
      </c>
    </row>
    <row r="161" spans="18:25" x14ac:dyDescent="0.2">
      <c r="R161" s="422">
        <f>_xll.qlCalendarAdvance(Calendar,R160,"1D","f")</f>
        <v>42349</v>
      </c>
      <c r="S161" s="448">
        <f>_xll.qlCalendarAdvance(Calendar,R161,$F$1,"mf",,Trigger)</f>
        <v>42534</v>
      </c>
      <c r="T161" s="449">
        <f>_xll.qlDayCounterYearFraction(DayCounter,R161,S161,,,Trigger)</f>
        <v>0.50684931506849318</v>
      </c>
      <c r="U161" s="423">
        <f>_xll.qlInterpolationInterpolate(B6Minterpolation,R161,TRUE)</f>
        <v>2.7530576137144189E-3</v>
      </c>
      <c r="V161" s="345">
        <f>_xll.qlYieldTSDiscount(Discounting,R161,,AllTriggers)</f>
        <v>0.99713234686883789</v>
      </c>
      <c r="W161" s="345">
        <f>_xll.qlYieldTSDiscount(Discounting,S161,,AllTriggers)</f>
        <v>0.99401387338414104</v>
      </c>
      <c r="X161" s="32">
        <f t="shared" si="12"/>
        <v>6.1897163278947127E-3</v>
      </c>
      <c r="Y161" s="451">
        <f t="shared" si="13"/>
        <v>1.3900548051983316E-3</v>
      </c>
    </row>
    <row r="162" spans="18:25" x14ac:dyDescent="0.2">
      <c r="R162" s="422">
        <f>_xll.qlCalendarAdvance(Calendar,R161,"1D","f")</f>
        <v>42352</v>
      </c>
      <c r="S162" s="448">
        <f>_xll.qlCalendarAdvance(Calendar,R162,$F$1,"mf",,Trigger)</f>
        <v>42535</v>
      </c>
      <c r="T162" s="449">
        <f>_xll.qlDayCounterYearFraction(DayCounter,R162,S162,,,Trigger)</f>
        <v>0.50136986301369868</v>
      </c>
      <c r="U162" s="423">
        <f>_xll.qlInterpolationInterpolate(B6Minterpolation,R162,TRUE)</f>
        <v>2.7594535640590328E-3</v>
      </c>
      <c r="V162" s="345">
        <f>_xll.qlYieldTSDiscount(Discounting,R162,,AllTriggers)</f>
        <v>0.99708967372247947</v>
      </c>
      <c r="W162" s="345">
        <f>_xll.qlYieldTSDiscount(Discounting,S162,,AllTriggers)</f>
        <v>0.99399401493028161</v>
      </c>
      <c r="X162" s="32">
        <f t="shared" si="12"/>
        <v>6.2117088467233258E-3</v>
      </c>
      <c r="Y162" s="451">
        <f t="shared" si="13"/>
        <v>1.3782612507806358E-3</v>
      </c>
    </row>
    <row r="163" spans="18:25" x14ac:dyDescent="0.2">
      <c r="R163" s="422">
        <f>_xll.qlCalendarAdvance(Calendar,R162,"1D","f")</f>
        <v>42353</v>
      </c>
      <c r="S163" s="448">
        <f>_xll.qlCalendarAdvance(Calendar,R163,$F$1,"mf",,Trigger)</f>
        <v>42536</v>
      </c>
      <c r="T163" s="449">
        <f>_xll.qlDayCounterYearFraction(DayCounter,R163,S163,,,Trigger)</f>
        <v>0.50136986301369868</v>
      </c>
      <c r="U163" s="423">
        <f>_xll.qlInterpolationInterpolate(B6Minterpolation,R163,TRUE)</f>
        <v>2.7616285625164882E-3</v>
      </c>
      <c r="V163" s="345">
        <f>_xll.qlYieldTSDiscount(Discounting,R163,,AllTriggers)</f>
        <v>0.99707543768699691</v>
      </c>
      <c r="W163" s="345">
        <f>_xll.qlYieldTSDiscount(Discounting,S163,,AllTriggers)</f>
        <v>0.99397411587226892</v>
      </c>
      <c r="X163" s="32">
        <f t="shared" si="12"/>
        <v>6.2231967784051826E-3</v>
      </c>
      <c r="Y163" s="451">
        <f t="shared" si="13"/>
        <v>1.3793389315435425E-3</v>
      </c>
    </row>
    <row r="164" spans="18:25" x14ac:dyDescent="0.2">
      <c r="R164" s="422">
        <f>_xll.qlCalendarAdvance(Calendar,R163,"1D","f")</f>
        <v>42354</v>
      </c>
      <c r="S164" s="448">
        <f>_xll.qlCalendarAdvance(Calendar,R164,$F$1,"mf",,Trigger)</f>
        <v>42537</v>
      </c>
      <c r="T164" s="449">
        <f>_xll.qlDayCounterYearFraction(DayCounter,R164,S164,,,Trigger)</f>
        <v>0.50136986301369868</v>
      </c>
      <c r="U164" s="423">
        <f>_xll.qlInterpolationInterpolate(B6Minterpolation,R164,TRUE)</f>
        <v>2.7638235129742762E-3</v>
      </c>
      <c r="V164" s="345">
        <f>_xll.qlYieldTSDiscount(Discounting,R164,,AllTriggers)</f>
        <v>0.99706119567878337</v>
      </c>
      <c r="W164" s="345">
        <f>_xll.qlYieldTSDiscount(Discounting,S164,,AllTriggers)</f>
        <v>0.9939541763003682</v>
      </c>
      <c r="X164" s="32">
        <f t="shared" si="12"/>
        <v>6.2347547368101774E-3</v>
      </c>
      <c r="Y164" s="451">
        <f t="shared" si="13"/>
        <v>1.380426508891798E-3</v>
      </c>
    </row>
    <row r="165" spans="18:25" x14ac:dyDescent="0.2">
      <c r="R165" s="422">
        <f>_xll.qlCalendarAdvance(Calendar,R164,"1D","f")</f>
        <v>42355</v>
      </c>
      <c r="S165" s="448">
        <f>_xll.qlCalendarAdvance(Calendar,R165,$F$1,"mf",,Trigger)</f>
        <v>42538</v>
      </c>
      <c r="T165" s="449">
        <f>_xll.qlDayCounterYearFraction(DayCounter,R165,S165,,,Trigger)</f>
        <v>0.50136986301369868</v>
      </c>
      <c r="U165" s="423">
        <f>_xll.qlInterpolationInterpolate(B6Minterpolation,R165,TRUE)</f>
        <v>2.7660374821298224E-3</v>
      </c>
      <c r="V165" s="345">
        <f>_xll.qlYieldTSDiscount(Discounting,R165,,AllTriggers)</f>
        <v>0.99704694761021706</v>
      </c>
      <c r="W165" s="345">
        <f>_xll.qlYieldTSDiscount(Discounting,S165,,AllTriggers)</f>
        <v>0.99393419630484248</v>
      </c>
      <c r="X165" s="32">
        <f t="shared" si="12"/>
        <v>6.2463823700358041E-3</v>
      </c>
      <c r="Y165" s="451">
        <f t="shared" si="13"/>
        <v>1.3815235169252228E-3</v>
      </c>
    </row>
    <row r="166" spans="18:25" x14ac:dyDescent="0.2">
      <c r="R166" s="422">
        <f>_xll.qlCalendarAdvance(Calendar,R165,"1D","f")</f>
        <v>42356</v>
      </c>
      <c r="S166" s="448">
        <f>_xll.qlCalendarAdvance(Calendar,R166,$F$1,"mf",,Trigger)</f>
        <v>42541</v>
      </c>
      <c r="T166" s="449">
        <f>_xll.qlDayCounterYearFraction(DayCounter,R166,S166,,,Trigger)</f>
        <v>0.50684931506849318</v>
      </c>
      <c r="U166" s="423">
        <f>_xll.qlInterpolationInterpolate(B6Minterpolation,R166,TRUE)</f>
        <v>2.7682695366805514E-3</v>
      </c>
      <c r="V166" s="345">
        <f>_xll.qlYieldTSDiscount(Discounting,R166,,AllTriggers)</f>
        <v>0.99703269339368106</v>
      </c>
      <c r="W166" s="345">
        <f>_xll.qlYieldTSDiscount(Discounting,S166,,AllTriggers)</f>
        <v>0.99387401467911352</v>
      </c>
      <c r="X166" s="32">
        <f t="shared" si="12"/>
        <v>6.2704001131963739E-3</v>
      </c>
      <c r="Y166" s="451">
        <f t="shared" si="13"/>
        <v>1.397673200211286E-3</v>
      </c>
    </row>
    <row r="167" spans="18:25" x14ac:dyDescent="0.2">
      <c r="R167" s="422">
        <f>_xll.qlCalendarAdvance(Calendar,R166,"1D","f")</f>
        <v>42359</v>
      </c>
      <c r="S167" s="448">
        <f>_xll.qlCalendarAdvance(Calendar,R167,$F$1,"mf",,Trigger)</f>
        <v>42542</v>
      </c>
      <c r="T167" s="449">
        <f>_xll.qlDayCounterYearFraction(DayCounter,R167,S167,,,Trigger)</f>
        <v>0.50136986301369868</v>
      </c>
      <c r="U167" s="423">
        <f>_xll.qlInterpolationInterpolate(B6Minterpolation,R167,TRUE)</f>
        <v>2.7750648796780824E-3</v>
      </c>
      <c r="V167" s="345">
        <f>_xll.qlYieldTSDiscount(Discounting,R167,,AllTriggers)</f>
        <v>0.99698989298016405</v>
      </c>
      <c r="W167" s="345">
        <f>_xll.qlYieldTSDiscount(Discounting,S167,,AllTriggers)</f>
        <v>0.99385387389167501</v>
      </c>
      <c r="X167" s="32">
        <f t="shared" si="12"/>
        <v>6.2935826130603471E-3</v>
      </c>
      <c r="Y167" s="451">
        <f t="shared" si="13"/>
        <v>1.3859965383090781E-3</v>
      </c>
    </row>
    <row r="168" spans="18:25" x14ac:dyDescent="0.2">
      <c r="R168" s="422">
        <f>_xll.qlCalendarAdvance(Calendar,R167,"1D","f")</f>
        <v>42360</v>
      </c>
      <c r="S168" s="448">
        <f>_xll.qlCalendarAdvance(Calendar,R168,$F$1,"mf",,Trigger)</f>
        <v>42543</v>
      </c>
      <c r="T168" s="449">
        <f>_xll.qlDayCounterYearFraction(DayCounter,R168,S168,,,Trigger)</f>
        <v>0.50136986301369868</v>
      </c>
      <c r="U168" s="423">
        <f>_xll.qlInterpolationInterpolate(B6Minterpolation,R168,TRUE)</f>
        <v>2.7773599427837899E-3</v>
      </c>
      <c r="V168" s="345">
        <f>_xll.qlYieldTSDiscount(Discounting,R168,,AllTriggers)</f>
        <v>0.99697561329568407</v>
      </c>
      <c r="W168" s="345">
        <f>_xll.qlYieldTSDiscount(Discounting,S168,,AllTriggers)</f>
        <v>0.99383369313189418</v>
      </c>
      <c r="X168" s="32">
        <f t="shared" si="12"/>
        <v>6.3055533418147434E-3</v>
      </c>
      <c r="Y168" s="451">
        <f t="shared" si="13"/>
        <v>1.3871337116713785E-3</v>
      </c>
    </row>
    <row r="169" spans="18:25" x14ac:dyDescent="0.2">
      <c r="R169" s="422">
        <f>_xll.qlCalendarAdvance(Calendar,R168,"1D","f")</f>
        <v>42361</v>
      </c>
      <c r="S169" s="448">
        <f>_xll.qlCalendarAdvance(Calendar,R169,$F$1,"mf",,Trigger)</f>
        <v>42544</v>
      </c>
      <c r="T169" s="449">
        <f>_xll.qlDayCounterYearFraction(DayCounter,R169,S169,,,Trigger)</f>
        <v>0.50136986301369868</v>
      </c>
      <c r="U169" s="423">
        <f>_xll.qlInterpolationInterpolate(B6Minterpolation,R169,TRUE)</f>
        <v>2.7796684247718044E-3</v>
      </c>
      <c r="V169" s="345">
        <f>_xll.qlYieldTSDiscount(Discounting,R169,,AllTriggers)</f>
        <v>0.99696132702522755</v>
      </c>
      <c r="W169" s="345">
        <f>_xll.qlYieldTSDiscount(Discounting,S169,,AllTriggers)</f>
        <v>0.99381347249002061</v>
      </c>
      <c r="X169" s="32">
        <f t="shared" si="12"/>
        <v>6.3175916339512474E-3</v>
      </c>
      <c r="Y169" s="451">
        <f t="shared" si="13"/>
        <v>1.3882775205641034E-3</v>
      </c>
    </row>
    <row r="170" spans="18:25" x14ac:dyDescent="0.2">
      <c r="R170" s="422">
        <f>_xll.qlCalendarAdvance(Calendar,R169,"1D","f")</f>
        <v>42362</v>
      </c>
      <c r="S170" s="448">
        <f>_xll.qlCalendarAdvance(Calendar,R170,$F$1,"mf",,Trigger)</f>
        <v>42545</v>
      </c>
      <c r="T170" s="449">
        <f>_xll.qlDayCounterYearFraction(DayCounter,R170,S170,,,Trigger)</f>
        <v>0.50136986301369868</v>
      </c>
      <c r="U170" s="423">
        <f>_xll.qlInterpolationInterpolate(B6Minterpolation,R170,TRUE)</f>
        <v>2.7819893923395501E-3</v>
      </c>
      <c r="V170" s="345">
        <f>_xll.qlYieldTSDiscount(Discounting,R170,,AllTriggers)</f>
        <v>0.99694703408120866</v>
      </c>
      <c r="W170" s="345">
        <f>_xll.qlYieldTSDiscount(Discounting,S170,,AllTriggers)</f>
        <v>0.99379321205630189</v>
      </c>
      <c r="X170" s="32">
        <f t="shared" si="12"/>
        <v>6.3296971375580505E-3</v>
      </c>
      <c r="Y170" s="451">
        <f t="shared" si="13"/>
        <v>1.3894274991716746E-3</v>
      </c>
    </row>
    <row r="171" spans="18:25" x14ac:dyDescent="0.2">
      <c r="R171" s="422">
        <f>_xll.qlCalendarAdvance(Calendar,R170,"1D","f")</f>
        <v>42367</v>
      </c>
      <c r="S171" s="448">
        <f>_xll.qlCalendarAdvance(Calendar,R171,$F$1,"mf",,Trigger)</f>
        <v>42550</v>
      </c>
      <c r="T171" s="449">
        <f>_xll.qlDayCounterYearFraction(DayCounter,R171,S171,,,Trigger)</f>
        <v>0.50136986301369868</v>
      </c>
      <c r="U171" s="423">
        <f>_xll.qlInterpolationInterpolate(B6Minterpolation,R171,TRUE)</f>
        <v>2.7937488482841191E-3</v>
      </c>
      <c r="V171" s="345">
        <f>_xll.qlYieldTSDiscount(Discounting,R171,,AllTriggers)</f>
        <v>0.99687546619253375</v>
      </c>
      <c r="W171" s="345">
        <f>_xll.qlYieldTSDiscount(Discounting,S171,,AllTriggers)</f>
        <v>0.99369131616852191</v>
      </c>
      <c r="X171" s="32">
        <f t="shared" si="12"/>
        <v>6.3912205106154488E-3</v>
      </c>
      <c r="Y171" s="451">
        <f t="shared" si="13"/>
        <v>1.3952536352715684E-3</v>
      </c>
    </row>
    <row r="172" spans="18:25" x14ac:dyDescent="0.2">
      <c r="R172" s="422">
        <f>_xll.qlCalendarAdvance(Calendar,R171,"1D","f")</f>
        <v>42368</v>
      </c>
      <c r="S172" s="448">
        <f>_xll.qlCalendarAdvance(Calendar,R172,$F$1,"mf",,Trigger)</f>
        <v>42551</v>
      </c>
      <c r="T172" s="449">
        <f>_xll.qlDayCounterYearFraction(DayCounter,R172,S172,,,Trigger)</f>
        <v>0.50136986301369868</v>
      </c>
      <c r="U172" s="423">
        <f>_xll.qlInterpolationInterpolate(B6Minterpolation,R172,TRUE)</f>
        <v>2.7961251299761744E-3</v>
      </c>
      <c r="V172" s="345">
        <f>_xll.qlYieldTSDiscount(Discounting,R172,,AllTriggers)</f>
        <v>0.99686113136812649</v>
      </c>
      <c r="W172" s="345">
        <f>_xll.qlYieldTSDiscount(Discounting,S172,,AllTriggers)</f>
        <v>0.99367081887879238</v>
      </c>
      <c r="X172" s="32">
        <f t="shared" si="12"/>
        <v>6.4037218927964186E-3</v>
      </c>
      <c r="Y172" s="451">
        <f t="shared" si="13"/>
        <v>1.3964308507595086E-3</v>
      </c>
    </row>
    <row r="173" spans="18:25" x14ac:dyDescent="0.2">
      <c r="R173" s="422">
        <f>_xll.qlCalendarAdvance(Calendar,R172,"1D","f")</f>
        <v>42369</v>
      </c>
      <c r="S173" s="448">
        <f>_xll.qlCalendarAdvance(Calendar,R173,$F$1,"mf",,Trigger)</f>
        <v>42551</v>
      </c>
      <c r="T173" s="449">
        <f>_xll.qlDayCounterYearFraction(DayCounter,R173,S173,,,Trigger)</f>
        <v>0.49863013698630138</v>
      </c>
      <c r="U173" s="423">
        <f>_xll.qlInterpolationInterpolate(B6Minterpolation,R173,TRUE)</f>
        <v>2.798507364129935E-3</v>
      </c>
      <c r="V173" s="345">
        <f>_xll.qlYieldTSDiscount(Discounting,R173,,AllTriggers)</f>
        <v>0.99684678925720072</v>
      </c>
      <c r="W173" s="345">
        <f>_xll.qlYieldTSDiscount(Discounting,S173,,AllTriggers)</f>
        <v>0.99367081887879238</v>
      </c>
      <c r="X173" s="32">
        <f t="shared" si="12"/>
        <v>6.4099609473266296E-3</v>
      </c>
      <c r="Y173" s="451">
        <f t="shared" si="13"/>
        <v>1.3900077701866026E-3</v>
      </c>
    </row>
    <row r="174" spans="18:25" x14ac:dyDescent="0.2">
      <c r="R174" s="422">
        <f>_xll.qlCalendarAdvance(Calendar,R173,"1D","f")</f>
        <v>42373</v>
      </c>
      <c r="S174" s="448">
        <f>_xll.qlCalendarAdvance(Calendar,R174,$F$1,"mf",,Trigger)</f>
        <v>42555</v>
      </c>
      <c r="T174" s="449">
        <f>_xll.qlDayCounterYearFraction(DayCounter,R174,S174,,,Trigger)</f>
        <v>0.49863013698630138</v>
      </c>
      <c r="U174" s="423">
        <f>_xll.qlInterpolationInterpolate(B6Minterpolation,R174,TRUE)</f>
        <v>2.8080771593105218E-3</v>
      </c>
      <c r="V174" s="345">
        <f>_xll.qlYieldTSDiscount(Discounting,R174,,AllTriggers)</f>
        <v>0.99678932430608924</v>
      </c>
      <c r="W174" s="345">
        <f>_xll.qlYieldTSDiscount(Discounting,S174,,AllTriggers)</f>
        <v>0.99358843902031901</v>
      </c>
      <c r="X174" s="32">
        <f t="shared" si="12"/>
        <v>6.4607815482030234E-3</v>
      </c>
      <c r="Y174" s="451">
        <f t="shared" si="13"/>
        <v>1.3947225310333477E-3</v>
      </c>
    </row>
    <row r="175" spans="18:25" x14ac:dyDescent="0.2">
      <c r="R175" s="422">
        <f>_xll.qlCalendarAdvance(Calendar,R174,"1D","f")</f>
        <v>42374</v>
      </c>
      <c r="S175" s="448">
        <f>_xll.qlCalendarAdvance(Calendar,R175,$F$1,"mf",,Trigger)</f>
        <v>42556</v>
      </c>
      <c r="T175" s="449">
        <f>_xll.qlDayCounterYearFraction(DayCounter,R175,S175,,,Trigger)</f>
        <v>0.49863013698630138</v>
      </c>
      <c r="U175" s="423">
        <f>_xll.qlInterpolationInterpolate(B6Minterpolation,R175,TRUE)</f>
        <v>2.810475156234179E-3</v>
      </c>
      <c r="V175" s="345">
        <f>_xll.qlYieldTSDiscount(Discounting,R175,,AllTriggers)</f>
        <v>0.99677492358487307</v>
      </c>
      <c r="W175" s="345">
        <f>_xll.qlYieldTSDiscount(Discounting,S175,,AllTriggers)</f>
        <v>0.99356774683192894</v>
      </c>
      <c r="X175" s="32">
        <f t="shared" si="12"/>
        <v>6.4736152886283524E-3</v>
      </c>
      <c r="Y175" s="451">
        <f t="shared" si="13"/>
        <v>1.3959038451188659E-3</v>
      </c>
    </row>
    <row r="176" spans="18:25" x14ac:dyDescent="0.2">
      <c r="R176" s="422">
        <f>_xll.qlCalendarAdvance(Calendar,R175,"1D","f")</f>
        <v>42375</v>
      </c>
      <c r="S176" s="448">
        <f>_xll.qlCalendarAdvance(Calendar,R176,$F$1,"mf",,Trigger)</f>
        <v>42557</v>
      </c>
      <c r="T176" s="449">
        <f>_xll.qlDayCounterYearFraction(DayCounter,R176,S176,,,Trigger)</f>
        <v>0.49863013698630138</v>
      </c>
      <c r="U176" s="423">
        <f>_xll.qlInterpolationInterpolate(B6Minterpolation,R176,TRUE)</f>
        <v>2.81287350580409E-3</v>
      </c>
      <c r="V176" s="345">
        <f>_xll.qlYieldTSDiscount(Discounting,R176,,AllTriggers)</f>
        <v>0.99676050479124989</v>
      </c>
      <c r="W176" s="345">
        <f>_xll.qlYieldTSDiscount(Discounting,S176,,AllTriggers)</f>
        <v>0.99354701593446748</v>
      </c>
      <c r="X176" s="32">
        <f t="shared" si="12"/>
        <v>6.4864914718540606E-3</v>
      </c>
      <c r="Y176" s="451">
        <f t="shared" si="13"/>
        <v>1.3970852883158854E-3</v>
      </c>
    </row>
    <row r="177" spans="18:25" x14ac:dyDescent="0.2">
      <c r="R177" s="422">
        <f>_xll.qlCalendarAdvance(Calendar,R176,"1D","f")</f>
        <v>42376</v>
      </c>
      <c r="S177" s="448">
        <f>_xll.qlCalendarAdvance(Calendar,R177,$F$1,"mf",,Trigger)</f>
        <v>42558</v>
      </c>
      <c r="T177" s="449">
        <f>_xll.qlDayCounterYearFraction(DayCounter,R177,S177,,,Trigger)</f>
        <v>0.49863013698630138</v>
      </c>
      <c r="U177" s="423">
        <f>_xll.qlInterpolationInterpolate(B6Minterpolation,R177,TRUE)</f>
        <v>2.8152712747176794E-3</v>
      </c>
      <c r="V177" s="345">
        <f>_xll.qlYieldTSDiscount(Discounting,R177,,AllTriggers)</f>
        <v>0.99674606578592206</v>
      </c>
      <c r="W177" s="345">
        <f>_xll.qlYieldTSDiscount(Discounting,S177,,AllTriggers)</f>
        <v>0.99352624641814857</v>
      </c>
      <c r="X177" s="32">
        <f t="shared" si="12"/>
        <v>6.4994056010441795E-3</v>
      </c>
      <c r="Y177" s="451">
        <f t="shared" si="13"/>
        <v>1.3982664004482405E-3</v>
      </c>
    </row>
    <row r="178" spans="18:25" x14ac:dyDescent="0.2">
      <c r="R178" s="422">
        <f>_xll.qlCalendarAdvance(Calendar,R177,"1D","f")</f>
        <v>42377</v>
      </c>
      <c r="S178" s="448">
        <f>_xll.qlCalendarAdvance(Calendar,R178,$F$1,"mf",,Trigger)</f>
        <v>42559</v>
      </c>
      <c r="T178" s="449">
        <f>_xll.qlDayCounterYearFraction(DayCounter,R178,S178,,,Trigger)</f>
        <v>0.49863013698630138</v>
      </c>
      <c r="U178" s="423">
        <f>_xll.qlInterpolationInterpolate(B6Minterpolation,R178,TRUE)</f>
        <v>2.8176675296723722E-3</v>
      </c>
      <c r="V178" s="345">
        <f>_xll.qlYieldTSDiscount(Discounting,R178,,AllTriggers)</f>
        <v>0.99673160442971653</v>
      </c>
      <c r="W178" s="345">
        <f>_xll.qlYieldTSDiscount(Discounting,S178,,AllTriggers)</f>
        <v>0.99350543837318306</v>
      </c>
      <c r="X178" s="32">
        <f t="shared" si="12"/>
        <v>6.5123531792491869E-3</v>
      </c>
      <c r="Y178" s="451">
        <f t="shared" si="13"/>
        <v>1.3994467213649998E-3</v>
      </c>
    </row>
    <row r="179" spans="18:25" x14ac:dyDescent="0.2">
      <c r="R179" s="422">
        <f>_xll.qlCalendarAdvance(Calendar,R178,"1D","f")</f>
        <v>42380</v>
      </c>
      <c r="S179" s="448">
        <f>_xll.qlCalendarAdvance(Calendar,R179,$F$1,"mf",,Trigger)</f>
        <v>42562</v>
      </c>
      <c r="T179" s="449">
        <f>_xll.qlDayCounterYearFraction(DayCounter,R179,S179,,,Trigger)</f>
        <v>0.49863013698630138</v>
      </c>
      <c r="U179" s="423">
        <f>_xll.qlInterpolationInterpolate(B6Minterpolation,R179,TRUE)</f>
        <v>2.8248378777573188E-3</v>
      </c>
      <c r="V179" s="345">
        <f>_xll.qlYieldTSDiscount(Discounting,R179,,AllTriggers)</f>
        <v>0.99668806486599515</v>
      </c>
      <c r="W179" s="345">
        <f>_xll.qlYieldTSDiscount(Discounting,S179,,AllTriggers)</f>
        <v>0.99344278396847407</v>
      </c>
      <c r="X179" s="32">
        <f t="shared" si="12"/>
        <v>6.5513516367452168E-3</v>
      </c>
      <c r="Y179" s="451">
        <f t="shared" si="13"/>
        <v>1.4029783356755299E-3</v>
      </c>
    </row>
    <row r="180" spans="18:25" x14ac:dyDescent="0.2">
      <c r="R180" s="422">
        <f>_xll.qlCalendarAdvance(Calendar,R179,"1D","f")</f>
        <v>42381</v>
      </c>
      <c r="S180" s="448">
        <f>_xll.qlCalendarAdvance(Calendar,R180,$F$1,"mf",,Trigger)</f>
        <v>42563</v>
      </c>
      <c r="T180" s="449">
        <f>_xll.qlDayCounterYearFraction(DayCounter,R180,S180,,,Trigger)</f>
        <v>0.49863013698630138</v>
      </c>
      <c r="U180" s="423">
        <f>_xll.qlInterpolationInterpolate(B6Minterpolation,R180,TRUE)</f>
        <v>2.8272187438506727E-3</v>
      </c>
      <c r="V180" s="345">
        <f>_xll.qlYieldTSDiscount(Discounting,R180,,AllTriggers)</f>
        <v>0.99667349271707251</v>
      </c>
      <c r="W180" s="345">
        <f>_xll.qlYieldTSDiscount(Discounting,S180,,AllTriggers)</f>
        <v>0.99342182271097457</v>
      </c>
      <c r="X180" s="32">
        <f t="shared" si="12"/>
        <v>6.5643880392265586E-3</v>
      </c>
      <c r="Y180" s="451">
        <f t="shared" si="13"/>
        <v>1.4041508907085061E-3</v>
      </c>
    </row>
    <row r="181" spans="18:25" x14ac:dyDescent="0.2">
      <c r="R181" s="422">
        <f>_xll.qlCalendarAdvance(Calendar,R180,"1D","f")</f>
        <v>42382</v>
      </c>
      <c r="S181" s="448">
        <f>_xll.qlCalendarAdvance(Calendar,R181,$F$1,"mf",,Trigger)</f>
        <v>42564</v>
      </c>
      <c r="T181" s="449">
        <f>_xll.qlDayCounterYearFraction(DayCounter,R181,S181,,,Trigger)</f>
        <v>0.49863013698630138</v>
      </c>
      <c r="U181" s="423">
        <f>_xll.qlInterpolationInterpolate(B6Minterpolation,R181,TRUE)</f>
        <v>2.8295934294722542E-3</v>
      </c>
      <c r="V181" s="345">
        <f>_xll.qlYieldTSDiscount(Discounting,R181,,AllTriggers)</f>
        <v>0.99665888752330367</v>
      </c>
      <c r="W181" s="345">
        <f>_xll.qlYieldTSDiscount(Discounting,S181,,AllTriggers)</f>
        <v>0.99340082337583979</v>
      </c>
      <c r="X181" s="32">
        <f t="shared" si="12"/>
        <v>6.5774354042540586E-3</v>
      </c>
      <c r="Y181" s="451">
        <f t="shared" si="13"/>
        <v>1.4053203541398167E-3</v>
      </c>
    </row>
    <row r="182" spans="18:25" x14ac:dyDescent="0.2">
      <c r="R182" s="422">
        <f>_xll.qlCalendarAdvance(Calendar,R181,"1D","f")</f>
        <v>42383</v>
      </c>
      <c r="S182" s="448">
        <f>_xll.qlCalendarAdvance(Calendar,R182,$F$1,"mf",,Trigger)</f>
        <v>42565</v>
      </c>
      <c r="T182" s="449">
        <f>_xll.qlDayCounterYearFraction(DayCounter,R182,S182,,,Trigger)</f>
        <v>0.49863013698630138</v>
      </c>
      <c r="U182" s="423">
        <f>_xll.qlInterpolationInterpolate(B6Minterpolation,R182,TRUE)</f>
        <v>2.8319610013194875E-3</v>
      </c>
      <c r="V182" s="345">
        <f>_xll.qlYieldTSDiscount(Discounting,R182,,AllTriggers)</f>
        <v>0.99664424714627797</v>
      </c>
      <c r="W182" s="345">
        <f>_xll.qlYieldTSDiscount(Discounting,S182,,AllTriggers)</f>
        <v>0.99337978605326316</v>
      </c>
      <c r="X182" s="32">
        <f t="shared" si="12"/>
        <v>6.5904892341857391E-3</v>
      </c>
      <c r="Y182" s="451">
        <f t="shared" si="13"/>
        <v>1.4064862659660345E-3</v>
      </c>
    </row>
    <row r="183" spans="18:25" x14ac:dyDescent="0.2">
      <c r="R183" s="422">
        <f>_xll.qlCalendarAdvance(Calendar,R182,"1D","f")</f>
        <v>42384</v>
      </c>
      <c r="S183" s="448">
        <f>_xll.qlCalendarAdvance(Calendar,R183,$F$1,"mf",,Trigger)</f>
        <v>42566</v>
      </c>
      <c r="T183" s="449">
        <f>_xll.qlDayCounterYearFraction(DayCounter,R183,S183,,,Trigger)</f>
        <v>0.49863013698630138</v>
      </c>
      <c r="U183" s="423">
        <f>_xll.qlInterpolationInterpolate(B6Minterpolation,R183,TRUE)</f>
        <v>2.834320526089798E-3</v>
      </c>
      <c r="V183" s="345">
        <f>_xll.qlYieldTSDiscount(Discounting,R183,,AllTriggers)</f>
        <v>0.99662956944771419</v>
      </c>
      <c r="W183" s="345">
        <f>_xll.qlYieldTSDiscount(Discounting,S183,,AllTriggers)</f>
        <v>0.99335871083343474</v>
      </c>
      <c r="X183" s="32">
        <f t="shared" si="12"/>
        <v>6.6035450312638402E-3</v>
      </c>
      <c r="Y183" s="451">
        <f t="shared" si="13"/>
        <v>1.4076481662091255E-3</v>
      </c>
    </row>
    <row r="184" spans="18:25" x14ac:dyDescent="0.2">
      <c r="R184" s="422">
        <f>_xll.qlCalendarAdvance(Calendar,R183,"1D","f")</f>
        <v>42387</v>
      </c>
      <c r="S184" s="448">
        <f>_xll.qlCalendarAdvance(Calendar,R184,$F$1,"mf",,Trigger)</f>
        <v>42569</v>
      </c>
      <c r="T184" s="449">
        <f>_xll.qlDayCounterYearFraction(DayCounter,R184,S184,,,Trigger)</f>
        <v>0.49863013698630138</v>
      </c>
      <c r="U184" s="423">
        <f>_xll.qlInterpolationInterpolate(B6Minterpolation,R184,TRUE)</f>
        <v>2.8413414849134382E-3</v>
      </c>
      <c r="V184" s="345">
        <f>_xll.qlYieldTSDiscount(Discounting,R184,,AllTriggers)</f>
        <v>0.99658529104193805</v>
      </c>
      <c r="W184" s="345">
        <f>_xll.qlYieldTSDiscount(Discounting,S184,,AllTriggers)</f>
        <v>0.9932952586922944</v>
      </c>
      <c r="X184" s="32">
        <f t="shared" si="12"/>
        <v>6.6426792460441237E-3</v>
      </c>
      <c r="Y184" s="451">
        <f t="shared" si="13"/>
        <v>1.4111051980224979E-3</v>
      </c>
    </row>
    <row r="185" spans="18:25" x14ac:dyDescent="0.2">
      <c r="R185" s="422">
        <f>_xll.qlCalendarAdvance(Calendar,R184,"1D","f")</f>
        <v>42388</v>
      </c>
      <c r="S185" s="448">
        <f>_xll.qlCalendarAdvance(Calendar,R185,$F$1,"mf",,Trigger)</f>
        <v>42570</v>
      </c>
      <c r="T185" s="449">
        <f>_xll.qlDayCounterYearFraction(DayCounter,R185,S185,,,Trigger)</f>
        <v>0.49863013698630138</v>
      </c>
      <c r="U185" s="423">
        <f>_xll.qlInterpolationInterpolate(B6Minterpolation,R185,TRUE)</f>
        <v>2.8436594883503039E-3</v>
      </c>
      <c r="V185" s="345">
        <f>_xll.qlYieldTSDiscount(Discounting,R185,,AllTriggers)</f>
        <v>0.99657044267702366</v>
      </c>
      <c r="W185" s="345">
        <f>_xll.qlYieldTSDiscount(Discounting,S185,,AllTriggers)</f>
        <v>0.99327403278529869</v>
      </c>
      <c r="X185" s="32">
        <f t="shared" si="12"/>
        <v>6.6556979317924526E-3</v>
      </c>
      <c r="Y185" s="451">
        <f t="shared" si="13"/>
        <v>1.4122464526379736E-3</v>
      </c>
    </row>
    <row r="186" spans="18:25" x14ac:dyDescent="0.2">
      <c r="R186" s="422">
        <f>_xll.qlCalendarAdvance(Calendar,R185,"1D","f")</f>
        <v>42389</v>
      </c>
      <c r="S186" s="448">
        <f>_xll.qlCalendarAdvance(Calendar,R186,$F$1,"mf",,Trigger)</f>
        <v>42571</v>
      </c>
      <c r="T186" s="449">
        <f>_xll.qlDayCounterYearFraction(DayCounter,R186,S186,,,Trigger)</f>
        <v>0.49863013698630138</v>
      </c>
      <c r="U186" s="423">
        <f>_xll.qlInterpolationInterpolate(B6Minterpolation,R186,TRUE)</f>
        <v>2.8459647781973701E-3</v>
      </c>
      <c r="V186" s="345">
        <f>_xll.qlYieldTSDiscount(Discounting,R186,,AllTriggers)</f>
        <v>0.99655554630113341</v>
      </c>
      <c r="W186" s="345">
        <f>_xll.qlYieldTSDiscount(Discounting,S186,,AllTriggers)</f>
        <v>0.99325276943195506</v>
      </c>
      <c r="X186" s="32">
        <f t="shared" si="12"/>
        <v>6.6686960941470096E-3</v>
      </c>
      <c r="Y186" s="451">
        <f t="shared" si="13"/>
        <v>1.4133813961441615E-3</v>
      </c>
    </row>
    <row r="187" spans="18:25" x14ac:dyDescent="0.2">
      <c r="R187" s="422">
        <f>_xll.qlCalendarAdvance(Calendar,R186,"1D","f")</f>
        <v>42390</v>
      </c>
      <c r="S187" s="448">
        <f>_xll.qlCalendarAdvance(Calendar,R187,$F$1,"mf",,Trigger)</f>
        <v>42572</v>
      </c>
      <c r="T187" s="449">
        <f>_xll.qlDayCounterYearFraction(DayCounter,R187,S187,,,Trigger)</f>
        <v>0.49863013698630138</v>
      </c>
      <c r="U187" s="423">
        <f>_xll.qlInterpolationInterpolate(B6Minterpolation,R187,TRUE)</f>
        <v>2.8482564211520624E-3</v>
      </c>
      <c r="V187" s="345">
        <f>_xll.qlYieldTSDiscount(Discounting,R187,,AllTriggers)</f>
        <v>0.99654059977677978</v>
      </c>
      <c r="W187" s="345">
        <f>_xll.qlYieldTSDiscount(Discounting,S187,,AllTriggers)</f>
        <v>0.99323146872243473</v>
      </c>
      <c r="X187" s="32">
        <f t="shared" si="12"/>
        <v>6.6816692346513456E-3</v>
      </c>
      <c r="Y187" s="451">
        <f t="shared" si="13"/>
        <v>1.4145095687074006E-3</v>
      </c>
    </row>
    <row r="188" spans="18:25" x14ac:dyDescent="0.2">
      <c r="R188" s="422">
        <f>_xll.qlCalendarAdvance(Calendar,R187,"1D","f")</f>
        <v>42391</v>
      </c>
      <c r="S188" s="448">
        <f>_xll.qlCalendarAdvance(Calendar,R188,$F$1,"mf",,Trigger)</f>
        <v>42573</v>
      </c>
      <c r="T188" s="449">
        <f>_xll.qlDayCounterYearFraction(DayCounter,R188,S188,,,Trigger)</f>
        <v>0.49863013698630138</v>
      </c>
      <c r="U188" s="423">
        <f>_xll.qlInterpolationInterpolate(B6Minterpolation,R188,TRUE)</f>
        <v>2.8505334839118049E-3</v>
      </c>
      <c r="V188" s="345">
        <f>_xll.qlYieldTSDiscount(Discounting,R188,,AllTriggers)</f>
        <v>0.99652560096661114</v>
      </c>
      <c r="W188" s="345">
        <f>_xll.qlYieldTSDiscount(Discounting,S188,,AllTriggers)</f>
        <v>0.99321013074690534</v>
      </c>
      <c r="X188" s="32">
        <f t="shared" si="12"/>
        <v>6.6946128547345687E-3</v>
      </c>
      <c r="Y188" s="451">
        <f t="shared" si="13"/>
        <v>1.4156305105181466E-3</v>
      </c>
    </row>
    <row r="189" spans="18:25" x14ac:dyDescent="0.2">
      <c r="R189" s="422">
        <f>_xll.qlCalendarAdvance(Calendar,R188,"1D","f")</f>
        <v>42394</v>
      </c>
      <c r="S189" s="448">
        <f>_xll.qlCalendarAdvance(Calendar,R189,$F$1,"mf",,Trigger)</f>
        <v>42576</v>
      </c>
      <c r="T189" s="449">
        <f>_xll.qlDayCounterYearFraction(DayCounter,R189,S189,,,Trigger)</f>
        <v>0.49863013698630138</v>
      </c>
      <c r="U189" s="423">
        <f>_xll.qlInterpolationInterpolate(B6Minterpolation,R189,TRUE)</f>
        <v>2.8572678579955831E-3</v>
      </c>
      <c r="V189" s="345">
        <f>_xll.qlYieldTSDiscount(Discounting,R189,,AllTriggers)</f>
        <v>0.99648026944975676</v>
      </c>
      <c r="W189" s="345">
        <f>_xll.qlYieldTSDiscount(Discounting,S189,,AllTriggers)</f>
        <v>0.99314589412589072</v>
      </c>
      <c r="X189" s="32">
        <f t="shared" si="12"/>
        <v>6.7332216050243858E-3</v>
      </c>
      <c r="Y189" s="451">
        <f t="shared" si="13"/>
        <v>1.4189453536846296E-3</v>
      </c>
    </row>
    <row r="190" spans="18:25" x14ac:dyDescent="0.2">
      <c r="R190" s="422">
        <f>_xll.qlCalendarAdvance(Calendar,R189,"1D","f")</f>
        <v>42395</v>
      </c>
      <c r="S190" s="448">
        <f>_xll.qlCalendarAdvance(Calendar,R190,$F$1,"mf",,Trigger)</f>
        <v>42577</v>
      </c>
      <c r="T190" s="449">
        <f>_xll.qlDayCounterYearFraction(DayCounter,R190,S190,,,Trigger)</f>
        <v>0.49863013698630138</v>
      </c>
      <c r="U190" s="423">
        <f>_xll.qlInterpolationInterpolate(B6Minterpolation,R190,TRUE)</f>
        <v>2.8594772669497752E-3</v>
      </c>
      <c r="V190" s="345">
        <f>_xll.qlYieldTSDiscount(Discounting,R190,,AllTriggers)</f>
        <v>0.99646504012556458</v>
      </c>
      <c r="W190" s="345">
        <f>_xll.qlYieldTSDiscount(Discounting,S190,,AllTriggers)</f>
        <v>0.99312440798793578</v>
      </c>
      <c r="X190" s="32">
        <f t="shared" si="12"/>
        <v>6.746002155426224E-3</v>
      </c>
      <c r="Y190" s="451">
        <f t="shared" si="13"/>
        <v>1.4200327748482781E-3</v>
      </c>
    </row>
    <row r="191" spans="18:25" x14ac:dyDescent="0.2">
      <c r="R191" s="422">
        <f>_xll.qlCalendarAdvance(Calendar,R190,"1D","f")</f>
        <v>42396</v>
      </c>
      <c r="S191" s="448">
        <f>_xll.qlCalendarAdvance(Calendar,R191,$F$1,"mf",,Trigger)</f>
        <v>42578</v>
      </c>
      <c r="T191" s="449">
        <f>_xll.qlDayCounterYearFraction(DayCounter,R191,S191,,,Trigger)</f>
        <v>0.49863013698630138</v>
      </c>
      <c r="U191" s="423">
        <f>_xll.qlInterpolationInterpolate(B6Minterpolation,R191,TRUE)</f>
        <v>2.8616674291961418E-3</v>
      </c>
      <c r="V191" s="345">
        <f>_xll.qlYieldTSDiscount(Discounting,R191,,AllTriggers)</f>
        <v>0.9964497478308747</v>
      </c>
      <c r="W191" s="345">
        <f>_xll.qlYieldTSDiscount(Discounting,S191,,AllTriggers)</f>
        <v>0.99310288503476007</v>
      </c>
      <c r="X191" s="32">
        <f t="shared" si="12"/>
        <v>6.7587306908456126E-3</v>
      </c>
      <c r="Y191" s="451">
        <f t="shared" si="13"/>
        <v>1.4211106665538529E-3</v>
      </c>
    </row>
    <row r="192" spans="18:25" x14ac:dyDescent="0.2">
      <c r="R192" s="422">
        <f>_xll.qlCalendarAdvance(Calendar,R191,"1D","f")</f>
        <v>42397</v>
      </c>
      <c r="S192" s="448">
        <f>_xll.qlCalendarAdvance(Calendar,R192,$F$1,"mf",,Trigger)</f>
        <v>42579</v>
      </c>
      <c r="T192" s="449">
        <f>_xll.qlDayCounterYearFraction(DayCounter,R192,S192,,,Trigger)</f>
        <v>0.49863013698630138</v>
      </c>
      <c r="U192" s="423">
        <f>_xll.qlInterpolationInterpolate(B6Minterpolation,R192,TRUE)</f>
        <v>2.8638374114321073E-3</v>
      </c>
      <c r="V192" s="345">
        <f>_xll.qlYieldTSDiscount(Discounting,R192,,AllTriggers)</f>
        <v>0.99643439042917437</v>
      </c>
      <c r="W192" s="345">
        <f>_xll.qlYieldTSDiscount(Discounting,S192,,AllTriggers)</f>
        <v>0.99308132535651084</v>
      </c>
      <c r="X192" s="32">
        <f t="shared" si="12"/>
        <v>6.7714027120370146E-3</v>
      </c>
      <c r="Y192" s="451">
        <f t="shared" si="13"/>
        <v>1.4221785691257787E-3</v>
      </c>
    </row>
    <row r="193" spans="18:25" x14ac:dyDescent="0.2">
      <c r="R193" s="422">
        <f>_xll.qlCalendarAdvance(Calendar,R192,"1D","f")</f>
        <v>42398</v>
      </c>
      <c r="S193" s="448">
        <f>_xll.qlCalendarAdvance(Calendar,R193,$F$1,"mf",,Trigger)</f>
        <v>42580</v>
      </c>
      <c r="T193" s="449">
        <f>_xll.qlDayCounterYearFraction(DayCounter,R193,S193,,,Trigger)</f>
        <v>0.49863013698630138</v>
      </c>
      <c r="U193" s="423">
        <f>_xll.qlInterpolationInterpolate(B6Minterpolation,R193,TRUE)</f>
        <v>2.8659862803550968E-3</v>
      </c>
      <c r="V193" s="345">
        <f>_xll.qlYieldTSDiscount(Discounting,R193,,AllTriggers)</f>
        <v>0.99641896578409539</v>
      </c>
      <c r="W193" s="345">
        <f>_xll.qlYieldTSDiscount(Discounting,S193,,AllTriggers)</f>
        <v>0.99305972904333162</v>
      </c>
      <c r="X193" s="32">
        <f t="shared" si="12"/>
        <v>6.7840137196449038E-3</v>
      </c>
      <c r="Y193" s="451">
        <f t="shared" si="13"/>
        <v>1.4232360229114399E-3</v>
      </c>
    </row>
    <row r="194" spans="18:25" x14ac:dyDescent="0.2">
      <c r="R194" s="422">
        <f>_xll.qlCalendarAdvance(Calendar,R193,"1D","f")</f>
        <v>42401</v>
      </c>
      <c r="S194" s="448">
        <f>_xll.qlCalendarAdvance(Calendar,R194,$F$1,"mf",,Trigger)</f>
        <v>42583</v>
      </c>
      <c r="T194" s="449">
        <f>_xll.qlDayCounterYearFraction(DayCounter,R194,S194,,,Trigger)</f>
        <v>0.49863013698630138</v>
      </c>
      <c r="U194" s="423">
        <f>_xll.qlInterpolationInterpolate(B6Minterpolation,R194,TRUE)</f>
        <v>2.8723021642992983E-3</v>
      </c>
      <c r="V194" s="345">
        <f>_xll.qlYieldTSDiscount(Discounting,R194,,AllTriggers)</f>
        <v>0.99637228154929336</v>
      </c>
      <c r="W194" s="345">
        <f>_xll.qlYieldTSDiscount(Discounting,S194,,AllTriggers)</f>
        <v>0.99299472094228414</v>
      </c>
      <c r="X194" s="32">
        <f t="shared" si="12"/>
        <v>6.8214655088033108E-3</v>
      </c>
      <c r="Y194" s="451">
        <f t="shared" si="13"/>
        <v>1.4263436992876643E-3</v>
      </c>
    </row>
    <row r="195" spans="18:25" x14ac:dyDescent="0.2">
      <c r="R195" s="422">
        <f>_xll.qlCalendarAdvance(Calendar,R194,"1D","f")</f>
        <v>42402</v>
      </c>
      <c r="S195" s="448">
        <f>_xll.qlCalendarAdvance(Calendar,R195,$F$1,"mf",,Trigger)</f>
        <v>42584</v>
      </c>
      <c r="T195" s="449">
        <f>_xll.qlDayCounterYearFraction(DayCounter,R195,S195,,,Trigger)</f>
        <v>0.49863013698630138</v>
      </c>
      <c r="U195" s="423">
        <f>_xll.qlInterpolationInterpolate(B6Minterpolation,R195,TRUE)</f>
        <v>2.874364496311932E-3</v>
      </c>
      <c r="V195" s="345">
        <f>_xll.qlYieldTSDiscount(Discounting,R195,,AllTriggers)</f>
        <v>0.99635658647019698</v>
      </c>
      <c r="W195" s="345">
        <f>_xll.qlYieldTSDiscount(Discounting,S195,,AllTriggers)</f>
        <v>0.99297297864362988</v>
      </c>
      <c r="X195" s="32">
        <f t="shared" si="12"/>
        <v>6.8338283627794169E-3</v>
      </c>
      <c r="Y195" s="451">
        <f t="shared" si="13"/>
        <v>1.4273583301188722E-3</v>
      </c>
    </row>
    <row r="196" spans="18:25" x14ac:dyDescent="0.2">
      <c r="R196" s="422">
        <f>_xll.qlCalendarAdvance(Calendar,R195,"1D","f")</f>
        <v>42403</v>
      </c>
      <c r="S196" s="448">
        <f>_xll.qlCalendarAdvance(Calendar,R196,$F$1,"mf",,Trigger)</f>
        <v>42585</v>
      </c>
      <c r="T196" s="449">
        <f>_xll.qlDayCounterYearFraction(DayCounter,R196,S196,,,Trigger)</f>
        <v>0.49863013698630138</v>
      </c>
      <c r="U196" s="423">
        <f>_xll.qlInterpolationInterpolate(B6Minterpolation,R196,TRUE)</f>
        <v>2.8764057507910169E-3</v>
      </c>
      <c r="V196" s="345">
        <f>_xll.qlYieldTSDiscount(Discounting,R196,,AllTriggers)</f>
        <v>0.99634082637567534</v>
      </c>
      <c r="W196" s="345">
        <f>_xll.qlYieldTSDiscount(Discounting,S196,,AllTriggers)</f>
        <v>0.99295119993556724</v>
      </c>
      <c r="X196" s="32">
        <f t="shared" ref="X196:X259" si="14">(V196/W196-1)/T196</f>
        <v>6.846134232736536E-3</v>
      </c>
      <c r="Y196" s="451">
        <f t="shared" ref="Y196:Y259" si="15">LN((1+(U196+X196)*T196)/(1+X196*T196))</f>
        <v>1.4283625286851656E-3</v>
      </c>
    </row>
    <row r="197" spans="18:25" x14ac:dyDescent="0.2">
      <c r="R197" s="422">
        <f>_xll.qlCalendarAdvance(Calendar,R196,"1D","f")</f>
        <v>42404</v>
      </c>
      <c r="S197" s="448">
        <f>_xll.qlCalendarAdvance(Calendar,R197,$F$1,"mf",,Trigger)</f>
        <v>42586</v>
      </c>
      <c r="T197" s="449">
        <f>_xll.qlDayCounterYearFraction(DayCounter,R197,S197,,,Trigger)</f>
        <v>0.49863013698630138</v>
      </c>
      <c r="U197" s="423">
        <f>_xll.qlInterpolationInterpolate(B6Minterpolation,R197,TRUE)</f>
        <v>2.878426170007053E-3</v>
      </c>
      <c r="V197" s="345">
        <f>_xll.qlYieldTSDiscount(Discounting,R197,,AllTriggers)</f>
        <v>0.99632500235663868</v>
      </c>
      <c r="W197" s="345">
        <f>_xll.qlYieldTSDiscount(Discounting,S197,,AllTriggers)</f>
        <v>0.99292938485194471</v>
      </c>
      <c r="X197" s="32">
        <f t="shared" si="14"/>
        <v>6.8583852510722297E-3</v>
      </c>
      <c r="Y197" s="451">
        <f t="shared" si="15"/>
        <v>1.4293564140004694E-3</v>
      </c>
    </row>
    <row r="198" spans="18:25" x14ac:dyDescent="0.2">
      <c r="R198" s="422">
        <f>_xll.qlCalendarAdvance(Calendar,R197,"1D","f")</f>
        <v>42405</v>
      </c>
      <c r="S198" s="448">
        <f>_xll.qlCalendarAdvance(Calendar,R198,$F$1,"mf",,Trigger)</f>
        <v>42587</v>
      </c>
      <c r="T198" s="449">
        <f>_xll.qlDayCounterYearFraction(DayCounter,R198,S198,,,Trigger)</f>
        <v>0.49863013698630138</v>
      </c>
      <c r="U198" s="423">
        <f>_xll.qlInterpolationInterpolate(B6Minterpolation,R198,TRUE)</f>
        <v>2.8804259962305419E-3</v>
      </c>
      <c r="V198" s="345">
        <f>_xll.qlYieldTSDiscount(Discounting,R198,,AllTriggers)</f>
        <v>0.99630911550394019</v>
      </c>
      <c r="W198" s="345">
        <f>_xll.qlYieldTSDiscount(Discounting,S198,,AllTriggers)</f>
        <v>0.99290753342661187</v>
      </c>
      <c r="X198" s="32">
        <f t="shared" si="14"/>
        <v>6.8705835502401672E-3</v>
      </c>
      <c r="Y198" s="451">
        <f t="shared" si="15"/>
        <v>1.4303401050690448E-3</v>
      </c>
    </row>
    <row r="199" spans="18:25" x14ac:dyDescent="0.2">
      <c r="R199" s="422">
        <f>_xll.qlCalendarAdvance(Calendar,R198,"1D","f")</f>
        <v>42408</v>
      </c>
      <c r="S199" s="448">
        <f>_xll.qlCalendarAdvance(Calendar,R199,$F$1,"mf",,Trigger)</f>
        <v>42590</v>
      </c>
      <c r="T199" s="449">
        <f>_xll.qlDayCounterYearFraction(DayCounter,R199,S199,,,Trigger)</f>
        <v>0.49863013698630138</v>
      </c>
      <c r="U199" s="423">
        <f>_xll.qlInterpolationInterpolate(B6Minterpolation,R199,TRUE)</f>
        <v>2.8863043396507256E-3</v>
      </c>
      <c r="V199" s="345">
        <f>_xll.qlYieldTSDiscount(Discounting,R199,,AllTriggers)</f>
        <v>0.99626108885154407</v>
      </c>
      <c r="W199" s="345">
        <f>_xll.qlYieldTSDiscount(Discounting,S199,,AllTriggers)</f>
        <v>0.99284176143886638</v>
      </c>
      <c r="X199" s="32">
        <f t="shared" si="14"/>
        <v>6.9068834581189047E-3</v>
      </c>
      <c r="Y199" s="451">
        <f t="shared" si="15"/>
        <v>1.4332312027011806E-3</v>
      </c>
    </row>
    <row r="200" spans="18:25" x14ac:dyDescent="0.2">
      <c r="R200" s="422">
        <f>_xll.qlCalendarAdvance(Calendar,R199,"1D","f")</f>
        <v>42409</v>
      </c>
      <c r="S200" s="448">
        <f>_xll.qlCalendarAdvance(Calendar,R200,$F$1,"mf",,Trigger)</f>
        <v>42591</v>
      </c>
      <c r="T200" s="449">
        <f>_xll.qlDayCounterYearFraction(DayCounter,R200,S200,,,Trigger)</f>
        <v>0.49863013698630138</v>
      </c>
      <c r="U200" s="423">
        <f>_xll.qlInterpolationInterpolate(B6Minterpolation,R200,TRUE)</f>
        <v>2.8882242166090285E-3</v>
      </c>
      <c r="V200" s="345">
        <f>_xll.qlYieldTSDiscount(Discounting,R200,,AllTriggers)</f>
        <v>0.99624496157157549</v>
      </c>
      <c r="W200" s="345">
        <f>_xll.qlYieldTSDiscount(Discounting,S200,,AllTriggers)</f>
        <v>0.99281976498521307</v>
      </c>
      <c r="X200" s="32">
        <f t="shared" si="14"/>
        <v>6.9188922062715869E-3</v>
      </c>
      <c r="Y200" s="451">
        <f t="shared" si="15"/>
        <v>1.434175306642582E-3</v>
      </c>
    </row>
    <row r="201" spans="18:25" x14ac:dyDescent="0.2">
      <c r="R201" s="422">
        <f>_xll.qlCalendarAdvance(Calendar,R200,"1D","f")</f>
        <v>42410</v>
      </c>
      <c r="S201" s="448">
        <f>_xll.qlCalendarAdvance(Calendar,R201,$F$1,"mf",,Trigger)</f>
        <v>42592</v>
      </c>
      <c r="T201" s="449">
        <f>_xll.qlDayCounterYearFraction(DayCounter,R201,S201,,,Trigger)</f>
        <v>0.49863013698630138</v>
      </c>
      <c r="U201" s="423">
        <f>_xll.qlInterpolationInterpolate(B6Minterpolation,R201,TRUE)</f>
        <v>2.8901247119272858E-3</v>
      </c>
      <c r="V201" s="345">
        <f>_xll.qlYieldTSDiscount(Discounting,R201,,AllTriggers)</f>
        <v>0.99622877691133849</v>
      </c>
      <c r="W201" s="345">
        <f>_xll.qlYieldTSDiscount(Discounting,S201,,AllTriggers)</f>
        <v>0.99279773235911573</v>
      </c>
      <c r="X201" s="32">
        <f t="shared" si="14"/>
        <v>6.9308588983567022E-3</v>
      </c>
      <c r="Y201" s="451">
        <f t="shared" si="15"/>
        <v>1.43510981122068E-3</v>
      </c>
    </row>
    <row r="202" spans="18:25" x14ac:dyDescent="0.2">
      <c r="R202" s="422">
        <f>_xll.qlCalendarAdvance(Calendar,R201,"1D","f")</f>
        <v>42411</v>
      </c>
      <c r="S202" s="448">
        <f>_xll.qlCalendarAdvance(Calendar,R202,$F$1,"mf",,Trigger)</f>
        <v>42593</v>
      </c>
      <c r="T202" s="449">
        <f>_xll.qlDayCounterYearFraction(DayCounter,R202,S202,,,Trigger)</f>
        <v>0.49863013698630138</v>
      </c>
      <c r="U202" s="423">
        <f>_xll.qlInterpolationInterpolate(B6Minterpolation,R202,TRUE)</f>
        <v>2.892006067875999E-3</v>
      </c>
      <c r="V202" s="345">
        <f>_xll.qlYieldTSDiscount(Discounting,R202,,AllTriggers)</f>
        <v>0.9962125359613323</v>
      </c>
      <c r="W202" s="345">
        <f>_xll.qlYieldTSDiscount(Discounting,S202,,AllTriggers)</f>
        <v>0.99277566359443137</v>
      </c>
      <c r="X202" s="32">
        <f t="shared" si="14"/>
        <v>6.9427856671570058E-3</v>
      </c>
      <c r="Y202" s="451">
        <f t="shared" si="15"/>
        <v>1.436034835385775E-3</v>
      </c>
    </row>
    <row r="203" spans="18:25" x14ac:dyDescent="0.2">
      <c r="R203" s="422">
        <f>_xll.qlCalendarAdvance(Calendar,R202,"1D","f")</f>
        <v>42412</v>
      </c>
      <c r="S203" s="448">
        <f>_xll.qlCalendarAdvance(Calendar,R203,$F$1,"mf",,Trigger)</f>
        <v>42594</v>
      </c>
      <c r="T203" s="449">
        <f>_xll.qlDayCounterYearFraction(DayCounter,R203,S203,,,Trigger)</f>
        <v>0.49863013698630138</v>
      </c>
      <c r="U203" s="423">
        <f>_xll.qlInterpolationInterpolate(B6Minterpolation,R203,TRUE)</f>
        <v>2.8938685267256678E-3</v>
      </c>
      <c r="V203" s="345">
        <f>_xll.qlYieldTSDiscount(Discounting,R203,,AllTriggers)</f>
        <v>0.99619623981199501</v>
      </c>
      <c r="W203" s="345">
        <f>_xll.qlYieldTSDiscount(Discounting,S203,,AllTriggers)</f>
        <v>0.9927535587250178</v>
      </c>
      <c r="X203" s="32">
        <f t="shared" si="14"/>
        <v>6.9546746455077966E-3</v>
      </c>
      <c r="Y203" s="451">
        <f t="shared" si="15"/>
        <v>1.4369504980783646E-3</v>
      </c>
    </row>
    <row r="204" spans="18:25" x14ac:dyDescent="0.2">
      <c r="R204" s="422">
        <f>_xll.qlCalendarAdvance(Calendar,R203,"1D","f")</f>
        <v>42415</v>
      </c>
      <c r="S204" s="448">
        <f>_xll.qlCalendarAdvance(Calendar,R204,$F$1,"mf",,Trigger)</f>
        <v>42597</v>
      </c>
      <c r="T204" s="449">
        <f>_xll.qlDayCounterYearFraction(DayCounter,R204,S204,,,Trigger)</f>
        <v>0.49863013698630138</v>
      </c>
      <c r="U204" s="423">
        <f>_xll.qlInterpolationInterpolate(B6Minterpolation,R204,TRUE)</f>
        <v>2.8993449433854174E-3</v>
      </c>
      <c r="V204" s="345">
        <f>_xll.qlYieldTSDiscount(Discounting,R204,,AllTriggers)</f>
        <v>0.99614703107144487</v>
      </c>
      <c r="W204" s="345">
        <f>_xll.qlYieldTSDiscount(Discounting,S204,,AllTriggers)</f>
        <v>0.9926870278269988</v>
      </c>
      <c r="X204" s="32">
        <f t="shared" si="14"/>
        <v>6.9901361670047443E-3</v>
      </c>
      <c r="Y204" s="451">
        <f t="shared" si="15"/>
        <v>1.4396425066085369E-3</v>
      </c>
    </row>
    <row r="205" spans="18:25" x14ac:dyDescent="0.2">
      <c r="R205" s="422">
        <f>_xll.qlCalendarAdvance(Calendar,R204,"1D","f")</f>
        <v>42416</v>
      </c>
      <c r="S205" s="448">
        <f>_xll.qlCalendarAdvance(Calendar,R205,$F$1,"mf",,Trigger)</f>
        <v>42598</v>
      </c>
      <c r="T205" s="449">
        <f>_xll.qlDayCounterYearFraction(DayCounter,R205,S205,,,Trigger)</f>
        <v>0.49863013698630138</v>
      </c>
      <c r="U205" s="423">
        <f>_xll.qlInterpolationInterpolate(B6Minterpolation,R205,TRUE)</f>
        <v>2.9011342365439161E-3</v>
      </c>
      <c r="V205" s="345">
        <f>_xll.qlYieldTSDiscount(Discounting,R205,,AllTriggers)</f>
        <v>0.99613052502791699</v>
      </c>
      <c r="W205" s="345">
        <f>_xll.qlYieldTSDiscount(Discounting,S205,,AllTriggers)</f>
        <v>0.99266477887727089</v>
      </c>
      <c r="X205" s="32">
        <f t="shared" si="14"/>
        <v>7.0018953129583027E-3</v>
      </c>
      <c r="Y205" s="451">
        <f t="shared" si="15"/>
        <v>1.4405219126556697E-3</v>
      </c>
    </row>
    <row r="206" spans="18:25" x14ac:dyDescent="0.2">
      <c r="R206" s="422">
        <f>_xll.qlCalendarAdvance(Calendar,R205,"1D","f")</f>
        <v>42417</v>
      </c>
      <c r="S206" s="448">
        <f>_xll.qlCalendarAdvance(Calendar,R206,$F$1,"mf",,Trigger)</f>
        <v>42599</v>
      </c>
      <c r="T206" s="449">
        <f>_xll.qlDayCounterYearFraction(DayCounter,R206,S206,,,Trigger)</f>
        <v>0.49863013698630138</v>
      </c>
      <c r="U206" s="423">
        <f>_xll.qlInterpolationInterpolate(B6Minterpolation,R206,TRUE)</f>
        <v>2.9029058439558743E-3</v>
      </c>
      <c r="V206" s="345">
        <f>_xll.qlYieldTSDiscount(Discounting,R206,,AllTriggers)</f>
        <v>0.99611396923630824</v>
      </c>
      <c r="W206" s="345">
        <f>_xll.qlYieldTSDiscount(Discounting,S206,,AllTriggers)</f>
        <v>0.99264249399212057</v>
      </c>
      <c r="X206" s="32">
        <f t="shared" si="14"/>
        <v>7.0136273334212599E-3</v>
      </c>
      <c r="Y206" s="451">
        <f t="shared" si="15"/>
        <v>1.4413925518111873E-3</v>
      </c>
    </row>
    <row r="207" spans="18:25" x14ac:dyDescent="0.2">
      <c r="R207" s="422">
        <f>_xll.qlCalendarAdvance(Calendar,R206,"1D","f")</f>
        <v>42418</v>
      </c>
      <c r="S207" s="448">
        <f>_xll.qlCalendarAdvance(Calendar,R207,$F$1,"mf",,Trigger)</f>
        <v>42600</v>
      </c>
      <c r="T207" s="449">
        <f>_xll.qlDayCounterYearFraction(DayCounter,R207,S207,,,Trigger)</f>
        <v>0.49863013698630138</v>
      </c>
      <c r="U207" s="423">
        <f>_xll.qlInterpolationInterpolate(B6Minterpolation,R207,TRUE)</f>
        <v>2.9046600078917913E-3</v>
      </c>
      <c r="V207" s="345">
        <f>_xll.qlYieldTSDiscount(Discounting,R207,,AllTriggers)</f>
        <v>0.99609736478667676</v>
      </c>
      <c r="W207" s="345">
        <f>_xll.qlYieldTSDiscount(Discounting,S207,,AllTriggers)</f>
        <v>0.9926201732054124</v>
      </c>
      <c r="X207" s="32">
        <f t="shared" si="14"/>
        <v>7.0253343615397403E-3</v>
      </c>
      <c r="Y207" s="451">
        <f t="shared" si="15"/>
        <v>1.442254542967201E-3</v>
      </c>
    </row>
    <row r="208" spans="18:25" x14ac:dyDescent="0.2">
      <c r="R208" s="422">
        <f>_xll.qlCalendarAdvance(Calendar,R207,"1D","f")</f>
        <v>42419</v>
      </c>
      <c r="S208" s="448">
        <f>_xll.qlCalendarAdvance(Calendar,R208,$F$1,"mf",,Trigger)</f>
        <v>42601</v>
      </c>
      <c r="T208" s="449">
        <f>_xll.qlDayCounterYearFraction(DayCounter,R208,S208,,,Trigger)</f>
        <v>0.49863013698630138</v>
      </c>
      <c r="U208" s="423">
        <f>_xll.qlInterpolationInterpolate(B6Minterpolation,R208,TRUE)</f>
        <v>2.9063969706221689E-3</v>
      </c>
      <c r="V208" s="345">
        <f>_xll.qlYieldTSDiscount(Discounting,R208,,AllTriggers)</f>
        <v>0.99608071276901522</v>
      </c>
      <c r="W208" s="345">
        <f>_xll.qlYieldTSDiscount(Discounting,S208,,AllTriggers)</f>
        <v>0.9925978165510122</v>
      </c>
      <c r="X208" s="32">
        <f t="shared" si="14"/>
        <v>7.0370185305093005E-3</v>
      </c>
      <c r="Y208" s="451">
        <f t="shared" si="15"/>
        <v>1.4431080050076475E-3</v>
      </c>
    </row>
    <row r="209" spans="18:25" x14ac:dyDescent="0.2">
      <c r="R209" s="422">
        <f>_xll.qlCalendarAdvance(Calendar,R208,"1D","f")</f>
        <v>42422</v>
      </c>
      <c r="S209" s="448">
        <f>_xll.qlCalendarAdvance(Calendar,R209,$F$1,"mf",,Trigger)</f>
        <v>42604</v>
      </c>
      <c r="T209" s="449">
        <f>_xll.qlDayCounterYearFraction(DayCounter,R209,S209,,,Trigger)</f>
        <v>0.49863013698630138</v>
      </c>
      <c r="U209" s="423">
        <f>_xll.qlInterpolationInterpolate(B6Minterpolation,R209,TRUE)</f>
        <v>2.9115070742850662E-3</v>
      </c>
      <c r="V209" s="345">
        <f>_xll.qlYieldTSDiscount(Discounting,R209,,AllTriggers)</f>
        <v>0.99603048220678847</v>
      </c>
      <c r="W209" s="345">
        <f>_xll.qlYieldTSDiscount(Discounting,S209,,AllTriggers)</f>
        <v>0.9925305317203319</v>
      </c>
      <c r="X209" s="32">
        <f t="shared" si="14"/>
        <v>7.0719552152468355E-3</v>
      </c>
      <c r="Y209" s="451">
        <f t="shared" si="15"/>
        <v>1.4456184051651786E-3</v>
      </c>
    </row>
    <row r="210" spans="18:25" x14ac:dyDescent="0.2">
      <c r="R210" s="422">
        <f>_xll.qlCalendarAdvance(Calendar,R209,"1D","f")</f>
        <v>42423</v>
      </c>
      <c r="S210" s="448">
        <f>_xll.qlCalendarAdvance(Calendar,R210,$F$1,"mf",,Trigger)</f>
        <v>42605</v>
      </c>
      <c r="T210" s="449">
        <f>_xll.qlDayCounterYearFraction(DayCounter,R210,S210,,,Trigger)</f>
        <v>0.49863013698630138</v>
      </c>
      <c r="U210" s="423">
        <f>_xll.qlInterpolationInterpolate(B6Minterpolation,R210,TRUE)</f>
        <v>2.9131776548982891E-3</v>
      </c>
      <c r="V210" s="345">
        <f>_xll.qlYieldTSDiscount(Discounting,R210,,AllTriggers)</f>
        <v>0.99601365081561111</v>
      </c>
      <c r="W210" s="345">
        <f>_xll.qlYieldTSDiscount(Discounting,S210,,AllTriggers)</f>
        <v>0.99250803193384141</v>
      </c>
      <c r="X210" s="32">
        <f t="shared" si="14"/>
        <v>7.083569280591573E-3</v>
      </c>
      <c r="Y210" s="451">
        <f t="shared" si="15"/>
        <v>1.4464389394353218E-3</v>
      </c>
    </row>
    <row r="211" spans="18:25" x14ac:dyDescent="0.2">
      <c r="R211" s="422">
        <f>_xll.qlCalendarAdvance(Calendar,R210,"1D","f")</f>
        <v>42424</v>
      </c>
      <c r="S211" s="448">
        <f>_xll.qlCalendarAdvance(Calendar,R211,$F$1,"mf",,Trigger)</f>
        <v>42606</v>
      </c>
      <c r="T211" s="449">
        <f>_xll.qlDayCounterYearFraction(DayCounter,R211,S211,,,Trigger)</f>
        <v>0.49863013698630138</v>
      </c>
      <c r="U211" s="423">
        <f>_xll.qlInterpolationInterpolate(B6Minterpolation,R211,TRUE)</f>
        <v>2.9148322456584749E-3</v>
      </c>
      <c r="V211" s="345">
        <f>_xll.qlYieldTSDiscount(Discounting,R211,,AllTriggers)</f>
        <v>0.99599677730537062</v>
      </c>
      <c r="W211" s="345">
        <f>_xll.qlYieldTSDiscount(Discounting,S211,,AllTriggers)</f>
        <v>0.99248549644900308</v>
      </c>
      <c r="X211" s="32">
        <f t="shared" si="14"/>
        <v>7.0951711535213033E-3</v>
      </c>
      <c r="Y211" s="451">
        <f t="shared" si="15"/>
        <v>1.4472515388986179E-3</v>
      </c>
    </row>
    <row r="212" spans="18:25" x14ac:dyDescent="0.2">
      <c r="R212" s="422">
        <f>_xll.qlCalendarAdvance(Calendar,R211,"1D","f")</f>
        <v>42425</v>
      </c>
      <c r="S212" s="448">
        <f>_xll.qlCalendarAdvance(Calendar,R212,$F$1,"mf",,Trigger)</f>
        <v>42607</v>
      </c>
      <c r="T212" s="449">
        <f>_xll.qlDayCounterYearFraction(DayCounter,R212,S212,,,Trigger)</f>
        <v>0.49863013698630138</v>
      </c>
      <c r="U212" s="423">
        <f>_xll.qlInterpolationInterpolate(B6Minterpolation,R212,TRUE)</f>
        <v>2.9164710888361241E-3</v>
      </c>
      <c r="V212" s="345">
        <f>_xll.qlYieldTSDiscount(Discounting,R212,,AllTriggers)</f>
        <v>0.99597986276565731</v>
      </c>
      <c r="W212" s="345">
        <f>_xll.qlYieldTSDiscount(Discounting,S212,,AllTriggers)</f>
        <v>0.99246292529968871</v>
      </c>
      <c r="X212" s="32">
        <f t="shared" si="14"/>
        <v>7.1067629675312738E-3</v>
      </c>
      <c r="Y212" s="451">
        <f t="shared" si="15"/>
        <v>1.4480563223954854E-3</v>
      </c>
    </row>
    <row r="213" spans="18:25" x14ac:dyDescent="0.2">
      <c r="R213" s="422">
        <f>_xll.qlCalendarAdvance(Calendar,R212,"1D","f")</f>
        <v>42426</v>
      </c>
      <c r="S213" s="448">
        <f>_xll.qlCalendarAdvance(Calendar,R213,$F$1,"mf",,Trigger)</f>
        <v>42608</v>
      </c>
      <c r="T213" s="449">
        <f>_xll.qlDayCounterYearFraction(DayCounter,R213,S213,,,Trigger)</f>
        <v>0.49863013698630138</v>
      </c>
      <c r="U213" s="423">
        <f>_xll.qlInterpolationInterpolate(B6Minterpolation,R213,TRUE)</f>
        <v>2.9180944267017373E-3</v>
      </c>
      <c r="V213" s="345">
        <f>_xll.qlYieldTSDiscount(Discounting,R213,,AllTriggers)</f>
        <v>0.99596290828599299</v>
      </c>
      <c r="W213" s="345">
        <f>_xll.qlYieldTSDiscount(Discounting,S213,,AllTriggers)</f>
        <v>0.99244031851977133</v>
      </c>
      <c r="X213" s="32">
        <f t="shared" si="14"/>
        <v>7.1183468561670533E-3</v>
      </c>
      <c r="Y213" s="451">
        <f t="shared" si="15"/>
        <v>1.4488534087584582E-3</v>
      </c>
    </row>
    <row r="214" spans="18:25" x14ac:dyDescent="0.2">
      <c r="R214" s="422">
        <f>_xll.qlCalendarAdvance(Calendar,R213,"1D","f")</f>
        <v>42429</v>
      </c>
      <c r="S214" s="448">
        <f>_xll.qlCalendarAdvance(Calendar,R214,$F$1,"mf",,Trigger)</f>
        <v>42612</v>
      </c>
      <c r="T214" s="449">
        <f>_xll.qlDayCounterYearFraction(DayCounter,R214,S214,,,Trigger)</f>
        <v>0.50136986301369868</v>
      </c>
      <c r="U214" s="423">
        <f>_xll.qlInterpolationInterpolate(B6Minterpolation,R214,TRUE)</f>
        <v>2.9228738311313659E-3</v>
      </c>
      <c r="V214" s="345">
        <f>_xll.qlYieldTSDiscount(Discounting,R214,,AllTriggers)</f>
        <v>0.9959118161014725</v>
      </c>
      <c r="W214" s="345">
        <f>_xll.qlYieldTSDiscount(Discounting,S214,,AllTriggers)</f>
        <v>0.99234953577156204</v>
      </c>
      <c r="X214" s="32">
        <f t="shared" si="14"/>
        <v>7.1598709839318384E-3</v>
      </c>
      <c r="Y214" s="451">
        <f t="shared" si="15"/>
        <v>1.4591340579439361E-3</v>
      </c>
    </row>
    <row r="215" spans="18:25" x14ac:dyDescent="0.2">
      <c r="R215" s="422">
        <f>_xll.qlCalendarAdvance(Calendar,R214,"1D","f")</f>
        <v>42430</v>
      </c>
      <c r="S215" s="448">
        <f>_xll.qlCalendarAdvance(Calendar,R215,$F$1,"mf",,Trigger)</f>
        <v>42614</v>
      </c>
      <c r="T215" s="449">
        <f>_xll.qlDayCounterYearFraction(DayCounter,R215,S215,,,Trigger)</f>
        <v>0.50410958904109593</v>
      </c>
      <c r="U215" s="423">
        <f>_xll.qlInterpolationInterpolate(B6Minterpolation,R215,TRUE)</f>
        <v>2.9244375704538402E-3</v>
      </c>
      <c r="V215" s="345">
        <f>_xll.qlYieldTSDiscount(Discounting,R215,,AllTriggers)</f>
        <v>0.99589471283233055</v>
      </c>
      <c r="W215" s="345">
        <f>_xll.qlYieldTSDiscount(Discounting,S215,,AllTriggers)</f>
        <v>0.99230393149460439</v>
      </c>
      <c r="X215" s="32">
        <f t="shared" si="14"/>
        <v>7.1782617215130819E-3</v>
      </c>
      <c r="Y215" s="451">
        <f t="shared" si="15"/>
        <v>1.4678437275509181E-3</v>
      </c>
    </row>
    <row r="216" spans="18:25" x14ac:dyDescent="0.2">
      <c r="R216" s="422">
        <f>_xll.qlCalendarAdvance(Calendar,R215,"1D","f")</f>
        <v>42431</v>
      </c>
      <c r="S216" s="448">
        <f>_xll.qlCalendarAdvance(Calendar,R216,$F$1,"mf",,Trigger)</f>
        <v>42615</v>
      </c>
      <c r="T216" s="449">
        <f>_xll.qlDayCounterYearFraction(DayCounter,R216,S216,,,Trigger)</f>
        <v>0.50410958904109593</v>
      </c>
      <c r="U216" s="423">
        <f>_xll.qlInterpolationInterpolate(B6Minterpolation,R216,TRUE)</f>
        <v>2.9259870158167816E-3</v>
      </c>
      <c r="V216" s="345">
        <f>_xll.qlYieldTSDiscount(Discounting,R216,,AllTriggers)</f>
        <v>0.99587757552877687</v>
      </c>
      <c r="W216" s="345">
        <f>_xll.qlYieldTSDiscount(Discounting,S216,,AllTriggers)</f>
        <v>0.99228107624898632</v>
      </c>
      <c r="X216" s="32">
        <f t="shared" si="14"/>
        <v>7.1898579496612958E-3</v>
      </c>
      <c r="Y216" s="451">
        <f t="shared" si="15"/>
        <v>1.468612311744868E-3</v>
      </c>
    </row>
    <row r="217" spans="18:25" x14ac:dyDescent="0.2">
      <c r="R217" s="422">
        <f>_xll.qlCalendarAdvance(Calendar,R216,"1D","f")</f>
        <v>42432</v>
      </c>
      <c r="S217" s="448">
        <f>_xll.qlCalendarAdvance(Calendar,R217,$F$1,"mf",,Trigger)</f>
        <v>42618</v>
      </c>
      <c r="T217" s="449">
        <f>_xll.qlDayCounterYearFraction(DayCounter,R217,S217,,,Trigger)</f>
        <v>0.50958904109589043</v>
      </c>
      <c r="U217" s="423">
        <f>_xll.qlInterpolationInterpolate(B6Minterpolation,R217,TRUE)</f>
        <v>2.9275224094906902E-3</v>
      </c>
      <c r="V217" s="345">
        <f>_xll.qlYieldTSDiscount(Discounting,R217,,AllTriggers)</f>
        <v>0.99586040573885903</v>
      </c>
      <c r="W217" s="345">
        <f>_xll.qlYieldTSDiscount(Discounting,S217,,AllTriggers)</f>
        <v>0.99221229849014281</v>
      </c>
      <c r="X217" s="32">
        <f t="shared" si="14"/>
        <v>7.2151092558554114E-3</v>
      </c>
      <c r="Y217" s="451">
        <f t="shared" si="15"/>
        <v>1.4852647945392383E-3</v>
      </c>
    </row>
    <row r="218" spans="18:25" x14ac:dyDescent="0.2">
      <c r="R218" s="422">
        <f>_xll.qlCalendarAdvance(Calendar,R217,"1D","f")</f>
        <v>42433</v>
      </c>
      <c r="S218" s="448">
        <f>_xll.qlCalendarAdvance(Calendar,R218,$F$1,"mf",,Trigger)</f>
        <v>42618</v>
      </c>
      <c r="T218" s="449">
        <f>_xll.qlDayCounterYearFraction(DayCounter,R218,S218,,,Trigger)</f>
        <v>0.50684931506849318</v>
      </c>
      <c r="U218" s="423">
        <f>_xll.qlInterpolationInterpolate(B6Minterpolation,R218,TRUE)</f>
        <v>2.9290439937460669E-3</v>
      </c>
      <c r="V218" s="345">
        <f>_xll.qlYieldTSDiscount(Discounting,R218,,AllTriggers)</f>
        <v>0.99584320501052137</v>
      </c>
      <c r="W218" s="345">
        <f>_xll.qlYieldTSDiscount(Discounting,S218,,AllTriggers)</f>
        <v>0.99221229849014281</v>
      </c>
      <c r="X218" s="32">
        <f t="shared" si="14"/>
        <v>7.2199069120582769E-3</v>
      </c>
      <c r="Y218" s="451">
        <f t="shared" si="15"/>
        <v>1.4780781603444739E-3</v>
      </c>
    </row>
    <row r="219" spans="18:25" x14ac:dyDescent="0.2">
      <c r="R219" s="422">
        <f>_xll.qlCalendarAdvance(Calendar,R218,"1D","f")</f>
        <v>42436</v>
      </c>
      <c r="S219" s="448">
        <f>_xll.qlCalendarAdvance(Calendar,R219,$F$1,"mf",,Trigger)</f>
        <v>42620</v>
      </c>
      <c r="T219" s="449">
        <f>_xll.qlDayCounterYearFraction(DayCounter,R219,S219,,,Trigger)</f>
        <v>0.50410958904109593</v>
      </c>
      <c r="U219" s="423">
        <f>_xll.qlInterpolationInterpolate(B6Minterpolation,R219,TRUE)</f>
        <v>2.933528312706009E-3</v>
      </c>
      <c r="V219" s="345">
        <f>_xll.qlYieldTSDiscount(Discounting,R219,,AllTriggers)</f>
        <v>0.99579143267287218</v>
      </c>
      <c r="W219" s="345">
        <f>_xll.qlYieldTSDiscount(Discounting,S219,,AllTriggers)</f>
        <v>0.99216627030474591</v>
      </c>
      <c r="X219" s="32">
        <f t="shared" si="14"/>
        <v>7.2479976827552464E-3</v>
      </c>
      <c r="Y219" s="451">
        <f t="shared" si="15"/>
        <v>1.4723516912081656E-3</v>
      </c>
    </row>
    <row r="220" spans="18:25" x14ac:dyDescent="0.2">
      <c r="R220" s="422">
        <f>_xll.qlCalendarAdvance(Calendar,R219,"1D","f")</f>
        <v>42437</v>
      </c>
      <c r="S220" s="448">
        <f>_xll.qlCalendarAdvance(Calendar,R220,$F$1,"mf",,Trigger)</f>
        <v>42621</v>
      </c>
      <c r="T220" s="449">
        <f>_xll.qlDayCounterYearFraction(DayCounter,R220,S220,,,Trigger)</f>
        <v>0.50410958904109593</v>
      </c>
      <c r="U220" s="423">
        <f>_xll.qlInterpolationInterpolate(B6Minterpolation,R220,TRUE)</f>
        <v>2.9349970819922628E-3</v>
      </c>
      <c r="V220" s="345">
        <f>_xll.qlYieldTSDiscount(Discounting,R220,,AllTriggers)</f>
        <v>0.99577412366821438</v>
      </c>
      <c r="W220" s="345">
        <f>_xll.qlYieldTSDiscount(Discounting,S220,,AllTriggers)</f>
        <v>0.99214320340984852</v>
      </c>
      <c r="X220" s="32">
        <f t="shared" si="14"/>
        <v>7.2596785475688543E-3</v>
      </c>
      <c r="Y220" s="451">
        <f t="shared" si="15"/>
        <v>1.4730796945421672E-3</v>
      </c>
    </row>
    <row r="221" spans="18:25" x14ac:dyDescent="0.2">
      <c r="R221" s="422">
        <f>_xll.qlCalendarAdvance(Calendar,R220,"1D","f")</f>
        <v>42438</v>
      </c>
      <c r="S221" s="448">
        <f>_xll.qlCalendarAdvance(Calendar,R221,$F$1,"mf",,Trigger)</f>
        <v>42622</v>
      </c>
      <c r="T221" s="449">
        <f>_xll.qlDayCounterYearFraction(DayCounter,R221,S221,,,Trigger)</f>
        <v>0.50410958904109593</v>
      </c>
      <c r="U221" s="423">
        <f>_xll.qlInterpolationInterpolate(B6Minterpolation,R221,TRUE)</f>
        <v>2.9364532532124873E-3</v>
      </c>
      <c r="V221" s="345">
        <f>_xll.qlYieldTSDiscount(Discounting,R221,,AllTriggers)</f>
        <v>0.99575679146329155</v>
      </c>
      <c r="W221" s="345">
        <f>_xll.qlYieldTSDiscount(Discounting,S221,,AllTriggers)</f>
        <v>0.99212010135866557</v>
      </c>
      <c r="X221" s="32">
        <f t="shared" si="14"/>
        <v>7.271384118687948E-3</v>
      </c>
      <c r="Y221" s="451">
        <f t="shared" si="15"/>
        <v>1.4738013522357985E-3</v>
      </c>
    </row>
    <row r="222" spans="18:25" x14ac:dyDescent="0.2">
      <c r="R222" s="422">
        <f>_xll.qlCalendarAdvance(Calendar,R221,"1D","f")</f>
        <v>42439</v>
      </c>
      <c r="S222" s="448">
        <f>_xll.qlCalendarAdvance(Calendar,R222,$F$1,"mf",,Trigger)</f>
        <v>42625</v>
      </c>
      <c r="T222" s="449">
        <f>_xll.qlDayCounterYearFraction(DayCounter,R222,S222,,,Trigger)</f>
        <v>0.50958904109589043</v>
      </c>
      <c r="U222" s="423">
        <f>_xll.qlInterpolationInterpolate(B6Minterpolation,R222,TRUE)</f>
        <v>2.9378970686371828E-3</v>
      </c>
      <c r="V222" s="345">
        <f>_xll.qlYieldTSDiscount(Discounting,R222,,AllTriggers)</f>
        <v>0.99573943760541828</v>
      </c>
      <c r="W222" s="345">
        <f>_xll.qlYieldTSDiscount(Discounting,S222,,AllTriggers)</f>
        <v>0.99205058460627038</v>
      </c>
      <c r="X222" s="32">
        <f t="shared" si="14"/>
        <v>7.2968841605245069E-3</v>
      </c>
      <c r="Y222" s="451">
        <f t="shared" si="15"/>
        <v>1.4904625722066038E-3</v>
      </c>
    </row>
    <row r="223" spans="18:25" x14ac:dyDescent="0.2">
      <c r="R223" s="422">
        <f>_xll.qlCalendarAdvance(Calendar,R222,"1D","f")</f>
        <v>42440</v>
      </c>
      <c r="S223" s="448">
        <f>_xll.qlCalendarAdvance(Calendar,R223,$F$1,"mf",,Trigger)</f>
        <v>42625</v>
      </c>
      <c r="T223" s="449">
        <f>_xll.qlDayCounterYearFraction(DayCounter,R223,S223,,,Trigger)</f>
        <v>0.50684931506849318</v>
      </c>
      <c r="U223" s="423">
        <f>_xll.qlInterpolationInterpolate(B6Minterpolation,R223,TRUE)</f>
        <v>2.9393287705368506E-3</v>
      </c>
      <c r="V223" s="345">
        <f>_xll.qlYieldTSDiscount(Discounting,R223,,AllTriggers)</f>
        <v>0.99572206364180282</v>
      </c>
      <c r="W223" s="345">
        <f>_xll.qlYieldTSDiscount(Discounting,S223,,AllTriggers)</f>
        <v>0.99205058460627038</v>
      </c>
      <c r="X223" s="32">
        <f t="shared" si="14"/>
        <v>7.3017737405167756E-3</v>
      </c>
      <c r="Y223" s="451">
        <f t="shared" si="15"/>
        <v>1.4832030270530644E-3</v>
      </c>
    </row>
    <row r="224" spans="18:25" x14ac:dyDescent="0.2">
      <c r="R224" s="422">
        <f>_xll.qlCalendarAdvance(Calendar,R223,"1D","f")</f>
        <v>42443</v>
      </c>
      <c r="S224" s="448">
        <f>_xll.qlCalendarAdvance(Calendar,R224,$F$1,"mf",,Trigger)</f>
        <v>42627</v>
      </c>
      <c r="T224" s="449">
        <f>_xll.qlDayCounterYearFraction(DayCounter,R224,S224,,,Trigger)</f>
        <v>0.50410958904109593</v>
      </c>
      <c r="U224" s="423">
        <f>_xll.qlInterpolationInterpolate(B6Minterpolation,R224,TRUE)</f>
        <v>2.9435536177906895E-3</v>
      </c>
      <c r="V224" s="345">
        <f>_xll.qlYieldTSDiscount(Discounting,R224,,AllTriggers)</f>
        <v>0.9956698365869866</v>
      </c>
      <c r="W224" s="345">
        <f>_xll.qlYieldTSDiscount(Discounting,S224,,AllTriggers)</f>
        <v>0.99200406494451576</v>
      </c>
      <c r="X224" s="32">
        <f t="shared" si="14"/>
        <v>7.3303885800495251E-3</v>
      </c>
      <c r="Y224" s="451">
        <f t="shared" si="15"/>
        <v>1.4773186335242656E-3</v>
      </c>
    </row>
    <row r="225" spans="18:25" x14ac:dyDescent="0.2">
      <c r="R225" s="422">
        <f>_xll.qlCalendarAdvance(Calendar,R224,"1D","f")</f>
        <v>42444</v>
      </c>
      <c r="S225" s="448">
        <f>_xll.qlCalendarAdvance(Calendar,R225,$F$1,"mf",,Trigger)</f>
        <v>42628</v>
      </c>
      <c r="T225" s="449">
        <f>_xll.qlDayCounterYearFraction(DayCounter,R225,S225,,,Trigger)</f>
        <v>0.50410958904109593</v>
      </c>
      <c r="U225" s="423">
        <f>_xll.qlInterpolationInterpolate(B6Minterpolation,R225,TRUE)</f>
        <v>2.9449392882952502E-3</v>
      </c>
      <c r="V225" s="345">
        <f>_xll.qlYieldTSDiscount(Discounting,R225,,AllTriggers)</f>
        <v>0.99565239767034952</v>
      </c>
      <c r="W225" s="345">
        <f>_xll.qlYieldTSDiscount(Discounting,S225,,AllTriggers)</f>
        <v>0.99198075266725949</v>
      </c>
      <c r="X225" s="32">
        <f t="shared" si="14"/>
        <v>7.3423059967364455E-3</v>
      </c>
      <c r="Y225" s="451">
        <f t="shared" si="15"/>
        <v>1.4780047237322935E-3</v>
      </c>
    </row>
    <row r="226" spans="18:25" x14ac:dyDescent="0.2">
      <c r="R226" s="422">
        <f>_xll.qlCalendarAdvance(Calendar,R225,"1D","f")</f>
        <v>42445</v>
      </c>
      <c r="S226" s="448">
        <f>_xll.qlCalendarAdvance(Calendar,R226,$F$1,"mf",,Trigger)</f>
        <v>42629</v>
      </c>
      <c r="T226" s="449">
        <f>_xll.qlDayCounterYearFraction(DayCounter,R226,S226,,,Trigger)</f>
        <v>0.50410958904109593</v>
      </c>
      <c r="U226" s="423">
        <f>_xll.qlInterpolationInterpolate(B6Minterpolation,R226,TRUE)</f>
        <v>2.9463140566272851E-3</v>
      </c>
      <c r="V226" s="345">
        <f>_xll.qlYieldTSDiscount(Discounting,R226,,AllTriggers)</f>
        <v>0.99563494638240713</v>
      </c>
      <c r="W226" s="345">
        <f>_xll.qlYieldTSDiscount(Discounting,S226,,AllTriggers)</f>
        <v>0.99195740547093825</v>
      </c>
      <c r="X226" s="32">
        <f t="shared" si="14"/>
        <v>7.3542693229947283E-3</v>
      </c>
      <c r="Y226" s="451">
        <f t="shared" si="15"/>
        <v>1.478685303687214E-3</v>
      </c>
    </row>
    <row r="227" spans="18:25" x14ac:dyDescent="0.2">
      <c r="R227" s="422">
        <f>_xll.qlCalendarAdvance(Calendar,R226,"1D","f")</f>
        <v>42446</v>
      </c>
      <c r="S227" s="448">
        <f>_xll.qlCalendarAdvance(Calendar,R227,$F$1,"mf",,Trigger)</f>
        <v>42632</v>
      </c>
      <c r="T227" s="449">
        <f>_xll.qlDayCounterYearFraction(DayCounter,R227,S227,,,Trigger)</f>
        <v>0.50958904109589043</v>
      </c>
      <c r="U227" s="423">
        <f>_xll.qlInterpolationInterpolate(B6Minterpolation,R227,TRUE)</f>
        <v>2.9476781650572955E-3</v>
      </c>
      <c r="V227" s="345">
        <f>_xll.qlYieldTSDiscount(Discounting,R227,,AllTriggers)</f>
        <v>0.99561748426972396</v>
      </c>
      <c r="W227" s="345">
        <f>_xll.qlYieldTSDiscount(Discounting,S227,,AllTriggers)</f>
        <v>0.99188715470650479</v>
      </c>
      <c r="X227" s="32">
        <f t="shared" si="14"/>
        <v>7.3801443487805721E-3</v>
      </c>
      <c r="Y227" s="451">
        <f t="shared" si="15"/>
        <v>1.4953578748765142E-3</v>
      </c>
    </row>
    <row r="228" spans="18:25" x14ac:dyDescent="0.2">
      <c r="R228" s="422">
        <f>_xll.qlCalendarAdvance(Calendar,R227,"1D","f")</f>
        <v>42447</v>
      </c>
      <c r="S228" s="448">
        <f>_xll.qlCalendarAdvance(Calendar,R228,$F$1,"mf",,Trigger)</f>
        <v>42632</v>
      </c>
      <c r="T228" s="449">
        <f>_xll.qlDayCounterYearFraction(DayCounter,R228,S228,,,Trigger)</f>
        <v>0.50684931506849318</v>
      </c>
      <c r="U228" s="423">
        <f>_xll.qlInterpolationInterpolate(B6Minterpolation,R228,TRUE)</f>
        <v>2.9490318558557816E-3</v>
      </c>
      <c r="V228" s="345">
        <f>_xll.qlYieldTSDiscount(Discounting,R228,,AllTriggers)</f>
        <v>0.99560001287875655</v>
      </c>
      <c r="W228" s="345">
        <f>_xll.qlYieldTSDiscount(Discounting,S228,,AllTriggers)</f>
        <v>0.99188715470650479</v>
      </c>
      <c r="X228" s="32">
        <f t="shared" si="14"/>
        <v>7.3852844969065721E-3</v>
      </c>
      <c r="Y228" s="451">
        <f t="shared" si="15"/>
        <v>1.4880329155902081E-3</v>
      </c>
    </row>
    <row r="229" spans="18:25" x14ac:dyDescent="0.2">
      <c r="R229" s="422">
        <f>_xll.qlCalendarAdvance(Calendar,R228,"1D","f")</f>
        <v>42450</v>
      </c>
      <c r="S229" s="448">
        <f>_xll.qlCalendarAdvance(Calendar,R229,$F$1,"mf",,Trigger)</f>
        <v>42634</v>
      </c>
      <c r="T229" s="449">
        <f>_xll.qlDayCounterYearFraction(DayCounter,R229,S229,,,Trigger)</f>
        <v>0.50410958904109593</v>
      </c>
      <c r="U229" s="423">
        <f>_xll.qlInterpolationInterpolate(B6Minterpolation,R229,TRUE)</f>
        <v>2.9530328451671003E-3</v>
      </c>
      <c r="V229" s="345">
        <f>_xll.qlYieldTSDiscount(Discounting,R229,,AllTriggers)</f>
        <v>0.99554755849909005</v>
      </c>
      <c r="W229" s="345">
        <f>_xll.qlYieldTSDiscount(Discounting,S229,,AllTriggers)</f>
        <v>0.99184014688959066</v>
      </c>
      <c r="X229" s="32">
        <f t="shared" si="14"/>
        <v>7.414880627333067E-3</v>
      </c>
      <c r="Y229" s="451">
        <f t="shared" si="15"/>
        <v>1.4820097254015186E-3</v>
      </c>
    </row>
    <row r="230" spans="18:25" x14ac:dyDescent="0.2">
      <c r="R230" s="422">
        <f>_xll.qlCalendarAdvance(Calendar,R229,"1D","f")</f>
        <v>42451</v>
      </c>
      <c r="S230" s="448">
        <f>_xll.qlCalendarAdvance(Calendar,R230,$F$1,"mf",,Trigger)</f>
        <v>42635</v>
      </c>
      <c r="T230" s="449">
        <f>_xll.qlDayCounterYearFraction(DayCounter,R230,S230,,,Trigger)</f>
        <v>0.50410958904109593</v>
      </c>
      <c r="U230" s="423">
        <f>_xll.qlInterpolationInterpolate(B6Minterpolation,R230,TRUE)</f>
        <v>2.9543472881444952E-3</v>
      </c>
      <c r="V230" s="345">
        <f>_xll.qlYieldTSDiscount(Discounting,R230,,AllTriggers)</f>
        <v>0.99553006545738454</v>
      </c>
      <c r="W230" s="345">
        <f>_xll.qlYieldTSDiscount(Discounting,S230,,AllTriggers)</f>
        <v>0.99181659089062946</v>
      </c>
      <c r="X230" s="32">
        <f t="shared" si="14"/>
        <v>7.4271830297934658E-3</v>
      </c>
      <c r="Y230" s="451">
        <f t="shared" si="15"/>
        <v>1.4826597491885236E-3</v>
      </c>
    </row>
    <row r="231" spans="18:25" x14ac:dyDescent="0.2">
      <c r="R231" s="422">
        <f>_xll.qlCalendarAdvance(Calendar,R230,"1D","f")</f>
        <v>42452</v>
      </c>
      <c r="S231" s="448">
        <f>_xll.qlCalendarAdvance(Calendar,R231,$F$1,"mf",,Trigger)</f>
        <v>42636</v>
      </c>
      <c r="T231" s="449">
        <f>_xll.qlDayCounterYearFraction(DayCounter,R231,S231,,,Trigger)</f>
        <v>0.50410958904109593</v>
      </c>
      <c r="U231" s="423">
        <f>_xll.qlInterpolationInterpolate(B6Minterpolation,R231,TRUE)</f>
        <v>2.9556525248428684E-3</v>
      </c>
      <c r="V231" s="345">
        <f>_xll.qlYieldTSDiscount(Discounting,R231,,AllTriggers)</f>
        <v>0.99551257086805189</v>
      </c>
      <c r="W231" s="345">
        <f>_xll.qlYieldTSDiscount(Discounting,S231,,AllTriggers)</f>
        <v>0.99179300020985972</v>
      </c>
      <c r="X231" s="32">
        <f t="shared" si="14"/>
        <v>7.4395525488161482E-3</v>
      </c>
      <c r="Y231" s="451">
        <f t="shared" si="15"/>
        <v>1.4833050977785876E-3</v>
      </c>
    </row>
    <row r="232" spans="18:25" x14ac:dyDescent="0.2">
      <c r="R232" s="422">
        <f>_xll.qlCalendarAdvance(Calendar,R231,"1D","f")</f>
        <v>42453</v>
      </c>
      <c r="S232" s="448">
        <f>_xll.qlCalendarAdvance(Calendar,R232,$F$1,"mf",,Trigger)</f>
        <v>42639</v>
      </c>
      <c r="T232" s="449">
        <f>_xll.qlDayCounterYearFraction(DayCounter,R232,S232,,,Trigger)</f>
        <v>0.50958904109589043</v>
      </c>
      <c r="U232" s="423">
        <f>_xll.qlInterpolationInterpolate(B6Minterpolation,R232,TRUE)</f>
        <v>2.9569487975327209E-3</v>
      </c>
      <c r="V232" s="345">
        <f>_xll.qlYieldTSDiscount(Discounting,R232,,AllTriggers)</f>
        <v>0.99549507627689759</v>
      </c>
      <c r="W232" s="345">
        <f>_xll.qlYieldTSDiscount(Discounting,S232,,AllTriggers)</f>
        <v>0.99172202041566759</v>
      </c>
      <c r="X232" s="32">
        <f t="shared" si="14"/>
        <v>7.4659177108886733E-3</v>
      </c>
      <c r="Y232" s="451">
        <f t="shared" si="15"/>
        <v>1.4999920746576834E-3</v>
      </c>
    </row>
    <row r="233" spans="18:25" x14ac:dyDescent="0.2">
      <c r="R233" s="422">
        <f>_xll.qlCalendarAdvance(Calendar,R232,"1D","f")</f>
        <v>42458</v>
      </c>
      <c r="S233" s="448">
        <f>_xll.qlCalendarAdvance(Calendar,R233,$F$1,"mf",,Trigger)</f>
        <v>42642</v>
      </c>
      <c r="T233" s="449">
        <f>_xll.qlDayCounterYearFraction(DayCounter,R233,S233,,,Trigger)</f>
        <v>0.50410958904109593</v>
      </c>
      <c r="U233" s="423">
        <f>_xll.qlInterpolationInterpolate(B6Minterpolation,R233,TRUE)</f>
        <v>2.9633041803216911E-3</v>
      </c>
      <c r="V233" s="345">
        <f>_xll.qlYieldTSDiscount(Discounting,R233,,AllTriggers)</f>
        <v>0.99540765738939729</v>
      </c>
      <c r="W233" s="345">
        <f>_xll.qlYieldTSDiscount(Discounting,S233,,AllTriggers)</f>
        <v>0.99165072970551027</v>
      </c>
      <c r="X233" s="32">
        <f t="shared" si="14"/>
        <v>7.5153487904676105E-3</v>
      </c>
      <c r="Y233" s="451">
        <f t="shared" si="15"/>
        <v>1.4870856887403217E-3</v>
      </c>
    </row>
    <row r="234" spans="18:25" x14ac:dyDescent="0.2">
      <c r="R234" s="422">
        <f>_xll.qlCalendarAdvance(Calendar,R233,"1D","f")</f>
        <v>42459</v>
      </c>
      <c r="S234" s="448">
        <f>_xll.qlCalendarAdvance(Calendar,R234,$F$1,"mf",,Trigger)</f>
        <v>42643</v>
      </c>
      <c r="T234" s="449">
        <f>_xll.qlDayCounterYearFraction(DayCounter,R234,S234,,,Trigger)</f>
        <v>0.50410958904109593</v>
      </c>
      <c r="U234" s="423">
        <f>_xll.qlInterpolationInterpolate(B6Minterpolation,R234,TRUE)</f>
        <v>2.9645517566409306E-3</v>
      </c>
      <c r="V234" s="345">
        <f>_xll.qlYieldTSDiscount(Discounting,R234,,AllTriggers)</f>
        <v>0.99539019524315053</v>
      </c>
      <c r="W234" s="345">
        <f>_xll.qlYieldTSDiscount(Discounting,S234,,AllTriggers)</f>
        <v>0.99162689720121766</v>
      </c>
      <c r="X234" s="32">
        <f t="shared" si="14"/>
        <v>7.5282729670674061E-3</v>
      </c>
      <c r="Y234" s="451">
        <f t="shared" si="15"/>
        <v>1.4877016500978882E-3</v>
      </c>
    </row>
    <row r="235" spans="18:25" x14ac:dyDescent="0.2">
      <c r="R235" s="422">
        <f>_xll.qlCalendarAdvance(Calendar,R234,"1D","f")</f>
        <v>42460</v>
      </c>
      <c r="S235" s="448">
        <f>_xll.qlCalendarAdvance(Calendar,R235,$F$1,"mf",,Trigger)</f>
        <v>42643</v>
      </c>
      <c r="T235" s="449">
        <f>_xll.qlDayCounterYearFraction(DayCounter,R235,S235,,,Trigger)</f>
        <v>0.50136986301369868</v>
      </c>
      <c r="U235" s="423">
        <f>_xll.qlInterpolationInterpolate(B6Minterpolation,R235,TRUE)</f>
        <v>2.9657920648451528E-3</v>
      </c>
      <c r="V235" s="345">
        <f>_xll.qlYieldTSDiscount(Discounting,R235,,AllTriggers)</f>
        <v>0.99537274391268216</v>
      </c>
      <c r="W235" s="345">
        <f>_xll.qlYieldTSDiscount(Discounting,S235,,AllTriggers)</f>
        <v>0.99162689720121766</v>
      </c>
      <c r="X235" s="32">
        <f t="shared" si="14"/>
        <v>7.5343098662440959E-3</v>
      </c>
      <c r="Y235" s="451">
        <f t="shared" si="15"/>
        <v>1.480266812723901E-3</v>
      </c>
    </row>
    <row r="236" spans="18:25" x14ac:dyDescent="0.2">
      <c r="R236" s="422">
        <f>_xll.qlCalendarAdvance(Calendar,R235,"1D","f")</f>
        <v>42461</v>
      </c>
      <c r="S236" s="448">
        <f>_xll.qlCalendarAdvance(Calendar,R236,$F$1,"mf",,Trigger)</f>
        <v>42646</v>
      </c>
      <c r="T236" s="449">
        <f>_xll.qlDayCounterYearFraction(DayCounter,R236,S236,,,Trigger)</f>
        <v>0.50684931506849318</v>
      </c>
      <c r="U236" s="423">
        <f>_xll.qlInterpolationInterpolate(B6Minterpolation,R236,TRUE)</f>
        <v>2.9670253472048589E-3</v>
      </c>
      <c r="V236" s="345">
        <f>_xll.qlYieldTSDiscount(Discounting,R236,,AllTriggers)</f>
        <v>0.99535530435685549</v>
      </c>
      <c r="W236" s="345">
        <f>_xll.qlYieldTSDiscount(Discounting,S236,,AllTriggers)</f>
        <v>0.9915551933602299</v>
      </c>
      <c r="X236" s="32">
        <f t="shared" si="14"/>
        <v>7.561370603316432E-3</v>
      </c>
      <c r="Y236" s="451">
        <f t="shared" si="15"/>
        <v>1.4969723365117434E-3</v>
      </c>
    </row>
    <row r="237" spans="18:25" x14ac:dyDescent="0.2">
      <c r="R237" s="422">
        <f>_xll.qlCalendarAdvance(Calendar,R236,"1D","f")</f>
        <v>42464</v>
      </c>
      <c r="S237" s="448">
        <f>_xll.qlCalendarAdvance(Calendar,R237,$F$1,"mf",,Trigger)</f>
        <v>42647</v>
      </c>
      <c r="T237" s="449">
        <f>_xll.qlDayCounterYearFraction(DayCounter,R237,S237,,,Trigger)</f>
        <v>0.50136986301369868</v>
      </c>
      <c r="U237" s="423">
        <f>_xll.qlInterpolationInterpolate(B6Minterpolation,R237,TRUE)</f>
        <v>2.9706854619218851E-3</v>
      </c>
      <c r="V237" s="345">
        <f>_xll.qlYieldTSDiscount(Discounting,R237,,AllTriggers)</f>
        <v>0.9953030401389279</v>
      </c>
      <c r="W237" s="345">
        <f>_xll.qlYieldTSDiscount(Discounting,S237,,AllTriggers)</f>
        <v>0.99153122341687017</v>
      </c>
      <c r="X237" s="32">
        <f t="shared" si="14"/>
        <v>7.5872773807884814E-3</v>
      </c>
      <c r="Y237" s="451">
        <f t="shared" si="15"/>
        <v>1.4826681664701486E-3</v>
      </c>
    </row>
    <row r="238" spans="18:25" x14ac:dyDescent="0.2">
      <c r="R238" s="422">
        <f>_xll.qlCalendarAdvance(Calendar,R237,"1D","f")</f>
        <v>42465</v>
      </c>
      <c r="S238" s="448">
        <f>_xll.qlCalendarAdvance(Calendar,R238,$F$1,"mf",,Trigger)</f>
        <v>42648</v>
      </c>
      <c r="T238" s="449">
        <f>_xll.qlDayCounterYearFraction(DayCounter,R238,S238,,,Trigger)</f>
        <v>0.50136986301369868</v>
      </c>
      <c r="U238" s="423">
        <f>_xll.qlInterpolationInterpolate(B6Minterpolation,R238,TRUE)</f>
        <v>2.9718930636085314E-3</v>
      </c>
      <c r="V238" s="345">
        <f>_xll.qlYieldTSDiscount(Discounting,R238,,AllTriggers)</f>
        <v>0.99528563031187101</v>
      </c>
      <c r="W238" s="345">
        <f>_xll.qlYieldTSDiscount(Discounting,S238,,AllTriggers)</f>
        <v>0.99150721919849949</v>
      </c>
      <c r="X238" s="32">
        <f t="shared" si="14"/>
        <v>7.6007264753660611E-3</v>
      </c>
      <c r="Y238" s="451">
        <f t="shared" si="15"/>
        <v>1.4832604770199059E-3</v>
      </c>
    </row>
    <row r="239" spans="18:25" x14ac:dyDescent="0.2">
      <c r="R239" s="422">
        <f>_xll.qlCalendarAdvance(Calendar,R238,"1D","f")</f>
        <v>42466</v>
      </c>
      <c r="S239" s="448">
        <f>_xll.qlCalendarAdvance(Calendar,R239,$F$1,"mf",,Trigger)</f>
        <v>42649</v>
      </c>
      <c r="T239" s="449">
        <f>_xll.qlDayCounterYearFraction(DayCounter,R239,S239,,,Trigger)</f>
        <v>0.50136986301369868</v>
      </c>
      <c r="U239" s="423">
        <f>_xll.qlInterpolationInterpolate(B6Minterpolation,R239,TRUE)</f>
        <v>2.9730948508031644E-3</v>
      </c>
      <c r="V239" s="345">
        <f>_xll.qlYieldTSDiscount(Discounting,R239,,AllTriggers)</f>
        <v>0.99526822298915285</v>
      </c>
      <c r="W239" s="345">
        <f>_xll.qlYieldTSDiscount(Discounting,S239,,AllTriggers)</f>
        <v>0.99148318073902131</v>
      </c>
      <c r="X239" s="32">
        <f t="shared" si="14"/>
        <v>7.6142504037754622E-3</v>
      </c>
      <c r="Y239" s="451">
        <f t="shared" si="15"/>
        <v>1.483849824022869E-3</v>
      </c>
    </row>
    <row r="240" spans="18:25" x14ac:dyDescent="0.2">
      <c r="R240" s="422">
        <f>_xll.qlCalendarAdvance(Calendar,R239,"1D","f")</f>
        <v>42467</v>
      </c>
      <c r="S240" s="448">
        <f>_xll.qlCalendarAdvance(Calendar,R240,$F$1,"mf",,Trigger)</f>
        <v>42650</v>
      </c>
      <c r="T240" s="449">
        <f>_xll.qlDayCounterYearFraction(DayCounter,R240,S240,,,Trigger)</f>
        <v>0.50136986301369868</v>
      </c>
      <c r="U240" s="423">
        <f>_xll.qlInterpolationInterpolate(B6Minterpolation,R240,TRUE)</f>
        <v>2.9742910657762842E-3</v>
      </c>
      <c r="V240" s="345">
        <f>_xll.qlYieldTSDiscount(Discounting,R240,,AllTriggers)</f>
        <v>0.99525081619990807</v>
      </c>
      <c r="W240" s="345">
        <f>_xll.qlYieldTSDiscount(Discounting,S240,,AllTriggers)</f>
        <v>0.99145910807233972</v>
      </c>
      <c r="X240" s="32">
        <f t="shared" si="14"/>
        <v>7.6278451395705802E-3</v>
      </c>
      <c r="Y240" s="451">
        <f t="shared" si="15"/>
        <v>1.484436331285632E-3</v>
      </c>
    </row>
    <row r="241" spans="18:25" x14ac:dyDescent="0.2">
      <c r="R241" s="422">
        <f>_xll.qlCalendarAdvance(Calendar,R240,"1D","f")</f>
        <v>42468</v>
      </c>
      <c r="S241" s="448">
        <f>_xll.qlCalendarAdvance(Calendar,R241,$F$1,"mf",,Trigger)</f>
        <v>42653</v>
      </c>
      <c r="T241" s="449">
        <f>_xll.qlDayCounterYearFraction(DayCounter,R241,S241,,,Trigger)</f>
        <v>0.50684931506849318</v>
      </c>
      <c r="U241" s="423">
        <f>_xll.qlInterpolationInterpolate(B6Minterpolation,R241,TRUE)</f>
        <v>2.9754819507983917E-3</v>
      </c>
      <c r="V241" s="345">
        <f>_xll.qlYieldTSDiscount(Discounting,R241,,AllTriggers)</f>
        <v>0.99523340797340898</v>
      </c>
      <c r="W241" s="345">
        <f>_xll.qlYieldTSDiscount(Discounting,S241,,AllTriggers)</f>
        <v>0.99138668516812078</v>
      </c>
      <c r="X241" s="32">
        <f t="shared" si="14"/>
        <v>7.6554186604447533E-3</v>
      </c>
      <c r="Y241" s="451">
        <f t="shared" si="15"/>
        <v>1.5011645688244866E-3</v>
      </c>
    </row>
    <row r="242" spans="18:25" x14ac:dyDescent="0.2">
      <c r="R242" s="422">
        <f>_xll.qlCalendarAdvance(Calendar,R241,"1D","f")</f>
        <v>42471</v>
      </c>
      <c r="S242" s="448">
        <f>_xll.qlCalendarAdvance(Calendar,R242,$F$1,"mf",,Trigger)</f>
        <v>42654</v>
      </c>
      <c r="T242" s="449">
        <f>_xll.qlDayCounterYearFraction(DayCounter,R242,S242,,,Trigger)</f>
        <v>0.50136986301369868</v>
      </c>
      <c r="U242" s="423">
        <f>_xll.qlInterpolationInterpolate(B6Minterpolation,R242,TRUE)</f>
        <v>2.9790250488636455E-3</v>
      </c>
      <c r="V242" s="345">
        <f>_xll.qlYieldTSDiscount(Discounting,R242,,AllTriggers)</f>
        <v>0.99518115496517767</v>
      </c>
      <c r="W242" s="345">
        <f>_xll.qlYieldTSDiscount(Discounting,S242,,AllTriggers)</f>
        <v>0.99136247601167427</v>
      </c>
      <c r="X242" s="32">
        <f t="shared" si="14"/>
        <v>7.6828516241023818E-3</v>
      </c>
      <c r="Y242" s="451">
        <f t="shared" si="15"/>
        <v>1.4867564391389666E-3</v>
      </c>
    </row>
    <row r="243" spans="18:25" x14ac:dyDescent="0.2">
      <c r="R243" s="422">
        <f>_xll.qlCalendarAdvance(Calendar,R242,"1D","f")</f>
        <v>42472</v>
      </c>
      <c r="S243" s="448">
        <f>_xll.qlCalendarAdvance(Calendar,R243,$F$1,"mf",,Trigger)</f>
        <v>42655</v>
      </c>
      <c r="T243" s="449">
        <f>_xll.qlDayCounterYearFraction(DayCounter,R243,S243,,,Trigger)</f>
        <v>0.50136986301369868</v>
      </c>
      <c r="U243" s="423">
        <f>_xll.qlInterpolationInterpolate(B6Minterpolation,R243,TRUE)</f>
        <v>2.9801970367867095E-3</v>
      </c>
      <c r="V243" s="345">
        <f>_xll.qlYieldTSDiscount(Discounting,R243,,AllTriggers)</f>
        <v>0.99516372128514341</v>
      </c>
      <c r="W243" s="345">
        <f>_xll.qlYieldTSDiscount(Discounting,S243,,AllTriggers)</f>
        <v>0.99133823281755118</v>
      </c>
      <c r="X243" s="32">
        <f t="shared" si="14"/>
        <v>7.6967399965321669E-3</v>
      </c>
      <c r="Y243" s="451">
        <f t="shared" si="15"/>
        <v>1.4873306048665447E-3</v>
      </c>
    </row>
    <row r="244" spans="18:25" x14ac:dyDescent="0.2">
      <c r="R244" s="422">
        <f>_xll.qlCalendarAdvance(Calendar,R243,"1D","f")</f>
        <v>42473</v>
      </c>
      <c r="S244" s="448">
        <f>_xll.qlCalendarAdvance(Calendar,R244,$F$1,"mf",,Trigger)</f>
        <v>42656</v>
      </c>
      <c r="T244" s="449">
        <f>_xll.qlDayCounterYearFraction(DayCounter,R244,S244,,,Trigger)</f>
        <v>0.50136986301369868</v>
      </c>
      <c r="U244" s="423">
        <f>_xll.qlInterpolationInterpolate(B6Minterpolation,R244,TRUE)</f>
        <v>2.9813649061112635E-3</v>
      </c>
      <c r="V244" s="345">
        <f>_xll.qlYieldTSDiscount(Discounting,R244,,AllTriggers)</f>
        <v>0.9951462763162866</v>
      </c>
      <c r="W244" s="345">
        <f>_xll.qlYieldTSDiscount(Discounting,S244,,AllTriggers)</f>
        <v>0.99131395561965818</v>
      </c>
      <c r="X244" s="32">
        <f t="shared" si="14"/>
        <v>7.7106750154929795E-3</v>
      </c>
      <c r="Y244" s="451">
        <f t="shared" si="15"/>
        <v>1.4879026737304366E-3</v>
      </c>
    </row>
    <row r="245" spans="18:25" x14ac:dyDescent="0.2">
      <c r="R245" s="422">
        <f>_xll.qlCalendarAdvance(Calendar,R244,"1D","f")</f>
        <v>42474</v>
      </c>
      <c r="S245" s="448">
        <f>_xll.qlCalendarAdvance(Calendar,R245,$F$1,"mf",,Trigger)</f>
        <v>42657</v>
      </c>
      <c r="T245" s="449">
        <f>_xll.qlDayCounterYearFraction(DayCounter,R245,S245,,,Trigger)</f>
        <v>0.50136986301369868</v>
      </c>
      <c r="U245" s="423">
        <f>_xll.qlInterpolationInterpolate(B6Minterpolation,R245,TRUE)</f>
        <v>2.9825288991078081E-3</v>
      </c>
      <c r="V245" s="345">
        <f>_xll.qlYieldTSDiscount(Discounting,R245,,AllTriggers)</f>
        <v>0.99512881808870823</v>
      </c>
      <c r="W245" s="345">
        <f>_xll.qlYieldTSDiscount(Discounting,S245,,AllTriggers)</f>
        <v>0.99128964445190237</v>
      </c>
      <c r="X245" s="32">
        <f t="shared" si="14"/>
        <v>7.724652653800442E-3</v>
      </c>
      <c r="Y245" s="451">
        <f t="shared" si="15"/>
        <v>1.4884727695481772E-3</v>
      </c>
    </row>
    <row r="246" spans="18:25" x14ac:dyDescent="0.2">
      <c r="R246" s="422">
        <f>_xll.qlCalendarAdvance(Calendar,R245,"1D","f")</f>
        <v>42475</v>
      </c>
      <c r="S246" s="448">
        <f>_xll.qlCalendarAdvance(Calendar,R246,$F$1,"mf",,Trigger)</f>
        <v>42660</v>
      </c>
      <c r="T246" s="449">
        <f>_xll.qlDayCounterYearFraction(DayCounter,R246,S246,,,Trigger)</f>
        <v>0.50684931506849318</v>
      </c>
      <c r="U246" s="423">
        <f>_xll.qlInterpolationInterpolate(B6Minterpolation,R246,TRUE)</f>
        <v>2.983689258046845E-3</v>
      </c>
      <c r="V246" s="345">
        <f>_xll.qlYieldTSDiscount(Discounting,R246,,AllTriggers)</f>
        <v>0.99511134463264839</v>
      </c>
      <c r="W246" s="345">
        <f>_xll.qlYieldTSDiscount(Discounting,S246,,AllTriggers)</f>
        <v>0.9912165074685364</v>
      </c>
      <c r="X246" s="32">
        <f t="shared" si="14"/>
        <v>7.75250250679214E-3</v>
      </c>
      <c r="Y246" s="451">
        <f t="shared" si="15"/>
        <v>1.5052284081704683E-3</v>
      </c>
    </row>
    <row r="247" spans="18:25" x14ac:dyDescent="0.2">
      <c r="R247" s="422">
        <f>_xll.qlCalendarAdvance(Calendar,R246,"1D","f")</f>
        <v>42478</v>
      </c>
      <c r="S247" s="448">
        <f>_xll.qlCalendarAdvance(Calendar,R247,$F$1,"mf",,Trigger)</f>
        <v>42661</v>
      </c>
      <c r="T247" s="449">
        <f>_xll.qlDayCounterYearFraction(DayCounter,R247,S247,,,Trigger)</f>
        <v>0.50136986301369868</v>
      </c>
      <c r="U247" s="423">
        <f>_xll.qlInterpolationInterpolate(B6Minterpolation,R247,TRUE)</f>
        <v>2.9871509532239096E-3</v>
      </c>
      <c r="V247" s="345">
        <f>_xll.qlYieldTSDiscount(Discounting,R247,,AllTriggers)</f>
        <v>0.99505881319806688</v>
      </c>
      <c r="W247" s="345">
        <f>_xll.qlYieldTSDiscount(Discounting,S247,,AllTriggers)</f>
        <v>0.99119206076040944</v>
      </c>
      <c r="X247" s="32">
        <f t="shared" si="14"/>
        <v>7.7809088529792259E-3</v>
      </c>
      <c r="Y247" s="451">
        <f t="shared" si="15"/>
        <v>1.4907358987463939E-3</v>
      </c>
    </row>
    <row r="248" spans="18:25" x14ac:dyDescent="0.2">
      <c r="R248" s="422">
        <f>_xll.qlCalendarAdvance(Calendar,R247,"1D","f")</f>
        <v>42479</v>
      </c>
      <c r="S248" s="448">
        <f>_xll.qlCalendarAdvance(Calendar,R248,$F$1,"mf",,Trigger)</f>
        <v>42662</v>
      </c>
      <c r="T248" s="449">
        <f>_xll.qlDayCounterYearFraction(DayCounter,R248,S248,,,Trigger)</f>
        <v>0.50136986301369868</v>
      </c>
      <c r="U248" s="423">
        <f>_xll.qlInterpolationInterpolate(B6Minterpolation,R248,TRUE)</f>
        <v>2.988299198637918E-3</v>
      </c>
      <c r="V248" s="345">
        <f>_xll.qlYieldTSDiscount(Discounting,R248,,AllTriggers)</f>
        <v>0.99504125913326635</v>
      </c>
      <c r="W248" s="345">
        <f>_xll.qlYieldTSDiscount(Discounting,S248,,AllTriggers)</f>
        <v>0.9911675802519615</v>
      </c>
      <c r="X248" s="32">
        <f t="shared" si="14"/>
        <v>7.7950391764078824E-3</v>
      </c>
      <c r="Y248" s="451">
        <f t="shared" si="15"/>
        <v>1.491297986634503E-3</v>
      </c>
    </row>
    <row r="249" spans="18:25" x14ac:dyDescent="0.2">
      <c r="R249" s="422">
        <f>_xll.qlCalendarAdvance(Calendar,R248,"1D","f")</f>
        <v>42480</v>
      </c>
      <c r="S249" s="448">
        <f>_xll.qlCalendarAdvance(Calendar,R249,$F$1,"mf",,Trigger)</f>
        <v>42663</v>
      </c>
      <c r="T249" s="449">
        <f>_xll.qlDayCounterYearFraction(DayCounter,R249,S249,,,Trigger)</f>
        <v>0.50136986301369868</v>
      </c>
      <c r="U249" s="423">
        <f>_xll.qlInterpolationInterpolate(B6Minterpolation,R249,TRUE)</f>
        <v>2.9894450213469206E-3</v>
      </c>
      <c r="V249" s="345">
        <f>_xll.qlYieldTSDiscount(Discounting,R249,,AllTriggers)</f>
        <v>0.99502367999327679</v>
      </c>
      <c r="W249" s="345">
        <f>_xll.qlYieldTSDiscount(Discounting,S249,,AllTriggers)</f>
        <v>0.99114306597710211</v>
      </c>
      <c r="X249" s="32">
        <f t="shared" si="14"/>
        <v>7.8091879537562497E-3</v>
      </c>
      <c r="Y249" s="451">
        <f t="shared" si="15"/>
        <v>1.4918588444041622E-3</v>
      </c>
    </row>
    <row r="250" spans="18:25" x14ac:dyDescent="0.2">
      <c r="R250" s="422">
        <f>_xll.qlCalendarAdvance(Calendar,R249,"1D","f")</f>
        <v>42481</v>
      </c>
      <c r="S250" s="448">
        <f>_xll.qlCalendarAdvance(Calendar,R250,$F$1,"mf",,Trigger)</f>
        <v>42664</v>
      </c>
      <c r="T250" s="449">
        <f>_xll.qlDayCounterYearFraction(DayCounter,R250,S250,,,Trigger)</f>
        <v>0.50136986301369868</v>
      </c>
      <c r="U250" s="423">
        <f>_xll.qlInterpolationInterpolate(B6Minterpolation,R250,TRUE)</f>
        <v>2.9905886636214184E-3</v>
      </c>
      <c r="V250" s="345">
        <f>_xll.qlYieldTSDiscount(Discounting,R250,,AllTriggers)</f>
        <v>0.99500607380917794</v>
      </c>
      <c r="W250" s="345">
        <f>_xll.qlYieldTSDiscount(Discounting,S250,,AllTriggers)</f>
        <v>0.99111851796974104</v>
      </c>
      <c r="X250" s="32">
        <f t="shared" si="14"/>
        <v>7.8233511570591583E-3</v>
      </c>
      <c r="Y250" s="451">
        <f t="shared" si="15"/>
        <v>1.4924185958804228E-3</v>
      </c>
    </row>
    <row r="251" spans="18:25" x14ac:dyDescent="0.2">
      <c r="R251" s="422">
        <f>_xll.qlCalendarAdvance(Calendar,R250,"1D","f")</f>
        <v>42482</v>
      </c>
      <c r="S251" s="448">
        <f>_xll.qlCalendarAdvance(Calendar,R251,$F$1,"mf",,Trigger)</f>
        <v>42667</v>
      </c>
      <c r="T251" s="449">
        <f>_xll.qlDayCounterYearFraction(DayCounter,R251,S251,,,Trigger)</f>
        <v>0.50684931506849318</v>
      </c>
      <c r="U251" s="423">
        <f>_xll.qlInterpolationInterpolate(B6Minterpolation,R251,TRUE)</f>
        <v>2.9917303677319115E-3</v>
      </c>
      <c r="V251" s="345">
        <f>_xll.qlYieldTSDiscount(Discounting,R251,,AllTriggers)</f>
        <v>0.994988438612191</v>
      </c>
      <c r="W251" s="345">
        <f>_xll.qlYieldTSDiscount(Discounting,S251,,AllTriggers)</f>
        <v>0.99104467189175138</v>
      </c>
      <c r="X251" s="32">
        <f t="shared" si="14"/>
        <v>7.8512557221914209E-3</v>
      </c>
      <c r="Y251" s="451">
        <f t="shared" si="15"/>
        <v>1.5092067849315465E-3</v>
      </c>
    </row>
    <row r="252" spans="18:25" x14ac:dyDescent="0.2">
      <c r="R252" s="422">
        <f>_xll.qlCalendarAdvance(Calendar,R251,"1D","f")</f>
        <v>42485</v>
      </c>
      <c r="S252" s="448">
        <f>_xll.qlCalendarAdvance(Calendar,R252,$F$1,"mf",,Trigger)</f>
        <v>42668</v>
      </c>
      <c r="T252" s="449">
        <f>_xll.qlDayCounterYearFraction(DayCounter,R252,S252,,,Trigger)</f>
        <v>0.50136986301369868</v>
      </c>
      <c r="U252" s="423">
        <f>_xll.qlInterpolationInterpolate(B6Minterpolation,R252,TRUE)</f>
        <v>2.9951462737843695E-3</v>
      </c>
      <c r="V252" s="345">
        <f>_xll.qlYieldTSDiscount(Discounting,R252,,AllTriggers)</f>
        <v>0.99493533925825151</v>
      </c>
      <c r="W252" s="345">
        <f>_xll.qlYieldTSDiscount(Discounting,S252,,AllTriggers)</f>
        <v>0.99101998929348867</v>
      </c>
      <c r="X252" s="32">
        <f t="shared" si="14"/>
        <v>7.8800676665406813E-3</v>
      </c>
      <c r="Y252" s="451">
        <f t="shared" si="15"/>
        <v>1.4946490153697283E-3</v>
      </c>
    </row>
    <row r="253" spans="18:25" x14ac:dyDescent="0.2">
      <c r="R253" s="422">
        <f>_xll.qlCalendarAdvance(Calendar,R252,"1D","f")</f>
        <v>42486</v>
      </c>
      <c r="S253" s="448">
        <f>_xll.qlCalendarAdvance(Calendar,R253,$F$1,"mf",,Trigger)</f>
        <v>42669</v>
      </c>
      <c r="T253" s="449">
        <f>_xll.qlDayCounterYearFraction(DayCounter,R253,S253,,,Trigger)</f>
        <v>0.50136986301369868</v>
      </c>
      <c r="U253" s="423">
        <f>_xll.qlInterpolationInterpolate(B6Minterpolation,R253,TRUE)</f>
        <v>2.9962826479438503E-3</v>
      </c>
      <c r="V253" s="345">
        <f>_xll.qlYieldTSDiscount(Discounting,R253,,AllTriggers)</f>
        <v>0.99491756832477773</v>
      </c>
      <c r="W253" s="345">
        <f>_xll.qlYieldTSDiscount(Discounting,S253,,AllTriggers)</f>
        <v>0.99099527313227831</v>
      </c>
      <c r="X253" s="32">
        <f t="shared" si="14"/>
        <v>7.894242576161746E-3</v>
      </c>
      <c r="Y253" s="451">
        <f t="shared" si="15"/>
        <v>1.4952050927762204E-3</v>
      </c>
    </row>
    <row r="254" spans="18:25" x14ac:dyDescent="0.2">
      <c r="R254" s="422">
        <f>_xll.qlCalendarAdvance(Calendar,R253,"1D","f")</f>
        <v>42487</v>
      </c>
      <c r="S254" s="448">
        <f>_xll.qlCalendarAdvance(Calendar,R254,$F$1,"mf",,Trigger)</f>
        <v>42670</v>
      </c>
      <c r="T254" s="449">
        <f>_xll.qlDayCounterYearFraction(DayCounter,R254,S254,,,Trigger)</f>
        <v>0.50136986301369868</v>
      </c>
      <c r="U254" s="423">
        <f>_xll.qlInterpolationInterpolate(B6Minterpolation,R254,TRUE)</f>
        <v>2.9974182952918296E-3</v>
      </c>
      <c r="V254" s="345">
        <f>_xll.qlYieldTSDiscount(Discounting,R254,,AllTriggers)</f>
        <v>0.99489975853666679</v>
      </c>
      <c r="W254" s="345">
        <f>_xll.qlYieldTSDiscount(Discounting,S254,,AllTriggers)</f>
        <v>0.99097052344203196</v>
      </c>
      <c r="X254" s="32">
        <f t="shared" si="14"/>
        <v>7.9084077415574675E-3</v>
      </c>
      <c r="Y254" s="451">
        <f t="shared" si="15"/>
        <v>1.4957608068545949E-3</v>
      </c>
    </row>
    <row r="255" spans="18:25" x14ac:dyDescent="0.2">
      <c r="R255" s="422">
        <f>_xll.qlCalendarAdvance(Calendar,R254,"1D","f")</f>
        <v>42488</v>
      </c>
      <c r="S255" s="448">
        <f>_xll.qlCalendarAdvance(Calendar,R255,$F$1,"mf",,Trigger)</f>
        <v>42671</v>
      </c>
      <c r="T255" s="449">
        <f>_xll.qlDayCounterYearFraction(DayCounter,R255,S255,,,Trigger)</f>
        <v>0.50136986301369868</v>
      </c>
      <c r="U255" s="423">
        <f>_xll.qlInterpolationInterpolate(B6Minterpolation,R255,TRUE)</f>
        <v>2.9985534580988073E-3</v>
      </c>
      <c r="V255" s="345">
        <f>_xll.qlYieldTSDiscount(Discounting,R255,,AllTriggers)</f>
        <v>0.99488190792600251</v>
      </c>
      <c r="W255" s="345">
        <f>_xll.qlYieldTSDiscount(Discounting,S255,,AllTriggers)</f>
        <v>0.9909457402566616</v>
      </c>
      <c r="X255" s="32">
        <f t="shared" si="14"/>
        <v>7.9225591339655028E-3</v>
      </c>
      <c r="Y255" s="451">
        <f t="shared" si="15"/>
        <v>1.4963162814341643E-3</v>
      </c>
    </row>
    <row r="256" spans="18:25" x14ac:dyDescent="0.2">
      <c r="R256" s="422">
        <f>_xll.qlCalendarAdvance(Calendar,R255,"1D","f")</f>
        <v>42489</v>
      </c>
      <c r="S256" s="448">
        <f>_xll.qlCalendarAdvance(Calendar,R256,$F$1,"mf",,Trigger)</f>
        <v>42674</v>
      </c>
      <c r="T256" s="449">
        <f>_xll.qlDayCounterYearFraction(DayCounter,R256,S256,,,Trigger)</f>
        <v>0.50684931506849318</v>
      </c>
      <c r="U256" s="423">
        <f>_xll.qlInterpolationInterpolate(B6Minterpolation,R256,TRUE)</f>
        <v>2.9996883786352849E-3</v>
      </c>
      <c r="V256" s="345">
        <f>_xll.qlYieldTSDiscount(Discounting,R256,,AllTriggers)</f>
        <v>0.99486401452501472</v>
      </c>
      <c r="W256" s="345">
        <f>_xll.qlYieldTSDiscount(Discounting,S256,,AllTriggers)</f>
        <v>0.99087119006892999</v>
      </c>
      <c r="X256" s="32">
        <f t="shared" si="14"/>
        <v>7.9503116213647165E-3</v>
      </c>
      <c r="Y256" s="451">
        <f t="shared" si="15"/>
        <v>1.5131426320759082E-3</v>
      </c>
    </row>
    <row r="257" spans="18:25" x14ac:dyDescent="0.2">
      <c r="R257" s="422">
        <f>_xll.qlCalendarAdvance(Calendar,R256,"1D","f")</f>
        <v>42493</v>
      </c>
      <c r="S257" s="448">
        <f>_xll.qlCalendarAdvance(Calendar,R257,$F$1,"mf",,Trigger)</f>
        <v>42677</v>
      </c>
      <c r="T257" s="449">
        <f>_xll.qlDayCounterYearFraction(DayCounter,R257,S257,,,Trigger)</f>
        <v>0.50410958904109593</v>
      </c>
      <c r="U257" s="423">
        <f>_xll.qlInterpolationInterpolate(B6Minterpolation,R257,TRUE)</f>
        <v>3.0042304834862E-3</v>
      </c>
      <c r="V257" s="345">
        <f>_xll.qlYieldTSDiscount(Discounting,R257,,AllTriggers)</f>
        <v>0.99479199561661658</v>
      </c>
      <c r="W257" s="345">
        <f>_xll.qlYieldTSDiscount(Discounting,S257,,AllTriggers)</f>
        <v>0.99079633973474379</v>
      </c>
      <c r="X257" s="32">
        <f t="shared" si="14"/>
        <v>7.9997925734929722E-3</v>
      </c>
      <c r="Y257" s="451">
        <f t="shared" si="15"/>
        <v>1.5072419877175233E-3</v>
      </c>
    </row>
    <row r="258" spans="18:25" x14ac:dyDescent="0.2">
      <c r="R258" s="422">
        <f>_xll.qlCalendarAdvance(Calendar,R257,"1D","f")</f>
        <v>42494</v>
      </c>
      <c r="S258" s="448">
        <f>_xll.qlCalendarAdvance(Calendar,R258,$F$1,"mf",,Trigger)</f>
        <v>42678</v>
      </c>
      <c r="T258" s="449">
        <f>_xll.qlDayCounterYearFraction(DayCounter,R258,S258,,,Trigger)</f>
        <v>0.50410958904109593</v>
      </c>
      <c r="U258" s="423">
        <f>_xll.qlInterpolationInterpolate(B6Minterpolation,R258,TRUE)</f>
        <v>3.0053678267276834E-3</v>
      </c>
      <c r="V258" s="345">
        <f>_xll.qlYieldTSDiscount(Discounting,R258,,AllTriggers)</f>
        <v>0.99477387967202047</v>
      </c>
      <c r="W258" s="345">
        <f>_xll.qlYieldTSDiscount(Discounting,S258,,AllTriggers)</f>
        <v>0.99077132315475436</v>
      </c>
      <c r="X258" s="32">
        <f t="shared" si="14"/>
        <v>8.0138108313427426E-3</v>
      </c>
      <c r="Y258" s="451">
        <f t="shared" si="15"/>
        <v>1.5078015658077568E-3</v>
      </c>
    </row>
    <row r="259" spans="18:25" x14ac:dyDescent="0.2">
      <c r="R259" s="422">
        <f>_xll.qlCalendarAdvance(Calendar,R258,"1D","f")</f>
        <v>42495</v>
      </c>
      <c r="S259" s="448">
        <f>_xll.qlCalendarAdvance(Calendar,R259,$F$1,"mf",,Trigger)</f>
        <v>42681</v>
      </c>
      <c r="T259" s="449">
        <f>_xll.qlDayCounterYearFraction(DayCounter,R259,S259,,,Trigger)</f>
        <v>0.50958904109589043</v>
      </c>
      <c r="U259" s="423">
        <f>_xll.qlInterpolationInterpolate(B6Minterpolation,R259,TRUE)</f>
        <v>3.0065063813216691E-3</v>
      </c>
      <c r="V259" s="345">
        <f>_xll.qlYieldTSDiscount(Discounting,R259,,AllTriggers)</f>
        <v>0.99475571942106411</v>
      </c>
      <c r="W259" s="345">
        <f>_xll.qlYieldTSDiscount(Discounting,S259,,AllTriggers)</f>
        <v>0.99069607476000865</v>
      </c>
      <c r="X259" s="32">
        <f t="shared" si="14"/>
        <v>8.0413228629042845E-3</v>
      </c>
      <c r="Y259" s="451">
        <f t="shared" si="15"/>
        <v>1.524667306533777E-3</v>
      </c>
    </row>
    <row r="260" spans="18:25" x14ac:dyDescent="0.2">
      <c r="R260" s="422">
        <f>_xll.qlCalendarAdvance(Calendar,R259,"1D","f")</f>
        <v>42496</v>
      </c>
      <c r="S260" s="448">
        <f>_xll.qlCalendarAdvance(Calendar,R260,$F$1,"mf",,Trigger)</f>
        <v>42681</v>
      </c>
      <c r="T260" s="449">
        <f>_xll.qlDayCounterYearFraction(DayCounter,R260,S260,,,Trigger)</f>
        <v>0.50684931506849318</v>
      </c>
      <c r="U260" s="423">
        <f>_xll.qlInterpolationInterpolate(B6Minterpolation,R260,TRUE)</f>
        <v>3.0076463895386584E-3</v>
      </c>
      <c r="V260" s="345">
        <f>_xll.qlYieldTSDiscount(Discounting,R260,,AllTriggers)</f>
        <v>0.99473751495406593</v>
      </c>
      <c r="W260" s="345">
        <f>_xll.qlYieldTSDiscount(Discounting,S260,,AllTriggers)</f>
        <v>0.99069607476000865</v>
      </c>
      <c r="X260" s="32">
        <f t="shared" ref="X260:X262" si="16">(V260/W260-1)/T260</f>
        <v>8.0485352449721353E-3</v>
      </c>
      <c r="Y260" s="451">
        <f t="shared" ref="Y260:Y262" si="17">LN((1+(U260+X260)*T260)/(1+X260*T260))</f>
        <v>1.5170787070063021E-3</v>
      </c>
    </row>
    <row r="261" spans="18:25" x14ac:dyDescent="0.2">
      <c r="R261" s="422">
        <f>_xll.qlCalendarAdvance(Calendar,R260,"1D","f")</f>
        <v>42499</v>
      </c>
      <c r="S261" s="448">
        <f>_xll.qlCalendarAdvance(Calendar,R261,$F$1,"mf",,Trigger)</f>
        <v>42683</v>
      </c>
      <c r="T261" s="449">
        <f>_xll.qlDayCounterYearFraction(DayCounter,R261,S261,,,Trigger)</f>
        <v>0.50410958904109593</v>
      </c>
      <c r="U261" s="423">
        <f>_xll.qlInterpolationInterpolate(B6Minterpolation,R261,TRUE)</f>
        <v>3.0110775586326519E-3</v>
      </c>
      <c r="V261" s="345">
        <f>_xll.qlYieldTSDiscount(Discounting,R261,,AllTriggers)</f>
        <v>0.99468263715999672</v>
      </c>
      <c r="W261" s="345">
        <f>_xll.qlYieldTSDiscount(Discounting,S261,,AllTriggers)</f>
        <v>0.99064574415425422</v>
      </c>
      <c r="X261" s="32">
        <f t="shared" si="16"/>
        <v>8.0835830073838644E-3</v>
      </c>
      <c r="Y261" s="451">
        <f t="shared" si="17"/>
        <v>1.510611113154012E-3</v>
      </c>
    </row>
    <row r="262" spans="18:25" ht="12" thickBot="1" x14ac:dyDescent="0.25">
      <c r="R262" s="422">
        <f>_xll.qlCalendarAdvance(Calendar,R261,"1D","f")</f>
        <v>42500</v>
      </c>
      <c r="S262" s="448">
        <f>_xll.qlCalendarAdvance(Calendar,R262,$F$1,"mf",,Trigger)</f>
        <v>42684</v>
      </c>
      <c r="T262" s="449">
        <f>_xll.qlDayCounterYearFraction(DayCounter,R262,S262,,,Trigger)</f>
        <v>0.50410958904109593</v>
      </c>
      <c r="U262" s="423">
        <f>_xll.qlInterpolationInterpolate(B6Minterpolation,R262,TRUE)</f>
        <v>3.0122258040466603E-3</v>
      </c>
      <c r="V262" s="346">
        <f>_xll.qlYieldTSDiscount(Discounting,R262,,AllTriggers)</f>
        <v>0.99466425673200431</v>
      </c>
      <c r="W262" s="346">
        <f>_xll.qlYieldTSDiscount(Discounting,S262,,AllTriggers)</f>
        <v>0.99062052950950696</v>
      </c>
      <c r="X262" s="224">
        <f t="shared" si="16"/>
        <v>8.0974741294904465E-3</v>
      </c>
      <c r="Y262" s="452">
        <f t="shared" si="17"/>
        <v>1.5111762037732341E-3</v>
      </c>
    </row>
    <row r="263" spans="18:25" x14ac:dyDescent="0.2">
      <c r="R263" s="438"/>
      <c r="S263" s="438"/>
      <c r="T263" s="438"/>
      <c r="U263" s="444"/>
      <c r="V263" s="444"/>
      <c r="W263" s="444"/>
      <c r="X263" s="443"/>
      <c r="Y263" s="443"/>
    </row>
    <row r="264" spans="18:25" x14ac:dyDescent="0.2">
      <c r="R264" s="441"/>
      <c r="S264" s="441"/>
      <c r="T264" s="441"/>
      <c r="U264" s="445"/>
      <c r="V264" s="445"/>
      <c r="W264" s="445"/>
      <c r="X264" s="443"/>
      <c r="Y264" s="443"/>
    </row>
    <row r="265" spans="18:25" x14ac:dyDescent="0.2">
      <c r="R265" s="441"/>
      <c r="S265" s="441"/>
      <c r="T265" s="441"/>
      <c r="U265" s="445"/>
      <c r="V265" s="445"/>
      <c r="W265" s="445"/>
      <c r="X265" s="443"/>
      <c r="Y265" s="443"/>
    </row>
    <row r="266" spans="18:25" x14ac:dyDescent="0.2">
      <c r="R266" s="441"/>
      <c r="S266" s="441"/>
      <c r="T266" s="441"/>
      <c r="U266" s="445"/>
      <c r="V266" s="445"/>
      <c r="W266" s="445"/>
      <c r="X266" s="443"/>
      <c r="Y266" s="443"/>
    </row>
    <row r="267" spans="18:25" x14ac:dyDescent="0.2">
      <c r="R267" s="441"/>
      <c r="S267" s="441"/>
      <c r="T267" s="441"/>
      <c r="U267" s="445"/>
      <c r="V267" s="445"/>
      <c r="W267" s="445"/>
      <c r="X267" s="443"/>
      <c r="Y267" s="443"/>
    </row>
    <row r="268" spans="18:25" x14ac:dyDescent="0.2">
      <c r="R268" s="441"/>
      <c r="S268" s="441"/>
      <c r="T268" s="441"/>
      <c r="U268" s="445"/>
      <c r="V268" s="445"/>
      <c r="W268" s="445"/>
      <c r="X268" s="443"/>
      <c r="Y268" s="443"/>
    </row>
    <row r="269" spans="18:25" x14ac:dyDescent="0.2">
      <c r="R269" s="441"/>
      <c r="S269" s="441"/>
      <c r="T269" s="441"/>
      <c r="U269" s="445"/>
      <c r="V269" s="445"/>
      <c r="W269" s="445"/>
      <c r="X269" s="443"/>
      <c r="Y269" s="443"/>
    </row>
    <row r="270" spans="18:25" x14ac:dyDescent="0.2">
      <c r="R270" s="441"/>
      <c r="S270" s="441"/>
      <c r="T270" s="441"/>
      <c r="U270" s="445"/>
      <c r="V270" s="445"/>
      <c r="W270" s="445"/>
      <c r="X270" s="443"/>
      <c r="Y270" s="443"/>
    </row>
    <row r="271" spans="18:25" x14ac:dyDescent="0.2">
      <c r="R271" s="441"/>
      <c r="S271" s="441"/>
      <c r="T271" s="441"/>
      <c r="U271" s="445"/>
      <c r="V271" s="445"/>
      <c r="W271" s="445"/>
      <c r="X271" s="443"/>
      <c r="Y271" s="443"/>
    </row>
    <row r="272" spans="18:25" x14ac:dyDescent="0.2">
      <c r="R272" s="441"/>
      <c r="S272" s="441"/>
      <c r="T272" s="441"/>
      <c r="U272" s="445"/>
      <c r="V272" s="445"/>
      <c r="W272" s="445"/>
      <c r="X272" s="443"/>
      <c r="Y272" s="443"/>
    </row>
    <row r="273" spans="18:25" x14ac:dyDescent="0.2">
      <c r="R273" s="441"/>
      <c r="S273" s="441"/>
      <c r="T273" s="441"/>
      <c r="U273" s="445"/>
      <c r="V273" s="445"/>
      <c r="W273" s="445"/>
      <c r="X273" s="443"/>
      <c r="Y273" s="443"/>
    </row>
    <row r="274" spans="18:25" x14ac:dyDescent="0.2">
      <c r="R274" s="441"/>
      <c r="S274" s="441"/>
      <c r="T274" s="441"/>
      <c r="U274" s="445"/>
      <c r="V274" s="445"/>
      <c r="W274" s="445"/>
      <c r="X274" s="443"/>
      <c r="Y274" s="443"/>
    </row>
    <row r="275" spans="18:25" x14ac:dyDescent="0.2">
      <c r="R275" s="441"/>
      <c r="S275" s="441"/>
      <c r="T275" s="441"/>
      <c r="U275" s="445"/>
      <c r="V275" s="445"/>
      <c r="W275" s="445"/>
      <c r="X275" s="443"/>
      <c r="Y275" s="443"/>
    </row>
    <row r="276" spans="18:25" x14ac:dyDescent="0.2">
      <c r="R276" s="441"/>
      <c r="S276" s="441"/>
      <c r="T276" s="441"/>
      <c r="U276" s="445"/>
      <c r="V276" s="445"/>
      <c r="W276" s="445"/>
      <c r="X276" s="443"/>
      <c r="Y276" s="443"/>
    </row>
    <row r="277" spans="18:25" x14ac:dyDescent="0.2">
      <c r="R277" s="441"/>
      <c r="S277" s="441"/>
      <c r="T277" s="441"/>
      <c r="U277" s="445"/>
      <c r="V277" s="445"/>
      <c r="W277" s="445"/>
      <c r="X277" s="443"/>
      <c r="Y277" s="443"/>
    </row>
    <row r="278" spans="18:25" x14ac:dyDescent="0.2">
      <c r="R278" s="441"/>
      <c r="S278" s="441"/>
      <c r="T278" s="441"/>
      <c r="U278" s="445"/>
      <c r="V278" s="445"/>
      <c r="W278" s="445"/>
      <c r="X278" s="443"/>
      <c r="Y278" s="443"/>
    </row>
    <row r="279" spans="18:25" x14ac:dyDescent="0.2">
      <c r="R279" s="441"/>
      <c r="S279" s="441"/>
      <c r="T279" s="441"/>
      <c r="U279" s="445"/>
      <c r="V279" s="445"/>
      <c r="W279" s="445"/>
      <c r="X279" s="443"/>
      <c r="Y279" s="443"/>
    </row>
    <row r="280" spans="18:25" x14ac:dyDescent="0.2">
      <c r="R280" s="441"/>
      <c r="S280" s="441"/>
      <c r="T280" s="441"/>
      <c r="U280" s="445"/>
      <c r="V280" s="445"/>
      <c r="W280" s="445"/>
      <c r="X280" s="443"/>
      <c r="Y280" s="443"/>
    </row>
    <row r="281" spans="18:25" x14ac:dyDescent="0.2">
      <c r="R281" s="441"/>
      <c r="S281" s="441"/>
      <c r="T281" s="441"/>
      <c r="U281" s="445"/>
      <c r="V281" s="445"/>
      <c r="W281" s="445"/>
      <c r="X281" s="443"/>
      <c r="Y281" s="443"/>
    </row>
    <row r="282" spans="18:25" x14ac:dyDescent="0.2">
      <c r="R282" s="441"/>
      <c r="S282" s="441"/>
      <c r="T282" s="441"/>
      <c r="U282" s="445"/>
      <c r="V282" s="445"/>
      <c r="W282" s="445"/>
      <c r="X282" s="443"/>
      <c r="Y282" s="443"/>
    </row>
    <row r="283" spans="18:25" x14ac:dyDescent="0.2">
      <c r="R283" s="441"/>
      <c r="S283" s="441"/>
      <c r="T283" s="441"/>
      <c r="U283" s="445"/>
      <c r="V283" s="445"/>
      <c r="W283" s="445"/>
      <c r="X283" s="443"/>
      <c r="Y283" s="443"/>
    </row>
    <row r="284" spans="18:25" x14ac:dyDescent="0.2">
      <c r="R284" s="441"/>
      <c r="S284" s="441"/>
      <c r="T284" s="441"/>
      <c r="U284" s="445"/>
      <c r="V284" s="445"/>
      <c r="W284" s="445"/>
      <c r="X284" s="443"/>
      <c r="Y284" s="443"/>
    </row>
    <row r="285" spans="18:25" x14ac:dyDescent="0.2">
      <c r="R285" s="441"/>
      <c r="S285" s="441"/>
      <c r="T285" s="441"/>
      <c r="U285" s="445"/>
      <c r="V285" s="445"/>
      <c r="W285" s="445"/>
      <c r="X285" s="443"/>
      <c r="Y285" s="443"/>
    </row>
    <row r="286" spans="18:25" x14ac:dyDescent="0.2">
      <c r="R286" s="441"/>
      <c r="S286" s="441"/>
      <c r="T286" s="441"/>
      <c r="U286" s="445"/>
      <c r="V286" s="445"/>
      <c r="W286" s="445"/>
      <c r="X286" s="443"/>
      <c r="Y286" s="443"/>
    </row>
    <row r="287" spans="18:25" x14ac:dyDescent="0.2">
      <c r="R287" s="441"/>
      <c r="S287" s="441"/>
      <c r="T287" s="441"/>
      <c r="U287" s="445"/>
      <c r="V287" s="445"/>
      <c r="W287" s="445"/>
      <c r="X287" s="443"/>
      <c r="Y287" s="443"/>
    </row>
    <row r="288" spans="18:25" x14ac:dyDescent="0.2">
      <c r="R288" s="441"/>
      <c r="S288" s="441"/>
      <c r="T288" s="441"/>
      <c r="U288" s="445"/>
      <c r="V288" s="445"/>
      <c r="W288" s="445"/>
      <c r="X288" s="443"/>
      <c r="Y288" s="443"/>
    </row>
    <row r="289" spans="18:25" x14ac:dyDescent="0.2">
      <c r="R289" s="441"/>
      <c r="S289" s="441"/>
      <c r="T289" s="441"/>
      <c r="U289" s="445"/>
      <c r="V289" s="445"/>
      <c r="W289" s="445"/>
      <c r="X289" s="443"/>
      <c r="Y289" s="443"/>
    </row>
    <row r="290" spans="18:25" x14ac:dyDescent="0.2">
      <c r="R290" s="441"/>
      <c r="S290" s="441"/>
      <c r="T290" s="441"/>
      <c r="U290" s="445"/>
      <c r="V290" s="445"/>
      <c r="W290" s="445"/>
      <c r="X290" s="443"/>
      <c r="Y290" s="443"/>
    </row>
    <row r="291" spans="18:25" x14ac:dyDescent="0.2">
      <c r="R291" s="441"/>
      <c r="S291" s="441"/>
      <c r="T291" s="441"/>
      <c r="U291" s="445"/>
      <c r="V291" s="445"/>
      <c r="W291" s="445"/>
      <c r="X291" s="443"/>
      <c r="Y291" s="443"/>
    </row>
    <row r="292" spans="18:25" x14ac:dyDescent="0.2">
      <c r="R292" s="441"/>
      <c r="S292" s="441"/>
      <c r="T292" s="441"/>
      <c r="U292" s="445"/>
      <c r="V292" s="445"/>
      <c r="W292" s="445"/>
      <c r="X292" s="443"/>
      <c r="Y292" s="443"/>
    </row>
    <row r="293" spans="18:25" x14ac:dyDescent="0.2">
      <c r="R293" s="441"/>
      <c r="S293" s="441"/>
      <c r="T293" s="441"/>
      <c r="U293" s="445"/>
      <c r="V293" s="445"/>
      <c r="W293" s="445"/>
      <c r="X293" s="443"/>
      <c r="Y293" s="443"/>
    </row>
    <row r="294" spans="18:25" x14ac:dyDescent="0.2">
      <c r="R294" s="441"/>
      <c r="S294" s="441"/>
      <c r="T294" s="441"/>
      <c r="U294" s="445"/>
      <c r="V294" s="445"/>
      <c r="W294" s="445"/>
      <c r="X294" s="443"/>
      <c r="Y294" s="443"/>
    </row>
    <row r="295" spans="18:25" x14ac:dyDescent="0.2">
      <c r="R295" s="441"/>
      <c r="S295" s="441"/>
      <c r="T295" s="441"/>
      <c r="U295" s="445"/>
      <c r="V295" s="445"/>
      <c r="W295" s="445"/>
      <c r="X295" s="443"/>
      <c r="Y295" s="443"/>
    </row>
    <row r="296" spans="18:25" x14ac:dyDescent="0.2">
      <c r="R296" s="441"/>
      <c r="S296" s="441"/>
      <c r="T296" s="441"/>
      <c r="U296" s="445"/>
      <c r="V296" s="445"/>
      <c r="W296" s="445"/>
      <c r="X296" s="443"/>
      <c r="Y296" s="443"/>
    </row>
    <row r="297" spans="18:25" x14ac:dyDescent="0.2">
      <c r="R297" s="441"/>
      <c r="S297" s="441"/>
      <c r="T297" s="441"/>
      <c r="U297" s="445"/>
      <c r="V297" s="445"/>
      <c r="W297" s="445"/>
      <c r="X297" s="443"/>
      <c r="Y297" s="443"/>
    </row>
    <row r="298" spans="18:25" x14ac:dyDescent="0.2">
      <c r="R298" s="441"/>
      <c r="S298" s="441"/>
      <c r="T298" s="441"/>
      <c r="U298" s="445"/>
      <c r="V298" s="445"/>
      <c r="W298" s="445"/>
      <c r="X298" s="443"/>
      <c r="Y298" s="443"/>
    </row>
    <row r="299" spans="18:25" x14ac:dyDescent="0.2">
      <c r="R299" s="441"/>
      <c r="S299" s="441"/>
      <c r="T299" s="441"/>
      <c r="U299" s="445"/>
      <c r="V299" s="445"/>
      <c r="W299" s="445"/>
      <c r="X299" s="443"/>
      <c r="Y299" s="443"/>
    </row>
    <row r="300" spans="18:25" x14ac:dyDescent="0.2">
      <c r="R300" s="441"/>
      <c r="S300" s="441"/>
      <c r="T300" s="441"/>
      <c r="U300" s="445"/>
      <c r="V300" s="445"/>
      <c r="W300" s="445"/>
      <c r="X300" s="443"/>
      <c r="Y300" s="443"/>
    </row>
    <row r="301" spans="18:25" x14ac:dyDescent="0.2">
      <c r="R301" s="441"/>
      <c r="S301" s="441"/>
      <c r="T301" s="441"/>
      <c r="U301" s="445"/>
      <c r="V301" s="445"/>
      <c r="W301" s="445"/>
      <c r="X301" s="443"/>
      <c r="Y301" s="443"/>
    </row>
    <row r="302" spans="18:25" x14ac:dyDescent="0.2">
      <c r="R302" s="441"/>
      <c r="S302" s="441"/>
      <c r="T302" s="441"/>
      <c r="U302" s="445"/>
      <c r="V302" s="445"/>
      <c r="W302" s="445"/>
      <c r="X302" s="443"/>
      <c r="Y302" s="443"/>
    </row>
    <row r="303" spans="18:25" x14ac:dyDescent="0.2">
      <c r="R303" s="441"/>
      <c r="S303" s="441"/>
      <c r="T303" s="441"/>
      <c r="U303" s="445"/>
      <c r="V303" s="445"/>
      <c r="W303" s="445"/>
      <c r="X303" s="443"/>
      <c r="Y303" s="443"/>
    </row>
    <row r="304" spans="18:25" x14ac:dyDescent="0.2">
      <c r="R304" s="441"/>
      <c r="S304" s="441"/>
      <c r="T304" s="441"/>
      <c r="U304" s="445"/>
      <c r="V304" s="445"/>
      <c r="W304" s="445"/>
      <c r="X304" s="443"/>
      <c r="Y304" s="443"/>
    </row>
    <row r="305" spans="18:25" x14ac:dyDescent="0.2">
      <c r="R305" s="441"/>
      <c r="S305" s="441"/>
      <c r="T305" s="441"/>
      <c r="U305" s="445"/>
      <c r="V305" s="445"/>
      <c r="W305" s="445"/>
      <c r="X305" s="443"/>
      <c r="Y305" s="443"/>
    </row>
    <row r="306" spans="18:25" x14ac:dyDescent="0.2">
      <c r="R306" s="441"/>
      <c r="S306" s="441"/>
      <c r="T306" s="441"/>
      <c r="U306" s="445"/>
      <c r="V306" s="445"/>
      <c r="W306" s="445"/>
      <c r="X306" s="443"/>
      <c r="Y306" s="443"/>
    </row>
    <row r="307" spans="18:25" x14ac:dyDescent="0.2">
      <c r="R307" s="441"/>
      <c r="S307" s="441"/>
      <c r="T307" s="441"/>
      <c r="U307" s="445"/>
      <c r="V307" s="445"/>
      <c r="W307" s="445"/>
      <c r="X307" s="443"/>
      <c r="Y307" s="443"/>
    </row>
    <row r="308" spans="18:25" x14ac:dyDescent="0.2">
      <c r="R308" s="441"/>
      <c r="S308" s="441"/>
      <c r="T308" s="441"/>
      <c r="U308" s="445"/>
      <c r="V308" s="445"/>
      <c r="W308" s="445"/>
      <c r="X308" s="443"/>
      <c r="Y308" s="443"/>
    </row>
    <row r="309" spans="18:25" x14ac:dyDescent="0.2">
      <c r="R309" s="441"/>
      <c r="S309" s="441"/>
      <c r="T309" s="441"/>
      <c r="U309" s="445"/>
      <c r="V309" s="445"/>
      <c r="W309" s="445"/>
      <c r="X309" s="443"/>
      <c r="Y309" s="443"/>
    </row>
    <row r="310" spans="18:25" x14ac:dyDescent="0.2">
      <c r="R310" s="441"/>
      <c r="S310" s="441"/>
      <c r="T310" s="441"/>
      <c r="U310" s="445"/>
      <c r="V310" s="445"/>
      <c r="W310" s="445"/>
      <c r="X310" s="443"/>
      <c r="Y310" s="443"/>
    </row>
    <row r="311" spans="18:25" x14ac:dyDescent="0.2">
      <c r="R311" s="441"/>
      <c r="S311" s="441"/>
      <c r="T311" s="441"/>
      <c r="U311" s="445"/>
      <c r="V311" s="445"/>
      <c r="W311" s="445"/>
      <c r="X311" s="443"/>
      <c r="Y311" s="443"/>
    </row>
    <row r="312" spans="18:25" x14ac:dyDescent="0.2">
      <c r="R312" s="441"/>
      <c r="S312" s="441"/>
      <c r="T312" s="441"/>
      <c r="U312" s="445"/>
      <c r="V312" s="445"/>
      <c r="W312" s="445"/>
      <c r="X312" s="443"/>
      <c r="Y312" s="443"/>
    </row>
    <row r="313" spans="18:25" x14ac:dyDescent="0.2">
      <c r="R313" s="441"/>
      <c r="S313" s="441"/>
      <c r="T313" s="441"/>
      <c r="U313" s="445"/>
      <c r="V313" s="445"/>
      <c r="W313" s="445"/>
      <c r="X313" s="443"/>
      <c r="Y313" s="443"/>
    </row>
    <row r="314" spans="18:25" x14ac:dyDescent="0.2">
      <c r="R314" s="441"/>
      <c r="S314" s="441"/>
      <c r="T314" s="441"/>
      <c r="U314" s="445"/>
      <c r="V314" s="445"/>
      <c r="W314" s="445"/>
      <c r="X314" s="443"/>
      <c r="Y314" s="443"/>
    </row>
    <row r="315" spans="18:25" x14ac:dyDescent="0.2">
      <c r="R315" s="441"/>
      <c r="S315" s="441"/>
      <c r="T315" s="441"/>
      <c r="U315" s="445"/>
      <c r="V315" s="445"/>
      <c r="W315" s="445"/>
      <c r="X315" s="443"/>
      <c r="Y315" s="443"/>
    </row>
    <row r="316" spans="18:25" x14ac:dyDescent="0.2">
      <c r="R316" s="441"/>
      <c r="S316" s="441"/>
      <c r="T316" s="441"/>
      <c r="U316" s="445"/>
      <c r="V316" s="445"/>
      <c r="W316" s="445"/>
      <c r="X316" s="443"/>
      <c r="Y316" s="443"/>
    </row>
    <row r="317" spans="18:25" x14ac:dyDescent="0.2">
      <c r="R317" s="441"/>
      <c r="S317" s="441"/>
      <c r="T317" s="441"/>
      <c r="U317" s="445"/>
      <c r="V317" s="445"/>
      <c r="W317" s="445"/>
      <c r="X317" s="443"/>
      <c r="Y317" s="443"/>
    </row>
    <row r="318" spans="18:25" x14ac:dyDescent="0.2">
      <c r="R318" s="441"/>
      <c r="S318" s="441"/>
      <c r="T318" s="441"/>
      <c r="U318" s="445"/>
      <c r="V318" s="445"/>
      <c r="W318" s="445"/>
      <c r="X318" s="443"/>
      <c r="Y318" s="443"/>
    </row>
    <row r="319" spans="18:25" x14ac:dyDescent="0.2">
      <c r="R319" s="441"/>
      <c r="S319" s="441"/>
      <c r="T319" s="441"/>
      <c r="U319" s="445"/>
      <c r="V319" s="445"/>
      <c r="W319" s="445"/>
      <c r="X319" s="443"/>
      <c r="Y319" s="443"/>
    </row>
    <row r="320" spans="18:25" x14ac:dyDescent="0.2">
      <c r="R320" s="441"/>
      <c r="S320" s="441"/>
      <c r="T320" s="441"/>
      <c r="U320" s="445"/>
      <c r="V320" s="445"/>
      <c r="W320" s="445"/>
      <c r="X320" s="443"/>
      <c r="Y320" s="443"/>
    </row>
    <row r="321" spans="18:25" x14ac:dyDescent="0.2">
      <c r="R321" s="441"/>
      <c r="S321" s="441"/>
      <c r="T321" s="441"/>
      <c r="U321" s="445"/>
      <c r="V321" s="445"/>
      <c r="W321" s="445"/>
      <c r="X321" s="443"/>
      <c r="Y321" s="443"/>
    </row>
    <row r="322" spans="18:25" x14ac:dyDescent="0.2">
      <c r="R322" s="441"/>
      <c r="S322" s="441"/>
      <c r="T322" s="441"/>
      <c r="U322" s="445"/>
      <c r="V322" s="445"/>
      <c r="W322" s="445"/>
      <c r="X322" s="443"/>
      <c r="Y322" s="443"/>
    </row>
    <row r="323" spans="18:25" x14ac:dyDescent="0.2">
      <c r="R323" s="441"/>
      <c r="S323" s="441"/>
      <c r="T323" s="441"/>
      <c r="U323" s="445"/>
      <c r="V323" s="445"/>
      <c r="W323" s="445"/>
      <c r="X323" s="443"/>
      <c r="Y323" s="443"/>
    </row>
    <row r="324" spans="18:25" x14ac:dyDescent="0.2">
      <c r="R324" s="441"/>
      <c r="S324" s="441"/>
      <c r="T324" s="441"/>
      <c r="U324" s="445"/>
      <c r="V324" s="445"/>
      <c r="W324" s="445"/>
      <c r="X324" s="443"/>
      <c r="Y324" s="443"/>
    </row>
    <row r="325" spans="18:25" x14ac:dyDescent="0.2">
      <c r="R325" s="441"/>
      <c r="S325" s="441"/>
      <c r="T325" s="441"/>
      <c r="U325" s="445"/>
      <c r="V325" s="445"/>
      <c r="W325" s="445"/>
      <c r="X325" s="443"/>
      <c r="Y325" s="443"/>
    </row>
    <row r="326" spans="18:25" x14ac:dyDescent="0.2">
      <c r="R326" s="441"/>
      <c r="S326" s="441"/>
      <c r="T326" s="441"/>
      <c r="U326" s="445"/>
      <c r="V326" s="445"/>
      <c r="W326" s="445"/>
      <c r="X326" s="443"/>
      <c r="Y326" s="443"/>
    </row>
    <row r="327" spans="18:25" x14ac:dyDescent="0.2">
      <c r="R327" s="441"/>
      <c r="S327" s="441"/>
      <c r="T327" s="441"/>
      <c r="U327" s="445"/>
      <c r="V327" s="445"/>
      <c r="W327" s="445"/>
      <c r="X327" s="443"/>
      <c r="Y327" s="443"/>
    </row>
    <row r="328" spans="18:25" x14ac:dyDescent="0.2">
      <c r="R328" s="441"/>
      <c r="S328" s="441"/>
      <c r="T328" s="441"/>
      <c r="U328" s="445"/>
      <c r="V328" s="445"/>
      <c r="W328" s="445"/>
      <c r="X328" s="443"/>
      <c r="Y328" s="443"/>
    </row>
    <row r="329" spans="18:25" x14ac:dyDescent="0.2">
      <c r="R329" s="441"/>
      <c r="S329" s="441"/>
      <c r="T329" s="441"/>
      <c r="U329" s="445"/>
      <c r="V329" s="445"/>
      <c r="W329" s="445"/>
      <c r="X329" s="443"/>
      <c r="Y329" s="443"/>
    </row>
    <row r="330" spans="18:25" x14ac:dyDescent="0.2">
      <c r="R330" s="441"/>
      <c r="S330" s="441"/>
      <c r="T330" s="441"/>
      <c r="U330" s="445"/>
      <c r="V330" s="445"/>
      <c r="W330" s="445"/>
      <c r="X330" s="443"/>
      <c r="Y330" s="443"/>
    </row>
    <row r="331" spans="18:25" x14ac:dyDescent="0.2">
      <c r="R331" s="441"/>
      <c r="S331" s="441"/>
      <c r="T331" s="441"/>
      <c r="U331" s="445"/>
      <c r="V331" s="445"/>
      <c r="W331" s="445"/>
      <c r="X331" s="443"/>
      <c r="Y331" s="443"/>
    </row>
    <row r="332" spans="18:25" x14ac:dyDescent="0.2">
      <c r="R332" s="441"/>
      <c r="S332" s="441"/>
      <c r="T332" s="441"/>
      <c r="U332" s="445"/>
      <c r="V332" s="445"/>
      <c r="W332" s="445"/>
      <c r="X332" s="443"/>
      <c r="Y332" s="443"/>
    </row>
    <row r="333" spans="18:25" x14ac:dyDescent="0.2">
      <c r="R333" s="441"/>
      <c r="S333" s="441"/>
      <c r="T333" s="441"/>
      <c r="U333" s="445"/>
      <c r="V333" s="445"/>
      <c r="W333" s="445"/>
      <c r="X333" s="443"/>
      <c r="Y333" s="443"/>
    </row>
    <row r="334" spans="18:25" x14ac:dyDescent="0.2">
      <c r="R334" s="441"/>
      <c r="S334" s="441"/>
      <c r="T334" s="441"/>
      <c r="U334" s="445"/>
      <c r="V334" s="445"/>
      <c r="W334" s="445"/>
      <c r="X334" s="443"/>
      <c r="Y334" s="443"/>
    </row>
    <row r="335" spans="18:25" x14ac:dyDescent="0.2">
      <c r="R335" s="441"/>
      <c r="S335" s="441"/>
      <c r="T335" s="441"/>
      <c r="U335" s="445"/>
      <c r="V335" s="445"/>
      <c r="W335" s="445"/>
      <c r="X335" s="443"/>
      <c r="Y335" s="443"/>
    </row>
    <row r="336" spans="18:25" x14ac:dyDescent="0.2">
      <c r="R336" s="441"/>
      <c r="S336" s="441"/>
      <c r="T336" s="441"/>
      <c r="U336" s="445"/>
      <c r="V336" s="445"/>
      <c r="W336" s="445"/>
      <c r="X336" s="443"/>
      <c r="Y336" s="443"/>
    </row>
    <row r="337" spans="18:25" x14ac:dyDescent="0.2">
      <c r="R337" s="441"/>
      <c r="S337" s="441"/>
      <c r="T337" s="441"/>
      <c r="U337" s="445"/>
      <c r="V337" s="445"/>
      <c r="W337" s="445"/>
      <c r="X337" s="443"/>
      <c r="Y337" s="443"/>
    </row>
    <row r="338" spans="18:25" x14ac:dyDescent="0.2">
      <c r="R338" s="441"/>
      <c r="S338" s="441"/>
      <c r="T338" s="441"/>
      <c r="U338" s="445"/>
      <c r="V338" s="445"/>
      <c r="W338" s="445"/>
      <c r="X338" s="443"/>
      <c r="Y338" s="443"/>
    </row>
    <row r="339" spans="18:25" x14ac:dyDescent="0.2">
      <c r="R339" s="441"/>
      <c r="S339" s="441"/>
      <c r="T339" s="441"/>
      <c r="U339" s="445"/>
      <c r="V339" s="445"/>
      <c r="W339" s="445"/>
      <c r="X339" s="443"/>
      <c r="Y339" s="443"/>
    </row>
    <row r="340" spans="18:25" x14ac:dyDescent="0.2">
      <c r="R340" s="441"/>
      <c r="S340" s="441"/>
      <c r="T340" s="441"/>
      <c r="U340" s="445"/>
      <c r="V340" s="445"/>
      <c r="W340" s="445"/>
      <c r="X340" s="443"/>
      <c r="Y340" s="443"/>
    </row>
    <row r="341" spans="18:25" x14ac:dyDescent="0.2">
      <c r="R341" s="441"/>
      <c r="S341" s="441"/>
      <c r="T341" s="441"/>
      <c r="U341" s="445"/>
      <c r="V341" s="445"/>
      <c r="W341" s="445"/>
      <c r="X341" s="443"/>
      <c r="Y341" s="443"/>
    </row>
    <row r="342" spans="18:25" x14ac:dyDescent="0.2">
      <c r="R342" s="441"/>
      <c r="S342" s="441"/>
      <c r="T342" s="441"/>
      <c r="U342" s="445"/>
      <c r="V342" s="445"/>
      <c r="W342" s="445"/>
      <c r="X342" s="443"/>
      <c r="Y342" s="443"/>
    </row>
    <row r="343" spans="18:25" x14ac:dyDescent="0.2">
      <c r="R343" s="441"/>
      <c r="S343" s="441"/>
      <c r="T343" s="441"/>
      <c r="U343" s="445"/>
      <c r="V343" s="445"/>
      <c r="W343" s="445"/>
      <c r="X343" s="443"/>
      <c r="Y343" s="443"/>
    </row>
    <row r="344" spans="18:25" x14ac:dyDescent="0.2">
      <c r="R344" s="441"/>
      <c r="S344" s="441"/>
      <c r="T344" s="441"/>
      <c r="U344" s="445"/>
      <c r="V344" s="445"/>
      <c r="W344" s="445"/>
      <c r="X344" s="443"/>
      <c r="Y344" s="443"/>
    </row>
    <row r="345" spans="18:25" x14ac:dyDescent="0.2">
      <c r="R345" s="441"/>
      <c r="S345" s="441"/>
      <c r="T345" s="441"/>
      <c r="U345" s="445"/>
      <c r="V345" s="445"/>
      <c r="W345" s="445"/>
      <c r="X345" s="443"/>
      <c r="Y345" s="443"/>
    </row>
    <row r="346" spans="18:25" x14ac:dyDescent="0.2">
      <c r="R346" s="441"/>
      <c r="S346" s="441"/>
      <c r="T346" s="441"/>
      <c r="U346" s="445"/>
      <c r="V346" s="445"/>
      <c r="W346" s="445"/>
      <c r="X346" s="443"/>
      <c r="Y346" s="443"/>
    </row>
    <row r="347" spans="18:25" x14ac:dyDescent="0.2">
      <c r="R347" s="441"/>
      <c r="S347" s="441"/>
      <c r="T347" s="441"/>
      <c r="U347" s="445"/>
      <c r="V347" s="445"/>
      <c r="W347" s="445"/>
      <c r="X347" s="443"/>
      <c r="Y347" s="443"/>
    </row>
    <row r="348" spans="18:25" x14ac:dyDescent="0.2">
      <c r="R348" s="441"/>
      <c r="S348" s="441"/>
      <c r="T348" s="441"/>
      <c r="U348" s="445"/>
      <c r="V348" s="445"/>
      <c r="W348" s="445"/>
      <c r="X348" s="443"/>
      <c r="Y348" s="443"/>
    </row>
    <row r="349" spans="18:25" x14ac:dyDescent="0.2">
      <c r="R349" s="441"/>
      <c r="S349" s="441"/>
      <c r="T349" s="441"/>
      <c r="U349" s="445"/>
      <c r="V349" s="445"/>
      <c r="W349" s="445"/>
      <c r="X349" s="443"/>
      <c r="Y349" s="443"/>
    </row>
    <row r="350" spans="18:25" x14ac:dyDescent="0.2">
      <c r="R350" s="441"/>
      <c r="S350" s="441"/>
      <c r="T350" s="441"/>
      <c r="U350" s="445"/>
      <c r="V350" s="445"/>
      <c r="W350" s="445"/>
      <c r="X350" s="443"/>
      <c r="Y350" s="443"/>
    </row>
    <row r="351" spans="18:25" x14ac:dyDescent="0.2">
      <c r="R351" s="441"/>
      <c r="S351" s="441"/>
      <c r="T351" s="441"/>
      <c r="U351" s="445"/>
      <c r="V351" s="445"/>
      <c r="W351" s="445"/>
      <c r="X351" s="443"/>
      <c r="Y351" s="443"/>
    </row>
    <row r="352" spans="18:25" x14ac:dyDescent="0.2">
      <c r="R352" s="441"/>
      <c r="S352" s="441"/>
      <c r="T352" s="441"/>
      <c r="U352" s="445"/>
      <c r="V352" s="445"/>
      <c r="W352" s="445"/>
      <c r="X352" s="443"/>
      <c r="Y352" s="443"/>
    </row>
    <row r="353" spans="18:25" x14ac:dyDescent="0.2">
      <c r="R353" s="441"/>
      <c r="S353" s="441"/>
      <c r="T353" s="441"/>
      <c r="U353" s="445"/>
      <c r="V353" s="445"/>
      <c r="W353" s="445"/>
      <c r="X353" s="443"/>
      <c r="Y353" s="443"/>
    </row>
    <row r="354" spans="18:25" x14ac:dyDescent="0.2">
      <c r="R354" s="441"/>
      <c r="S354" s="441"/>
      <c r="T354" s="441"/>
      <c r="U354" s="445"/>
      <c r="V354" s="445"/>
      <c r="W354" s="445"/>
      <c r="X354" s="443"/>
      <c r="Y354" s="443"/>
    </row>
    <row r="355" spans="18:25" x14ac:dyDescent="0.2">
      <c r="R355" s="441"/>
      <c r="S355" s="441"/>
      <c r="T355" s="441"/>
      <c r="U355" s="445"/>
      <c r="V355" s="445"/>
      <c r="W355" s="445"/>
      <c r="X355" s="443"/>
      <c r="Y355" s="443"/>
    </row>
    <row r="356" spans="18:25" x14ac:dyDescent="0.2">
      <c r="R356" s="441"/>
      <c r="S356" s="441"/>
      <c r="T356" s="441"/>
      <c r="U356" s="445"/>
      <c r="V356" s="445"/>
      <c r="W356" s="445"/>
      <c r="X356" s="443"/>
      <c r="Y356" s="443"/>
    </row>
    <row r="357" spans="18:25" x14ac:dyDescent="0.2">
      <c r="R357" s="441"/>
      <c r="S357" s="441"/>
      <c r="T357" s="441"/>
      <c r="U357" s="445"/>
      <c r="V357" s="445"/>
      <c r="W357" s="445"/>
      <c r="X357" s="443"/>
      <c r="Y357" s="443"/>
    </row>
    <row r="358" spans="18:25" x14ac:dyDescent="0.2">
      <c r="R358" s="441"/>
      <c r="S358" s="441"/>
      <c r="T358" s="441"/>
      <c r="U358" s="445"/>
      <c r="V358" s="445"/>
      <c r="W358" s="445"/>
      <c r="X358" s="443"/>
      <c r="Y358" s="443"/>
    </row>
    <row r="359" spans="18:25" x14ac:dyDescent="0.2">
      <c r="R359" s="441"/>
      <c r="S359" s="441"/>
      <c r="T359" s="441"/>
      <c r="U359" s="445"/>
      <c r="V359" s="445"/>
      <c r="W359" s="445"/>
      <c r="X359" s="443"/>
      <c r="Y359" s="443"/>
    </row>
    <row r="360" spans="18:25" x14ac:dyDescent="0.2">
      <c r="R360" s="441"/>
      <c r="S360" s="441"/>
      <c r="T360" s="441"/>
      <c r="U360" s="445"/>
      <c r="V360" s="445"/>
      <c r="W360" s="445"/>
      <c r="X360" s="443"/>
      <c r="Y360" s="443"/>
    </row>
    <row r="361" spans="18:25" x14ac:dyDescent="0.2">
      <c r="R361" s="441"/>
      <c r="S361" s="441"/>
      <c r="T361" s="441"/>
      <c r="U361" s="445"/>
      <c r="V361" s="445"/>
      <c r="W361" s="445"/>
      <c r="X361" s="443"/>
      <c r="Y361" s="443"/>
    </row>
    <row r="362" spans="18:25" x14ac:dyDescent="0.2">
      <c r="R362" s="441"/>
      <c r="S362" s="441"/>
      <c r="T362" s="441"/>
      <c r="U362" s="445"/>
      <c r="V362" s="445"/>
      <c r="W362" s="445"/>
      <c r="X362" s="443"/>
      <c r="Y362" s="443"/>
    </row>
    <row r="363" spans="18:25" x14ac:dyDescent="0.2">
      <c r="R363" s="441"/>
      <c r="S363" s="441"/>
      <c r="T363" s="441"/>
      <c r="U363" s="445"/>
      <c r="V363" s="445"/>
      <c r="W363" s="445"/>
      <c r="X363" s="443"/>
      <c r="Y363" s="443"/>
    </row>
    <row r="364" spans="18:25" x14ac:dyDescent="0.2">
      <c r="R364" s="441"/>
      <c r="S364" s="441"/>
      <c r="T364" s="441"/>
      <c r="U364" s="445"/>
      <c r="V364" s="445"/>
      <c r="W364" s="445"/>
      <c r="X364" s="443"/>
      <c r="Y364" s="443"/>
    </row>
    <row r="365" spans="18:25" x14ac:dyDescent="0.2">
      <c r="R365" s="441"/>
      <c r="S365" s="441"/>
      <c r="T365" s="441"/>
      <c r="U365" s="445"/>
      <c r="V365" s="445"/>
      <c r="W365" s="445"/>
      <c r="X365" s="443"/>
      <c r="Y365" s="443"/>
    </row>
    <row r="366" spans="18:25" x14ac:dyDescent="0.2">
      <c r="R366" s="441"/>
      <c r="S366" s="441"/>
      <c r="T366" s="441"/>
      <c r="U366" s="445"/>
      <c r="V366" s="445"/>
      <c r="W366" s="445"/>
      <c r="X366" s="443"/>
      <c r="Y366" s="443"/>
    </row>
    <row r="367" spans="18:25" x14ac:dyDescent="0.2">
      <c r="R367" s="441"/>
      <c r="S367" s="441"/>
      <c r="T367" s="441"/>
      <c r="U367" s="445"/>
      <c r="V367" s="445"/>
      <c r="W367" s="445"/>
      <c r="X367" s="443"/>
      <c r="Y367" s="443"/>
    </row>
    <row r="368" spans="18:25" x14ac:dyDescent="0.2">
      <c r="R368" s="441"/>
      <c r="S368" s="441"/>
      <c r="T368" s="441"/>
      <c r="U368" s="445"/>
      <c r="V368" s="445"/>
      <c r="W368" s="445"/>
      <c r="X368" s="443"/>
      <c r="Y368" s="443"/>
    </row>
    <row r="369" spans="18:25" x14ac:dyDescent="0.2">
      <c r="R369" s="441"/>
      <c r="S369" s="441"/>
      <c r="T369" s="441"/>
      <c r="U369" s="445"/>
      <c r="V369" s="445"/>
      <c r="W369" s="445"/>
      <c r="X369" s="443"/>
      <c r="Y369" s="443"/>
    </row>
    <row r="370" spans="18:25" x14ac:dyDescent="0.2">
      <c r="R370" s="441"/>
      <c r="S370" s="441"/>
      <c r="T370" s="441"/>
      <c r="U370" s="445"/>
      <c r="V370" s="445"/>
      <c r="W370" s="445"/>
      <c r="X370" s="443"/>
      <c r="Y370" s="443"/>
    </row>
    <row r="371" spans="18:25" x14ac:dyDescent="0.2">
      <c r="R371" s="441"/>
      <c r="S371" s="441"/>
      <c r="T371" s="441"/>
      <c r="U371" s="445"/>
      <c r="V371" s="445"/>
      <c r="W371" s="445"/>
      <c r="X371" s="443"/>
      <c r="Y371" s="443"/>
    </row>
    <row r="372" spans="18:25" x14ac:dyDescent="0.2">
      <c r="R372" s="441"/>
      <c r="S372" s="441"/>
      <c r="T372" s="441"/>
      <c r="U372" s="445"/>
      <c r="V372" s="445"/>
      <c r="W372" s="445"/>
      <c r="X372" s="443"/>
      <c r="Y372" s="443"/>
    </row>
    <row r="373" spans="18:25" x14ac:dyDescent="0.2">
      <c r="R373" s="441"/>
      <c r="S373" s="441"/>
      <c r="T373" s="441"/>
      <c r="U373" s="445"/>
      <c r="V373" s="445"/>
      <c r="W373" s="445"/>
      <c r="X373" s="443"/>
      <c r="Y373" s="443"/>
    </row>
    <row r="374" spans="18:25" x14ac:dyDescent="0.2">
      <c r="R374" s="441"/>
      <c r="S374" s="441"/>
      <c r="T374" s="441"/>
      <c r="U374" s="445"/>
      <c r="V374" s="445"/>
      <c r="W374" s="445"/>
      <c r="X374" s="443"/>
      <c r="Y374" s="443"/>
    </row>
    <row r="375" spans="18:25" x14ac:dyDescent="0.2">
      <c r="R375" s="441"/>
      <c r="S375" s="441"/>
      <c r="T375" s="441"/>
      <c r="U375" s="445"/>
      <c r="V375" s="445"/>
      <c r="W375" s="445"/>
      <c r="X375" s="443"/>
      <c r="Y375" s="443"/>
    </row>
    <row r="376" spans="18:25" x14ac:dyDescent="0.2">
      <c r="R376" s="441"/>
      <c r="S376" s="441"/>
      <c r="T376" s="441"/>
      <c r="U376" s="445"/>
      <c r="V376" s="445"/>
      <c r="W376" s="445"/>
      <c r="X376" s="443"/>
      <c r="Y376" s="443"/>
    </row>
    <row r="377" spans="18:25" x14ac:dyDescent="0.2">
      <c r="R377" s="441"/>
      <c r="S377" s="441"/>
      <c r="T377" s="441"/>
      <c r="U377" s="445"/>
      <c r="V377" s="445"/>
      <c r="W377" s="445"/>
      <c r="X377" s="443"/>
      <c r="Y377" s="443"/>
    </row>
    <row r="378" spans="18:25" x14ac:dyDescent="0.2">
      <c r="R378" s="441"/>
      <c r="S378" s="441"/>
      <c r="T378" s="441"/>
      <c r="U378" s="445"/>
      <c r="V378" s="445"/>
      <c r="W378" s="445"/>
      <c r="X378" s="443"/>
      <c r="Y378" s="443"/>
    </row>
    <row r="379" spans="18:25" x14ac:dyDescent="0.2">
      <c r="R379" s="441"/>
      <c r="S379" s="441"/>
      <c r="T379" s="441"/>
      <c r="U379" s="445"/>
      <c r="V379" s="445"/>
      <c r="W379" s="445"/>
      <c r="X379" s="443"/>
      <c r="Y379" s="443"/>
    </row>
    <row r="380" spans="18:25" x14ac:dyDescent="0.2">
      <c r="R380" s="441"/>
      <c r="S380" s="441"/>
      <c r="T380" s="441"/>
      <c r="U380" s="445"/>
      <c r="V380" s="445"/>
      <c r="W380" s="445"/>
      <c r="X380" s="443"/>
      <c r="Y380" s="443"/>
    </row>
    <row r="381" spans="18:25" x14ac:dyDescent="0.2">
      <c r="R381" s="441"/>
      <c r="S381" s="441"/>
      <c r="T381" s="441"/>
      <c r="U381" s="445"/>
      <c r="V381" s="445"/>
      <c r="W381" s="445"/>
      <c r="X381" s="443"/>
      <c r="Y381" s="443"/>
    </row>
    <row r="382" spans="18:25" x14ac:dyDescent="0.2">
      <c r="R382" s="441"/>
      <c r="S382" s="441"/>
      <c r="T382" s="441"/>
      <c r="U382" s="445"/>
      <c r="V382" s="445"/>
      <c r="W382" s="445"/>
      <c r="X382" s="443"/>
      <c r="Y382" s="443"/>
    </row>
    <row r="383" spans="18:25" x14ac:dyDescent="0.2">
      <c r="R383" s="441"/>
      <c r="S383" s="441"/>
      <c r="T383" s="441"/>
      <c r="U383" s="445"/>
      <c r="V383" s="445"/>
      <c r="W383" s="445"/>
      <c r="X383" s="443"/>
      <c r="Y383" s="443"/>
    </row>
    <row r="384" spans="18:25" x14ac:dyDescent="0.2">
      <c r="R384" s="441"/>
      <c r="S384" s="441"/>
      <c r="T384" s="441"/>
      <c r="U384" s="445"/>
      <c r="V384" s="445"/>
      <c r="W384" s="445"/>
      <c r="X384" s="443"/>
      <c r="Y384" s="443"/>
    </row>
  </sheetData>
  <dataValidations count="1">
    <dataValidation type="list" allowBlank="1" showInputMessage="1" showErrorMessage="1" sqref="M4:M22">
      <formula1>"true,false"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"/>
  <sheetViews>
    <sheetView showGridLines="0" topLeftCell="M4" workbookViewId="0">
      <selection activeCell="M1" sqref="M1"/>
    </sheetView>
  </sheetViews>
  <sheetFormatPr defaultRowHeight="11.25" outlineLevelCol="1" x14ac:dyDescent="0.2"/>
  <cols>
    <col min="1" max="1" width="3.1640625" style="36" hidden="1" customWidth="1" outlineLevel="1"/>
    <col min="2" max="3" width="7" style="36" hidden="1" customWidth="1" outlineLevel="1"/>
    <col min="4" max="5" width="3.5" style="255" hidden="1" customWidth="1" outlineLevel="1"/>
    <col min="6" max="6" width="12.83203125" style="36" hidden="1" customWidth="1" outlineLevel="1"/>
    <col min="7" max="7" width="22.6640625" style="36" hidden="1" customWidth="1" outlineLevel="1"/>
    <col min="8" max="8" width="23.83203125" style="36" hidden="1" customWidth="1" outlineLevel="1"/>
    <col min="9" max="9" width="9.33203125" style="36" hidden="1" customWidth="1" outlineLevel="1"/>
    <col min="10" max="10" width="33.5" style="36" hidden="1" customWidth="1" outlineLevel="1"/>
    <col min="11" max="11" width="17.83203125" style="257" hidden="1" customWidth="1" outlineLevel="1"/>
    <col min="12" max="12" width="26.33203125" style="36" hidden="1" customWidth="1" outlineLevel="1"/>
    <col min="13" max="13" width="3.5" style="36" bestFit="1" customWidth="1" collapsed="1"/>
    <col min="14" max="14" width="3.5" style="36" bestFit="1" customWidth="1"/>
    <col min="15" max="15" width="31.1640625" style="36" bestFit="1" customWidth="1"/>
    <col min="16" max="20" width="20.1640625" style="36" bestFit="1" customWidth="1"/>
    <col min="21" max="21" width="17.83203125" style="36" hidden="1" customWidth="1" outlineLevel="1"/>
    <col min="22" max="22" width="14.1640625" style="36" hidden="1" customWidth="1" outlineLevel="1"/>
    <col min="23" max="23" width="10.5" style="36" bestFit="1" customWidth="1" collapsed="1"/>
    <col min="24" max="24" width="11.6640625" style="36" bestFit="1" customWidth="1"/>
    <col min="25" max="26" width="20.1640625" style="36" bestFit="1" customWidth="1"/>
    <col min="27" max="27" width="9.33203125" style="36" bestFit="1" customWidth="1"/>
    <col min="28" max="28" width="17.83203125" style="36" customWidth="1"/>
    <col min="29" max="30" width="10.5" style="36" bestFit="1" customWidth="1"/>
    <col min="31" max="31" width="11.6640625" style="36" bestFit="1" customWidth="1"/>
    <col min="32" max="32" width="17.83203125" style="36" bestFit="1" customWidth="1"/>
    <col min="33" max="33" width="10.5" style="36" bestFit="1" customWidth="1"/>
    <col min="34" max="16384" width="9.33203125" style="36"/>
  </cols>
  <sheetData>
    <row r="1" spans="1:20" ht="11.25" customHeight="1" x14ac:dyDescent="0.2">
      <c r="D1" s="36"/>
      <c r="E1" s="36"/>
      <c r="J1" s="36" t="s">
        <v>25</v>
      </c>
      <c r="K1" s="36" t="str">
        <f>_xll.qlLibor(,Currency,J1,,,Trigger)</f>
        <v>obj_003ba#0000</v>
      </c>
      <c r="L1" s="36" t="str">
        <f>_xll.ohRangeRetrieveError(K1)</f>
        <v/>
      </c>
    </row>
    <row r="2" spans="1:20" ht="24" customHeight="1" x14ac:dyDescent="0.2">
      <c r="A2" s="226"/>
      <c r="B2" s="227" t="s">
        <v>119</v>
      </c>
      <c r="C2" s="227"/>
      <c r="D2" s="228"/>
      <c r="E2" s="228"/>
      <c r="F2" s="227" t="s">
        <v>120</v>
      </c>
      <c r="G2" s="227" t="s">
        <v>121</v>
      </c>
      <c r="H2" s="227" t="s">
        <v>122</v>
      </c>
      <c r="I2" s="227" t="s">
        <v>123</v>
      </c>
      <c r="J2" s="227" t="s">
        <v>75</v>
      </c>
      <c r="K2" s="227" t="s">
        <v>76</v>
      </c>
      <c r="L2" s="229" t="s">
        <v>34</v>
      </c>
      <c r="M2" s="230"/>
      <c r="N2" s="230"/>
      <c r="O2" s="231" t="s">
        <v>124</v>
      </c>
      <c r="P2" s="231" t="s">
        <v>77</v>
      </c>
      <c r="Q2" s="231" t="s">
        <v>123</v>
      </c>
      <c r="R2" s="231" t="s">
        <v>78</v>
      </c>
      <c r="S2" s="227" t="s">
        <v>79</v>
      </c>
      <c r="T2" s="227" t="s">
        <v>80</v>
      </c>
    </row>
    <row r="3" spans="1:20" ht="11.25" customHeight="1" x14ac:dyDescent="0.2">
      <c r="A3" s="232"/>
      <c r="B3" s="233" t="s">
        <v>127</v>
      </c>
      <c r="C3" s="277"/>
      <c r="D3" s="278"/>
      <c r="E3" s="278"/>
      <c r="F3" s="275"/>
      <c r="G3" s="275"/>
      <c r="H3" s="275"/>
      <c r="I3" s="279"/>
      <c r="J3" s="263" t="str">
        <f>PROPER((Currency))&amp;IborType&amp;J1&amp;"LastFixing"&amp;QuoteSuffix</f>
        <v>GbpLibor1YLastFixing_Quote</v>
      </c>
      <c r="K3" s="276" t="str">
        <f>_xll.qlDepositRateHelper(,J3,K1,,Trigger)</f>
        <v>obj_0043a#0000</v>
      </c>
      <c r="L3" s="287" t="str">
        <f>_xll.ohRangeRetrieveError(K3)</f>
        <v/>
      </c>
      <c r="M3" s="241"/>
      <c r="N3" s="241"/>
      <c r="O3" s="240" t="str">
        <f>_xll.qlRateHelperQuoteName(K3,Trigger)</f>
        <v>GbpLibor1YLastFixing_Quote</v>
      </c>
      <c r="P3" s="242">
        <f>_xll.qlQuoteValue(J3,AllTriggers)</f>
        <v>9.8994000000000009E-3</v>
      </c>
      <c r="Q3" s="293" t="str">
        <f>IF(ISBLANK(I3),"--",_xll.qlSwapRateHelperSpread(K3,AllTriggers))</f>
        <v>--</v>
      </c>
      <c r="R3" s="240" t="b">
        <v>1</v>
      </c>
      <c r="S3" s="243">
        <f>_xll.qlRateHelperEarliestDate(K3,Trigger)</f>
        <v>42124</v>
      </c>
      <c r="T3" s="243">
        <f>_xll.qlRateHelperLatestDate(K3,Trigger)</f>
        <v>42489</v>
      </c>
    </row>
    <row r="4" spans="1:20" ht="11.25" customHeight="1" x14ac:dyDescent="0.2">
      <c r="A4" s="232"/>
      <c r="B4" s="290" t="s">
        <v>53</v>
      </c>
      <c r="C4" s="292">
        <v>12</v>
      </c>
      <c r="D4" s="291" t="s">
        <v>35</v>
      </c>
      <c r="E4" s="291">
        <v>24</v>
      </c>
      <c r="F4" s="275"/>
      <c r="G4" s="275"/>
      <c r="H4" s="275"/>
      <c r="I4" s="279"/>
      <c r="J4" s="263" t="str">
        <f>Currency&amp;C4&amp;D4&amp;E4&amp;"F"&amp;QuoteSuffix</f>
        <v>GBP12x24F_Quote</v>
      </c>
      <c r="K4" s="276" t="str">
        <f>_xll.qlFraRateHelper(,J4,B4,K1)</f>
        <v>obj_003da#0000</v>
      </c>
      <c r="L4" s="287" t="str">
        <f>_xll.ohRangeRetrieveError(K4)</f>
        <v/>
      </c>
      <c r="M4" s="241"/>
      <c r="N4" s="241"/>
      <c r="O4" s="240" t="str">
        <f>_xll.qlRateHelperQuoteName(K4,Trigger)</f>
        <v>GBP12x24F_Quote</v>
      </c>
      <c r="P4" s="242">
        <f>_xll.qlQuoteValue(J4,AllTriggers)</f>
        <v>1.4250000000000001E-2</v>
      </c>
      <c r="Q4" s="293" t="str">
        <f>IF(ISBLANK(I4),"--",_xll.qlSwapRateHelperSpread(K4,AllTriggers))</f>
        <v>--</v>
      </c>
      <c r="R4" s="240" t="b">
        <v>1</v>
      </c>
      <c r="S4" s="243">
        <f>_xll.qlRateHelperEarliestDate(K4,Trigger)</f>
        <v>42489</v>
      </c>
      <c r="T4" s="243">
        <f>_xll.qlRateHelperLatestDate(K4,Trigger)</f>
        <v>42853</v>
      </c>
    </row>
    <row r="5" spans="1:20" ht="11.25" customHeight="1" x14ac:dyDescent="0.2">
      <c r="A5" s="232"/>
      <c r="B5" s="280" t="s">
        <v>127</v>
      </c>
      <c r="C5" s="281" t="s">
        <v>162</v>
      </c>
      <c r="D5" s="282" t="s">
        <v>163</v>
      </c>
      <c r="E5" s="282" t="s">
        <v>81</v>
      </c>
      <c r="F5" s="280" t="s">
        <v>192</v>
      </c>
      <c r="G5" s="283" t="s">
        <v>125</v>
      </c>
      <c r="H5" s="283" t="s">
        <v>159</v>
      </c>
      <c r="I5" s="284">
        <v>0</v>
      </c>
      <c r="J5" s="285" t="str">
        <f>Swaps1Y!K5</f>
        <v>GBPSB6L3Y_S6L12L_Quote#0000</v>
      </c>
      <c r="K5" s="286" t="str">
        <f>_xll.qlSwapRateHelper2(,J5,E5,Calendar,F5,G5,H5,$K$1,I5,B5,Discounting,,Trigger)</f>
        <v>obj_003d9#0000</v>
      </c>
      <c r="L5" s="287" t="str">
        <f>_xll.ohRangeRetrieveError(K5)</f>
        <v/>
      </c>
      <c r="M5" s="241"/>
      <c r="N5" s="241"/>
      <c r="O5" s="240" t="str">
        <f>_xll.qlRateHelperQuoteName(K5,Trigger)</f>
        <v>GBPSB6L3Y_S6L12L_Quote</v>
      </c>
      <c r="P5" s="242">
        <f>_xll.qlQuoteValue(J5,AllTriggers)</f>
        <v>1.391499999947488E-2</v>
      </c>
      <c r="Q5" s="293">
        <f>IF(ISBLANK(I5),"--",_xll.qlSwapRateHelperSpread(K5,AllTriggers))</f>
        <v>0</v>
      </c>
      <c r="R5" s="240" t="b">
        <v>1</v>
      </c>
      <c r="S5" s="243">
        <f>_xll.qlRateHelperEarliestDate(K5,Trigger)</f>
        <v>42124</v>
      </c>
      <c r="T5" s="243">
        <f>_xll.qlRateHelperLatestDate(K5,Trigger)</f>
        <v>43220</v>
      </c>
    </row>
    <row r="6" spans="1:20" ht="11.25" customHeight="1" x14ac:dyDescent="0.2">
      <c r="A6" s="232"/>
      <c r="B6" s="233" t="s">
        <v>127</v>
      </c>
      <c r="C6" s="234" t="s">
        <v>162</v>
      </c>
      <c r="D6" s="235" t="s">
        <v>163</v>
      </c>
      <c r="E6" s="235" t="s">
        <v>82</v>
      </c>
      <c r="F6" s="233" t="s">
        <v>192</v>
      </c>
      <c r="G6" s="236" t="s">
        <v>125</v>
      </c>
      <c r="H6" s="236" t="s">
        <v>159</v>
      </c>
      <c r="I6" s="237">
        <v>0</v>
      </c>
      <c r="J6" s="238" t="str">
        <f>Swaps1Y!K6</f>
        <v>GBPSB6L4Y_S6L12L_Quote#0000</v>
      </c>
      <c r="K6" s="239" t="str">
        <f>_xll.qlSwapRateHelper2(,J6,E6,Calendar,F6,G6,H6,$K$1,I6,B6,Discounting,,Trigger)</f>
        <v>obj_003de#0000</v>
      </c>
      <c r="L6" s="240" t="str">
        <f>_xll.ohRangeRetrieveError(K6)</f>
        <v/>
      </c>
      <c r="M6" s="241"/>
      <c r="N6" s="241"/>
      <c r="O6" s="240" t="str">
        <f>_xll.qlRateHelperQuoteName(K6,Trigger)</f>
        <v>GBPSB6L4Y_S6L12L_Quote</v>
      </c>
      <c r="P6" s="242">
        <f>_xll.qlQuoteValue(J6,AllTriggers)</f>
        <v>1.5522499999992822E-2</v>
      </c>
      <c r="Q6" s="293">
        <f>IF(ISBLANK(I6),"--",_xll.qlSwapRateHelperSpread(K6,AllTriggers))</f>
        <v>0</v>
      </c>
      <c r="R6" s="240" t="b">
        <v>1</v>
      </c>
      <c r="S6" s="243">
        <f>_xll.qlRateHelperEarliestDate(K6,Trigger)</f>
        <v>42124</v>
      </c>
      <c r="T6" s="243">
        <f>_xll.qlRateHelperLatestDate(K6,Trigger)</f>
        <v>43585</v>
      </c>
    </row>
    <row r="7" spans="1:20" ht="11.25" customHeight="1" x14ac:dyDescent="0.2">
      <c r="A7" s="226"/>
      <c r="B7" s="233" t="s">
        <v>127</v>
      </c>
      <c r="C7" s="234" t="s">
        <v>162</v>
      </c>
      <c r="D7" s="235" t="s">
        <v>163</v>
      </c>
      <c r="E7" s="235" t="s">
        <v>83</v>
      </c>
      <c r="F7" s="233" t="s">
        <v>192</v>
      </c>
      <c r="G7" s="236" t="s">
        <v>125</v>
      </c>
      <c r="H7" s="236" t="s">
        <v>159</v>
      </c>
      <c r="I7" s="237">
        <v>0</v>
      </c>
      <c r="J7" s="238" t="str">
        <f>Swaps1Y!K7</f>
        <v>GBPSB6L5Y_S6L12L_Quote#0000</v>
      </c>
      <c r="K7" s="239" t="str">
        <f>_xll.qlSwapRateHelper2(,J7,E7,Calendar,F7,G7,H7,$K$1,I7,B7,Discounting,,Trigger)</f>
        <v>obj_003e4#0000</v>
      </c>
      <c r="L7" s="240" t="str">
        <f>_xll.ohRangeRetrieveError(K7)</f>
        <v/>
      </c>
      <c r="M7" s="241"/>
      <c r="N7" s="241"/>
      <c r="O7" s="240" t="str">
        <f>_xll.qlRateHelperQuoteName(K7,Trigger)</f>
        <v>GBPSB6L5Y_S6L12L_Quote</v>
      </c>
      <c r="P7" s="242">
        <f>_xll.qlQuoteValue(J7,AllTriggers)</f>
        <v>1.6805000000012938E-2</v>
      </c>
      <c r="Q7" s="293">
        <f>IF(ISBLANK(I7),"--",_xll.qlSwapRateHelperSpread(K7,AllTriggers))</f>
        <v>0</v>
      </c>
      <c r="R7" s="240" t="b">
        <v>1</v>
      </c>
      <c r="S7" s="243">
        <f>_xll.qlRateHelperEarliestDate(K7,Trigger)</f>
        <v>42124</v>
      </c>
      <c r="T7" s="243">
        <f>_xll.qlRateHelperLatestDate(K7,Trigger)</f>
        <v>43951</v>
      </c>
    </row>
    <row r="8" spans="1:20" ht="11.25" customHeight="1" x14ac:dyDescent="0.2">
      <c r="A8" s="226"/>
      <c r="B8" s="233" t="s">
        <v>127</v>
      </c>
      <c r="C8" s="234" t="s">
        <v>162</v>
      </c>
      <c r="D8" s="235" t="s">
        <v>163</v>
      </c>
      <c r="E8" s="235" t="s">
        <v>132</v>
      </c>
      <c r="F8" s="233" t="s">
        <v>192</v>
      </c>
      <c r="G8" s="236" t="s">
        <v>125</v>
      </c>
      <c r="H8" s="236" t="s">
        <v>159</v>
      </c>
      <c r="I8" s="237">
        <v>0</v>
      </c>
      <c r="J8" s="238" t="str">
        <f>Swaps1Y!K8</f>
        <v>GBPSB6L6Y_S6L12L_Quote#0000</v>
      </c>
      <c r="K8" s="239" t="str">
        <f>_xll.qlSwapRateHelper2(,J8,E8,Calendar,F8,G8,H8,$K$1,I8,B8,Discounting,,Trigger)</f>
        <v>obj_003db#0000</v>
      </c>
      <c r="L8" s="240" t="str">
        <f>_xll.ohRangeRetrieveError(K8)</f>
        <v/>
      </c>
      <c r="M8" s="241"/>
      <c r="N8" s="241"/>
      <c r="O8" s="240" t="str">
        <f>_xll.qlRateHelperQuoteName(K8,Trigger)</f>
        <v>GBPSB6L6Y_S6L12L_Quote</v>
      </c>
      <c r="P8" s="242">
        <f>_xll.qlQuoteValue(J8,AllTriggers)</f>
        <v>1.782999999998533E-2</v>
      </c>
      <c r="Q8" s="293">
        <f>IF(ISBLANK(I8),"--",_xll.qlSwapRateHelperSpread(K8,AllTriggers))</f>
        <v>0</v>
      </c>
      <c r="R8" s="240" t="b">
        <v>1</v>
      </c>
      <c r="S8" s="243">
        <f>_xll.qlRateHelperEarliestDate(K8,Trigger)</f>
        <v>42124</v>
      </c>
      <c r="T8" s="243">
        <f>_xll.qlRateHelperLatestDate(K8,Trigger)</f>
        <v>44316</v>
      </c>
    </row>
    <row r="9" spans="1:20" ht="11.25" customHeight="1" x14ac:dyDescent="0.2">
      <c r="A9" s="226"/>
      <c r="B9" s="233" t="s">
        <v>127</v>
      </c>
      <c r="C9" s="234" t="s">
        <v>162</v>
      </c>
      <c r="D9" s="235" t="s">
        <v>163</v>
      </c>
      <c r="E9" s="235" t="s">
        <v>133</v>
      </c>
      <c r="F9" s="233" t="s">
        <v>192</v>
      </c>
      <c r="G9" s="236" t="s">
        <v>125</v>
      </c>
      <c r="H9" s="236" t="s">
        <v>159</v>
      </c>
      <c r="I9" s="237">
        <v>0</v>
      </c>
      <c r="J9" s="238" t="str">
        <f>Swaps1Y!K9</f>
        <v>GBPSB6L7Y_S6L12L_Quote#0000</v>
      </c>
      <c r="K9" s="239" t="str">
        <f>_xll.qlSwapRateHelper2(,J9,E9,Calendar,F9,G9,H9,$K$1,I9,B9,Discounting,,Trigger)</f>
        <v>obj_003dc#0000</v>
      </c>
      <c r="L9" s="240" t="str">
        <f>_xll.ohRangeRetrieveError(K9)</f>
        <v/>
      </c>
      <c r="O9" s="240" t="str">
        <f>_xll.qlRateHelperQuoteName(K9,Trigger)</f>
        <v>GBPSB6L7Y_S6L12L_Quote</v>
      </c>
      <c r="P9" s="242">
        <f>_xll.qlQuoteValue(J9,AllTriggers)</f>
        <v>1.8700000000000563E-2</v>
      </c>
      <c r="Q9" s="293">
        <f>IF(ISBLANK(I9),"--",_xll.qlSwapRateHelperSpread(K9,AllTriggers))</f>
        <v>0</v>
      </c>
      <c r="R9" s="240" t="b">
        <v>1</v>
      </c>
      <c r="S9" s="243">
        <f>_xll.qlRateHelperEarliestDate(K9,Trigger)</f>
        <v>42124</v>
      </c>
      <c r="T9" s="243">
        <f>_xll.qlRateHelperLatestDate(K9,Trigger)</f>
        <v>44680</v>
      </c>
    </row>
    <row r="10" spans="1:20" x14ac:dyDescent="0.2">
      <c r="B10" s="244" t="s">
        <v>127</v>
      </c>
      <c r="C10" s="245" t="s">
        <v>162</v>
      </c>
      <c r="D10" s="246" t="s">
        <v>163</v>
      </c>
      <c r="E10" s="246" t="s">
        <v>134</v>
      </c>
      <c r="F10" s="244" t="s">
        <v>192</v>
      </c>
      <c r="G10" s="247" t="s">
        <v>125</v>
      </c>
      <c r="H10" s="247" t="s">
        <v>159</v>
      </c>
      <c r="I10" s="248">
        <v>0</v>
      </c>
      <c r="J10" s="273" t="str">
        <f>Swaps1Y!K10</f>
        <v>GBPSB6L8Y_S6L12L_Quote#0000</v>
      </c>
      <c r="K10" s="274" t="str">
        <f>_xll.qlSwapRateHelper2(,J10,E10,Calendar,F10,G10,H10,$K$1,I10,B10,Discounting,,Trigger)</f>
        <v>obj_003e1#0000</v>
      </c>
      <c r="L10" s="249" t="str">
        <f>_xll.ohRangeRetrieveError(K10)</f>
        <v/>
      </c>
      <c r="O10" s="249" t="str">
        <f>_xll.qlRateHelperQuoteName(K10,Trigger)</f>
        <v>GBPSB6L8Y_S6L12L_Quote</v>
      </c>
      <c r="P10" s="250">
        <f>_xll.qlQuoteValue(J10,AllTriggers)</f>
        <v>1.9377499999991211E-2</v>
      </c>
      <c r="Q10" s="294">
        <f>IF(ISBLANK(I10),"--",_xll.qlSwapRateHelperSpread(K10,AllTriggers))</f>
        <v>0</v>
      </c>
      <c r="R10" s="249" t="b">
        <v>0</v>
      </c>
      <c r="S10" s="251">
        <f>_xll.qlRateHelperEarliestDate(K10,Trigger)</f>
        <v>42124</v>
      </c>
      <c r="T10" s="251">
        <f>_xll.qlRateHelperLatestDate(K10,Trigger)</f>
        <v>45044</v>
      </c>
    </row>
    <row r="11" spans="1:20" x14ac:dyDescent="0.2">
      <c r="D11" s="36"/>
      <c r="E11" s="36"/>
      <c r="K11" s="36"/>
      <c r="L11" s="241"/>
    </row>
    <row r="12" spans="1:20" x14ac:dyDescent="0.2">
      <c r="I12" s="256"/>
      <c r="J12" s="256"/>
      <c r="O12" s="252" t="str">
        <f>J1&amp;" "&amp;PROPER(Currency)&amp;IborType&amp;" Curve"</f>
        <v>1Y GbpLibor Curve</v>
      </c>
      <c r="P12" s="253"/>
      <c r="Q12" s="253"/>
      <c r="R12" s="253"/>
      <c r="S12" s="253"/>
      <c r="T12" s="254" t="s">
        <v>135</v>
      </c>
    </row>
    <row r="13" spans="1:20" x14ac:dyDescent="0.2">
      <c r="L13" s="231" t="s">
        <v>126</v>
      </c>
      <c r="O13" s="295" t="s">
        <v>84</v>
      </c>
      <c r="P13" s="295" t="s">
        <v>85</v>
      </c>
      <c r="Q13" s="295" t="s">
        <v>123</v>
      </c>
      <c r="R13" s="295" t="s">
        <v>79</v>
      </c>
      <c r="S13" s="295" t="s">
        <v>80</v>
      </c>
      <c r="T13" s="258">
        <f t="array" ref="T13:T27">_xll.qlPiecewiseYieldCurveData('General Settings'!D34,InterestRatesTrigger)</f>
        <v>1</v>
      </c>
    </row>
    <row r="14" spans="1:20" x14ac:dyDescent="0.2">
      <c r="I14" s="256"/>
      <c r="J14" s="256"/>
      <c r="L14" s="263" t="str">
        <f t="array" ref="L14:L27">_xll.ohFilter(K3:K10,R3:R10)</f>
        <v>obj_0043a#0000</v>
      </c>
      <c r="O14" s="287" t="str">
        <f t="array" ref="O14:O27">_xll.ohFilter(O3:O10,R3:R10)</f>
        <v>GbpLibor1YLastFixing_Quote</v>
      </c>
      <c r="P14" s="296">
        <f t="array" ref="P14:P27">_xll.ohFilter(P3:P10,R3:R10)</f>
        <v>9.8994000000000009E-3</v>
      </c>
      <c r="Q14" s="297" t="str">
        <f t="array" ref="Q14:Q27">_xll.ohFilter(Q3:Q10,R3:R10)</f>
        <v>--</v>
      </c>
      <c r="R14" s="298">
        <f t="array" ref="R14:R27">_xll.ohFilter(S3:S10,R3:R10)</f>
        <v>42124</v>
      </c>
      <c r="S14" s="298">
        <f t="array" ref="S14:S27">_xll.ohFilter(T3:T10,R3:R10)</f>
        <v>42489</v>
      </c>
      <c r="T14" s="259">
        <v>0.99019763750726064</v>
      </c>
    </row>
    <row r="15" spans="1:20" x14ac:dyDescent="0.2">
      <c r="L15" s="264" t="str">
        <v>obj_003da#0000</v>
      </c>
      <c r="O15" s="240" t="str">
        <v>GBP12x24F_Quote</v>
      </c>
      <c r="P15" s="242">
        <v>1.4250000000000001E-2</v>
      </c>
      <c r="Q15" s="293" t="str">
        <v>--</v>
      </c>
      <c r="R15" s="243">
        <v>42489</v>
      </c>
      <c r="S15" s="243">
        <v>42853</v>
      </c>
      <c r="T15" s="259">
        <v>0.97632314935470477</v>
      </c>
    </row>
    <row r="16" spans="1:20" x14ac:dyDescent="0.2">
      <c r="I16" s="256"/>
      <c r="J16" s="256"/>
      <c r="L16" s="264" t="str">
        <v>obj_003d9#0000</v>
      </c>
      <c r="O16" s="240" t="str">
        <v>GBPSB6L3Y_S6L12L_Quote</v>
      </c>
      <c r="P16" s="242">
        <v>1.391499999947488E-2</v>
      </c>
      <c r="Q16" s="293">
        <v>0</v>
      </c>
      <c r="R16" s="243">
        <v>42124</v>
      </c>
      <c r="S16" s="243">
        <v>43220</v>
      </c>
      <c r="T16" s="259">
        <v>0.95919097629608507</v>
      </c>
    </row>
    <row r="17" spans="9:34" x14ac:dyDescent="0.2">
      <c r="L17" s="264" t="str">
        <v>obj_003de#0000</v>
      </c>
      <c r="O17" s="240" t="str">
        <v>GBPSB6L4Y_S6L12L_Quote</v>
      </c>
      <c r="P17" s="242">
        <v>1.5522499999992822E-2</v>
      </c>
      <c r="Q17" s="293">
        <v>0</v>
      </c>
      <c r="R17" s="243">
        <v>42124</v>
      </c>
      <c r="S17" s="243">
        <v>43585</v>
      </c>
      <c r="T17" s="259">
        <v>0.93986927732244174</v>
      </c>
    </row>
    <row r="18" spans="9:34" x14ac:dyDescent="0.2">
      <c r="I18" s="256"/>
      <c r="J18" s="256"/>
      <c r="L18" s="264" t="str">
        <v>obj_003e4#0000</v>
      </c>
      <c r="O18" s="240" t="str">
        <v>GBPSB6L5Y_S6L12L_Quote</v>
      </c>
      <c r="P18" s="242">
        <v>1.6805000000012938E-2</v>
      </c>
      <c r="Q18" s="293">
        <v>0</v>
      </c>
      <c r="R18" s="243">
        <v>42124</v>
      </c>
      <c r="S18" s="243">
        <v>43951</v>
      </c>
      <c r="T18" s="259">
        <v>0.91939049368125336</v>
      </c>
    </row>
    <row r="19" spans="9:34" x14ac:dyDescent="0.2">
      <c r="L19" s="264" t="str">
        <v>obj_003db#0000</v>
      </c>
      <c r="O19" s="240" t="str">
        <v>GBPSB6L6Y_S6L12L_Quote</v>
      </c>
      <c r="P19" s="242">
        <v>1.782999999998533E-2</v>
      </c>
      <c r="Q19" s="293">
        <v>0</v>
      </c>
      <c r="R19" s="243">
        <v>42124</v>
      </c>
      <c r="S19" s="243">
        <v>44316</v>
      </c>
      <c r="T19" s="259">
        <v>0.8984403101960251</v>
      </c>
    </row>
    <row r="20" spans="9:34" x14ac:dyDescent="0.2">
      <c r="I20" s="256"/>
      <c r="J20" s="256"/>
      <c r="L20" s="264" t="str">
        <v>obj_003dc#0000</v>
      </c>
      <c r="O20" s="240" t="str">
        <v>GBPSB6L7Y_S6L12L_Quote</v>
      </c>
      <c r="P20" s="242">
        <v>1.8700000000000563E-2</v>
      </c>
      <c r="Q20" s="293">
        <v>0</v>
      </c>
      <c r="R20" s="243">
        <v>42124</v>
      </c>
      <c r="S20" s="243">
        <v>44680</v>
      </c>
      <c r="T20" s="259">
        <v>0.87711917096751768</v>
      </c>
      <c r="AH20" s="309"/>
    </row>
    <row r="21" spans="9:34" x14ac:dyDescent="0.2">
      <c r="L21" s="264" t="e">
        <v>#N/A</v>
      </c>
      <c r="O21" s="240" t="e">
        <v>#N/A</v>
      </c>
      <c r="P21" s="242" t="e">
        <v>#N/A</v>
      </c>
      <c r="Q21" s="293" t="e">
        <v>#N/A</v>
      </c>
      <c r="R21" s="243" t="e">
        <v>#N/A</v>
      </c>
      <c r="S21" s="243" t="e">
        <v>#N/A</v>
      </c>
      <c r="T21" s="259" t="e">
        <v>#N/A</v>
      </c>
      <c r="AH21" s="309"/>
    </row>
    <row r="22" spans="9:34" x14ac:dyDescent="0.2">
      <c r="I22" s="256"/>
      <c r="J22" s="256"/>
      <c r="L22" s="264" t="e">
        <v>#N/A</v>
      </c>
      <c r="O22" s="240" t="e">
        <v>#N/A</v>
      </c>
      <c r="P22" s="242" t="e">
        <v>#N/A</v>
      </c>
      <c r="Q22" s="293" t="e">
        <v>#N/A</v>
      </c>
      <c r="R22" s="243" t="e">
        <v>#N/A</v>
      </c>
      <c r="S22" s="243" t="e">
        <v>#N/A</v>
      </c>
      <c r="T22" s="259" t="e">
        <v>#N/A</v>
      </c>
    </row>
    <row r="23" spans="9:34" x14ac:dyDescent="0.2">
      <c r="L23" s="264" t="e">
        <v>#N/A</v>
      </c>
      <c r="O23" s="240" t="e">
        <v>#N/A</v>
      </c>
      <c r="P23" s="242" t="e">
        <v>#N/A</v>
      </c>
      <c r="Q23" s="293" t="e">
        <v>#N/A</v>
      </c>
      <c r="R23" s="243" t="e">
        <v>#N/A</v>
      </c>
      <c r="S23" s="243" t="e">
        <v>#N/A</v>
      </c>
      <c r="T23" s="259" t="e">
        <v>#N/A</v>
      </c>
    </row>
    <row r="24" spans="9:34" x14ac:dyDescent="0.2">
      <c r="I24" s="256"/>
      <c r="J24" s="256"/>
      <c r="L24" s="264" t="e">
        <v>#N/A</v>
      </c>
      <c r="O24" s="240" t="e">
        <v>#N/A</v>
      </c>
      <c r="P24" s="242" t="e">
        <v>#N/A</v>
      </c>
      <c r="Q24" s="293" t="e">
        <v>#N/A</v>
      </c>
      <c r="R24" s="243" t="e">
        <v>#N/A</v>
      </c>
      <c r="S24" s="243" t="e">
        <v>#N/A</v>
      </c>
      <c r="T24" s="259" t="e">
        <v>#N/A</v>
      </c>
    </row>
    <row r="25" spans="9:34" x14ac:dyDescent="0.2">
      <c r="L25" s="264" t="e">
        <v>#N/A</v>
      </c>
      <c r="O25" s="240" t="e">
        <v>#N/A</v>
      </c>
      <c r="P25" s="242" t="e">
        <v>#N/A</v>
      </c>
      <c r="Q25" s="293" t="e">
        <v>#N/A</v>
      </c>
      <c r="R25" s="243" t="e">
        <v>#N/A</v>
      </c>
      <c r="S25" s="243" t="e">
        <v>#N/A</v>
      </c>
      <c r="T25" s="259" t="e">
        <v>#N/A</v>
      </c>
    </row>
    <row r="26" spans="9:34" x14ac:dyDescent="0.2">
      <c r="I26" s="256"/>
      <c r="J26" s="256"/>
      <c r="L26" s="264" t="e">
        <v>#N/A</v>
      </c>
      <c r="O26" s="240" t="e">
        <v>#N/A</v>
      </c>
      <c r="P26" s="242" t="e">
        <v>#N/A</v>
      </c>
      <c r="Q26" s="293" t="e">
        <v>#N/A</v>
      </c>
      <c r="R26" s="243" t="e">
        <v>#N/A</v>
      </c>
      <c r="S26" s="243" t="e">
        <v>#N/A</v>
      </c>
      <c r="T26" s="259" t="e">
        <v>#N/A</v>
      </c>
    </row>
    <row r="27" spans="9:34" x14ac:dyDescent="0.2">
      <c r="L27" s="265" t="e">
        <v>#N/A</v>
      </c>
      <c r="O27" s="249" t="e">
        <v>#N/A</v>
      </c>
      <c r="P27" s="250" t="e">
        <v>#N/A</v>
      </c>
      <c r="Q27" s="294" t="e">
        <v>#N/A</v>
      </c>
      <c r="R27" s="251" t="e">
        <v>#N/A</v>
      </c>
      <c r="S27" s="251" t="e">
        <v>#N/A</v>
      </c>
      <c r="T27" s="260" t="e">
        <v>#N/A</v>
      </c>
    </row>
    <row r="28" spans="9:34" ht="12" thickBot="1" x14ac:dyDescent="0.25">
      <c r="I28" s="256"/>
      <c r="J28" s="256"/>
    </row>
    <row r="29" spans="9:34" ht="12" thickBot="1" x14ac:dyDescent="0.25">
      <c r="O29" s="266" t="str">
        <f>"Delta "&amp;$J$1</f>
        <v>Delta 1Y</v>
      </c>
      <c r="P29" s="266"/>
      <c r="Q29" s="267"/>
      <c r="R29" s="267"/>
      <c r="S29" s="268"/>
      <c r="T29" s="268"/>
      <c r="U29" s="268"/>
      <c r="V29" s="268"/>
      <c r="W29" s="268"/>
    </row>
    <row r="30" spans="9:34" x14ac:dyDescent="0.2">
      <c r="I30" s="256"/>
      <c r="J30" s="256"/>
      <c r="O30" s="217" t="str">
        <f>J1&amp;" Instruments"</f>
        <v>1Y Instruments</v>
      </c>
      <c r="P30" s="218" t="s">
        <v>113</v>
      </c>
      <c r="Q30" s="218" t="s">
        <v>114</v>
      </c>
      <c r="R30" s="218" t="s">
        <v>137</v>
      </c>
      <c r="S30" s="218" t="str">
        <f>"F "&amp;J1</f>
        <v>F 1Y</v>
      </c>
      <c r="T30" s="218" t="s">
        <v>140</v>
      </c>
      <c r="U30" s="218" t="s">
        <v>138</v>
      </c>
      <c r="V30" s="218" t="s">
        <v>139</v>
      </c>
      <c r="W30" s="219" t="s">
        <v>141</v>
      </c>
      <c r="X30" s="219" t="s">
        <v>151</v>
      </c>
    </row>
    <row r="31" spans="9:34" x14ac:dyDescent="0.2">
      <c r="M31" s="301">
        <v>0</v>
      </c>
      <c r="N31" s="301">
        <f>M31+12</f>
        <v>12</v>
      </c>
      <c r="O31" s="303" t="str">
        <f>M31&amp;"x"&amp;N31</f>
        <v>0x12</v>
      </c>
      <c r="P31" s="304">
        <f>_xll.qlCalendarAdvance(Calendar,SettlementDate,M31&amp;"M","mf")</f>
        <v>42124</v>
      </c>
      <c r="Q31" s="304">
        <f>_xll.qlInterestRateIndexMaturity(IborIndex1Y,P31)</f>
        <v>42489</v>
      </c>
      <c r="R31" s="379">
        <f>_xll.qlDayCounterYearFraction(DayCounter,P31,Q31,,,Trigger)</f>
        <v>1</v>
      </c>
      <c r="S31" s="380">
        <f>_xll.qlIndexFixing(IborIndex1Y,_xll.qlInterestRateIndexFixingDate(IborIndex1Y,P31,Trigger),TRUE,AllTriggers)</f>
        <v>9.8993999999998916E-3</v>
      </c>
      <c r="T31" s="380">
        <f>(U31/V31-1)/R31</f>
        <v>5.1624999999999588E-3</v>
      </c>
      <c r="U31" s="381">
        <f>_xll.qlYieldTSDiscount(Discounting,P31,,AllTriggers)</f>
        <v>1</v>
      </c>
      <c r="V31" s="381">
        <f>_xll.qlYieldTSDiscount(Discounting,Q31,,AllTriggers)</f>
        <v>0.99486401452501472</v>
      </c>
      <c r="W31" s="430">
        <f>LN((1+S31*R31)/(1+T31*R31))</f>
        <v>4.7015019493089755E-3</v>
      </c>
      <c r="X31" s="380">
        <f>S31-T31</f>
        <v>4.7368999999999328E-3</v>
      </c>
    </row>
    <row r="32" spans="9:34" x14ac:dyDescent="0.2">
      <c r="I32" s="256"/>
      <c r="J32" s="256"/>
      <c r="M32" s="301">
        <f>M31+12</f>
        <v>12</v>
      </c>
      <c r="N32" s="301">
        <f t="shared" ref="N32:N36" si="0">M32+12</f>
        <v>24</v>
      </c>
      <c r="O32" s="305" t="str">
        <f t="shared" ref="O32:O36" si="1">M32&amp;"x"&amp;N32</f>
        <v>12x24</v>
      </c>
      <c r="P32" s="306">
        <f>_xll.qlCalendarAdvance(Calendar,SettlementDate,M32&amp;"M","mf")</f>
        <v>42489</v>
      </c>
      <c r="Q32" s="306">
        <f>_xll.qlInterestRateIndexMaturity(IborIndex1Y,P32)</f>
        <v>42853</v>
      </c>
      <c r="R32" s="342">
        <f>_xll.qlDayCounterYearFraction(DayCounter,P32,Q32,,,Trigger)</f>
        <v>0.99726027397260275</v>
      </c>
      <c r="S32" s="32">
        <f>_xll.qlIndexFixing(IborIndex1Y,_xll.qlInterestRateIndexFixingDate(IborIndex1Y,P32,Trigger),TRUE,AllTriggers)</f>
        <v>1.4249999999943808E-2</v>
      </c>
      <c r="T32" s="32">
        <f t="shared" ref="T32:T36" si="2">(U32/V32-1)/R32</f>
        <v>9.0855740121813591E-3</v>
      </c>
      <c r="U32" s="345">
        <f>_xll.qlYieldTSDiscount(Discounting,P32,,AllTriggers)</f>
        <v>0.99486401452501472</v>
      </c>
      <c r="V32" s="345">
        <f>_xll.qlYieldTSDiscount(Discounting,Q32,,AllTriggers)</f>
        <v>0.98593080896281582</v>
      </c>
      <c r="W32" s="431">
        <f t="shared" ref="W32:W36" si="3">LN((1+S32*R32)/(1+T32*R32))</f>
        <v>5.0910494620136923E-3</v>
      </c>
      <c r="X32" s="32">
        <f t="shared" ref="X32:X36" si="4">S32-T32</f>
        <v>5.1644259877624485E-3</v>
      </c>
    </row>
    <row r="33" spans="9:24" x14ac:dyDescent="0.2">
      <c r="M33" s="301">
        <f t="shared" ref="M33:M36" si="5">M32+12</f>
        <v>24</v>
      </c>
      <c r="N33" s="301">
        <f t="shared" si="0"/>
        <v>36</v>
      </c>
      <c r="O33" s="305" t="str">
        <f t="shared" si="1"/>
        <v>24x36</v>
      </c>
      <c r="P33" s="306">
        <f>_xll.qlCalendarAdvance(Calendar,SettlementDate,M33&amp;"M","mf")</f>
        <v>42853</v>
      </c>
      <c r="Q33" s="306">
        <f>_xll.qlInterestRateIndexMaturity(IborIndex1Y,P33)</f>
        <v>43220</v>
      </c>
      <c r="R33" s="342">
        <f>_xll.qlDayCounterYearFraction(DayCounter,P33,Q33,,,Trigger)</f>
        <v>1.0054794520547945</v>
      </c>
      <c r="S33" s="32">
        <f>_xll.qlIndexFixing(IborIndex1Y,_xll.qlInterestRateIndexFixingDate(IborIndex1Y,P33,Trigger),TRUE,AllTriggers)</f>
        <v>1.7763730204694066E-2</v>
      </c>
      <c r="T33" s="32">
        <f t="shared" si="2"/>
        <v>1.2814822425155432E-2</v>
      </c>
      <c r="U33" s="345">
        <f>_xll.qlYieldTSDiscount(Discounting,P33,,AllTriggers)</f>
        <v>0.98593080896281582</v>
      </c>
      <c r="V33" s="345">
        <f>_xll.qlYieldTSDiscount(Discounting,Q33,,AllTriggers)</f>
        <v>0.97338865657386175</v>
      </c>
      <c r="W33" s="431">
        <f t="shared" si="3"/>
        <v>4.9006963755054084E-3</v>
      </c>
      <c r="X33" s="32">
        <f t="shared" si="4"/>
        <v>4.9489077795386339E-3</v>
      </c>
    </row>
    <row r="34" spans="9:24" x14ac:dyDescent="0.2">
      <c r="I34" s="256"/>
      <c r="J34" s="256"/>
      <c r="M34" s="301">
        <f t="shared" si="5"/>
        <v>36</v>
      </c>
      <c r="N34" s="301">
        <f t="shared" si="0"/>
        <v>48</v>
      </c>
      <c r="O34" s="305" t="str">
        <f t="shared" si="1"/>
        <v>36x48</v>
      </c>
      <c r="P34" s="306">
        <f>_xll.qlCalendarAdvance(Calendar,SettlementDate,M34&amp;"M","mf")</f>
        <v>43220</v>
      </c>
      <c r="Q34" s="306">
        <f>_xll.qlInterestRateIndexMaturity(IborIndex1Y,P34)</f>
        <v>43585</v>
      </c>
      <c r="R34" s="342">
        <f>_xll.qlDayCounterYearFraction(DayCounter,P34,Q34,,,Trigger)</f>
        <v>1</v>
      </c>
      <c r="S34" s="32">
        <f>_xll.qlIndexFixing(IborIndex1Y,_xll.qlInterestRateIndexFixingDate(IborIndex1Y,P34,Trigger),TRUE,AllTriggers)</f>
        <v>2.0557857821130288E-2</v>
      </c>
      <c r="T34" s="32">
        <f t="shared" si="2"/>
        <v>1.5741021672078359E-2</v>
      </c>
      <c r="U34" s="345">
        <f>_xll.qlYieldTSDiscount(Discounting,P34,,AllTriggers)</f>
        <v>0.97338865657386175</v>
      </c>
      <c r="V34" s="345">
        <f>_xll.qlYieldTSDiscount(Discounting,Q34,,AllTriggers)</f>
        <v>0.95830397296695013</v>
      </c>
      <c r="W34" s="431">
        <f t="shared" si="3"/>
        <v>4.7309804880119634E-3</v>
      </c>
      <c r="X34" s="32">
        <f t="shared" si="4"/>
        <v>4.8168361490519285E-3</v>
      </c>
    </row>
    <row r="35" spans="9:24" x14ac:dyDescent="0.2">
      <c r="M35" s="301">
        <f t="shared" si="5"/>
        <v>48</v>
      </c>
      <c r="N35" s="301">
        <f t="shared" si="0"/>
        <v>60</v>
      </c>
      <c r="O35" s="305" t="str">
        <f t="shared" si="1"/>
        <v>48x60</v>
      </c>
      <c r="P35" s="306">
        <f>_xll.qlCalendarAdvance(Calendar,SettlementDate,M35&amp;"M","mf")</f>
        <v>43585</v>
      </c>
      <c r="Q35" s="306">
        <f>_xll.qlInterestRateIndexMaturity(IborIndex1Y,P35)</f>
        <v>43951</v>
      </c>
      <c r="R35" s="377">
        <f>_xll.qlDayCounterYearFraction(DayCounter,P35,Q35,,,Trigger)</f>
        <v>1.0027397260273974</v>
      </c>
      <c r="S35" s="378">
        <f>_xll.qlIndexFixing(IborIndex1Y,_xll.qlInterestRateIndexFixingDate(IborIndex1Y,P35,Trigger),TRUE,AllTriggers)</f>
        <v>2.2213445560707059E-2</v>
      </c>
      <c r="T35" s="32">
        <f t="shared" si="2"/>
        <v>1.7662055780370705E-2</v>
      </c>
      <c r="U35" s="345">
        <f>_xll.qlYieldTSDiscount(Discounting,P35,,AllTriggers)</f>
        <v>0.95830397296695013</v>
      </c>
      <c r="V35" s="345">
        <f>_xll.qlYieldTSDiscount(Discounting,Q35,,AllTriggers)</f>
        <v>0.94162733388391207</v>
      </c>
      <c r="W35" s="431">
        <f t="shared" si="3"/>
        <v>4.4744128181780423E-3</v>
      </c>
      <c r="X35" s="32">
        <f t="shared" si="4"/>
        <v>4.551389780336354E-3</v>
      </c>
    </row>
    <row r="36" spans="9:24" x14ac:dyDescent="0.2">
      <c r="I36" s="256"/>
      <c r="J36" s="256"/>
      <c r="M36" s="301">
        <f t="shared" si="5"/>
        <v>60</v>
      </c>
      <c r="N36" s="301">
        <f t="shared" si="0"/>
        <v>72</v>
      </c>
      <c r="O36" s="307" t="str">
        <f t="shared" si="1"/>
        <v>60x72</v>
      </c>
      <c r="P36" s="308">
        <f>_xll.qlCalendarAdvance(Calendar,SettlementDate,M36&amp;"M","mf")</f>
        <v>43951</v>
      </c>
      <c r="Q36" s="308">
        <f>_xll.qlInterestRateIndexMaturity(IborIndex1Y,P36)</f>
        <v>44316</v>
      </c>
      <c r="R36" s="382">
        <f>_xll.qlDayCounterYearFraction(DayCounter,P36,Q36,,,Trigger)</f>
        <v>1</v>
      </c>
      <c r="S36" s="383">
        <f>_xll.qlIndexFixing(IborIndex1Y,_xll.qlInterestRateIndexFixingDate(IborIndex1Y,P36,Trigger),TRUE,AllTriggers)</f>
        <v>2.3318392159694223E-2</v>
      </c>
      <c r="T36" s="384">
        <f t="shared" si="2"/>
        <v>1.8581778054753917E-2</v>
      </c>
      <c r="U36" s="385">
        <f>_xll.qlYieldTSDiscount(Discounting,P36,,AllTriggers)</f>
        <v>0.94162733388391207</v>
      </c>
      <c r="V36" s="385">
        <f>_xll.qlYieldTSDiscount(Discounting,Q36,,AllTriggers)</f>
        <v>0.92444941993974572</v>
      </c>
      <c r="W36" s="432">
        <f t="shared" si="3"/>
        <v>4.6394262266557769E-3</v>
      </c>
      <c r="X36" s="384">
        <f t="shared" si="4"/>
        <v>4.7366141049403065E-3</v>
      </c>
    </row>
    <row r="37" spans="9:24" x14ac:dyDescent="0.2">
      <c r="O37" s="301"/>
      <c r="P37" s="301"/>
      <c r="Q37" s="299"/>
      <c r="R37" s="299"/>
      <c r="S37" s="299"/>
      <c r="T37" s="300"/>
      <c r="U37" s="301"/>
      <c r="V37" s="300"/>
      <c r="W37" s="302"/>
      <c r="X37" s="300"/>
    </row>
    <row r="38" spans="9:24" x14ac:dyDescent="0.2">
      <c r="I38" s="256"/>
      <c r="J38" s="256"/>
    </row>
  </sheetData>
  <dataValidations count="4">
    <dataValidation type="list" allowBlank="1" showInputMessage="1" showErrorMessage="1" sqref="F5:F10">
      <formula1>"Annual,Semiannual,EveryFourthMonth,Quarterly,Bimonthly,Monthly,Biweekly,Weekly,Daily,Once,NoFrequency"</formula1>
    </dataValidation>
    <dataValidation type="list" allowBlank="1" showInputMessage="1" showErrorMessage="1" sqref="H5:H1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5:G10">
      <formula1>"Following,Modified Following,Preceding,Modified Preceding,Month End Reference,Unadjusted Month End,Unadjusted"</formula1>
    </dataValidation>
    <dataValidation type="list" allowBlank="1" showInputMessage="1" showErrorMessage="1" sqref="R3:R10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activeCell="B2" sqref="B2"/>
    </sheetView>
  </sheetViews>
  <sheetFormatPr defaultRowHeight="11.25" x14ac:dyDescent="0.2"/>
  <cols>
    <col min="1" max="1" width="3.33203125" style="478" customWidth="1"/>
    <col min="2" max="2" width="4.5" style="478" bestFit="1" customWidth="1"/>
    <col min="3" max="3" width="3.5" style="478" bestFit="1" customWidth="1"/>
    <col min="4" max="4" width="3.1640625" style="478" bestFit="1" customWidth="1"/>
    <col min="5" max="5" width="5.5" style="478" bestFit="1" customWidth="1"/>
    <col min="6" max="6" width="3.1640625" style="478" bestFit="1" customWidth="1"/>
    <col min="7" max="7" width="4.1640625" style="478" bestFit="1" customWidth="1"/>
    <col min="8" max="8" width="18.1640625" style="478" bestFit="1" customWidth="1"/>
    <col min="9" max="9" width="19.33203125" style="478" bestFit="1" customWidth="1"/>
    <col min="10" max="10" width="36.6640625" style="478" bestFit="1" customWidth="1"/>
    <col min="11" max="11" width="30.1640625" style="478" bestFit="1" customWidth="1"/>
    <col min="12" max="12" width="24.6640625" style="478" customWidth="1"/>
    <col min="13" max="14" width="3.33203125" style="478" customWidth="1"/>
    <col min="15" max="15" width="4.6640625" style="478" bestFit="1" customWidth="1"/>
    <col min="16" max="16" width="3.6640625" style="478" bestFit="1" customWidth="1"/>
    <col min="17" max="17" width="3.1640625" style="478" bestFit="1" customWidth="1"/>
    <col min="18" max="18" width="3.83203125" style="478" bestFit="1" customWidth="1"/>
    <col min="19" max="20" width="4.1640625" style="478" bestFit="1" customWidth="1"/>
    <col min="21" max="16384" width="9.33203125" style="478"/>
  </cols>
  <sheetData>
    <row r="1" spans="1:13" x14ac:dyDescent="0.2">
      <c r="A1" s="474"/>
      <c r="B1" s="475"/>
      <c r="C1" s="475"/>
      <c r="D1" s="475"/>
      <c r="E1" s="475"/>
      <c r="F1" s="475"/>
      <c r="G1" s="475"/>
      <c r="H1" s="475"/>
      <c r="I1" s="475" t="s">
        <v>160</v>
      </c>
      <c r="J1" s="475"/>
      <c r="K1" s="475"/>
      <c r="L1" s="476"/>
      <c r="M1" s="477"/>
    </row>
    <row r="2" spans="1:13" ht="22.5" x14ac:dyDescent="0.2">
      <c r="A2" s="479"/>
      <c r="B2" s="480"/>
      <c r="C2" s="480"/>
      <c r="D2" s="480"/>
      <c r="E2" s="480" t="s">
        <v>119</v>
      </c>
      <c r="F2" s="480"/>
      <c r="G2" s="480"/>
      <c r="H2" s="480" t="s">
        <v>123</v>
      </c>
      <c r="I2" s="480" t="s">
        <v>161</v>
      </c>
      <c r="J2" s="481" t="str">
        <f>Currency&amp;"_020_Sw"&amp;$C$3&amp;$D$3&amp;"_"&amp;"Fwd"&amp;$E$3&amp;IF(H3=0,,"_Spr"&amp;$F3&amp;$G3)&amp;".xml"</f>
        <v>GBP_020_SwSB6L_Fwd0D_Spr6L12L.xml</v>
      </c>
      <c r="K2" s="482" t="str">
        <f>IF(Serialize,_xll.ohObjectSave(K3:K36,SerializationPath&amp;J2,FileOverwrite,Serialize),"---")</f>
        <v>---</v>
      </c>
      <c r="L2" s="481" t="str">
        <f>_xll.ohRangeRetrieveError(K2)</f>
        <v/>
      </c>
      <c r="M2" s="483"/>
    </row>
    <row r="3" spans="1:13" x14ac:dyDescent="0.2">
      <c r="A3" s="479"/>
      <c r="B3" s="484" t="s">
        <v>25</v>
      </c>
      <c r="C3" s="485" t="s">
        <v>162</v>
      </c>
      <c r="D3" s="485" t="s">
        <v>163</v>
      </c>
      <c r="E3" s="485" t="s">
        <v>127</v>
      </c>
      <c r="F3" s="485" t="s">
        <v>163</v>
      </c>
      <c r="G3" s="485" t="s">
        <v>164</v>
      </c>
      <c r="H3" s="486" t="str">
        <f t="shared" ref="H3:H36" si="0">IF(F3=0,0,Currency&amp;$F3&amp;$G3&amp;$B3&amp;QuoteSuffix)</f>
        <v>GBP6L12L1Y_Quote</v>
      </c>
      <c r="I3" s="487" t="str">
        <f t="shared" ref="I3:I36" si="1">PROPER(Currency)&amp;$I$1&amp;"SwapIsda"&amp;$B3</f>
        <v>GbpLiborSwapIsda1Y</v>
      </c>
      <c r="J3" s="488" t="str">
        <f t="shared" ref="J3:J36" si="2">Currency&amp;$C3&amp;$D3&amp;$B3&amp;IF(UPPER(E3)="0D","","_Fwd"&amp;E3)&amp;IF(H3=0,,"_S"&amp;$F3&amp;$G3)&amp;QuoteSuffix</f>
        <v>GBPSB6L1Y_S6L12L_Quote</v>
      </c>
      <c r="K3" s="488"/>
      <c r="L3" s="488" t="str">
        <f>_xll.ohRangeRetrieveError(K3)</f>
        <v/>
      </c>
      <c r="M3" s="483"/>
    </row>
    <row r="4" spans="1:13" x14ac:dyDescent="0.2">
      <c r="A4" s="479"/>
      <c r="B4" s="484" t="s">
        <v>165</v>
      </c>
      <c r="C4" s="485" t="s">
        <v>162</v>
      </c>
      <c r="D4" s="485" t="s">
        <v>163</v>
      </c>
      <c r="E4" s="485" t="s">
        <v>127</v>
      </c>
      <c r="F4" s="485" t="s">
        <v>163</v>
      </c>
      <c r="G4" s="485" t="s">
        <v>164</v>
      </c>
      <c r="H4" s="486" t="str">
        <f t="shared" si="0"/>
        <v>GBP6L12L2Y_Quote</v>
      </c>
      <c r="I4" s="489" t="str">
        <f t="shared" si="1"/>
        <v>GbpLiborSwapIsda2Y</v>
      </c>
      <c r="J4" s="488" t="str">
        <f t="shared" si="2"/>
        <v>GBPSB6L2Y_S6L12L_Quote</v>
      </c>
      <c r="K4" s="488" t="str">
        <f>_xll.qlForwardSwapQuote(J4,I4,H4,E4,Permanent,Trigger,ObjectOverwrite)</f>
        <v>GBPSB6L2Y_S6L12L_Quote#0000</v>
      </c>
      <c r="L4" s="488" t="str">
        <f>_xll.ohRangeRetrieveError(K4)</f>
        <v/>
      </c>
      <c r="M4" s="483"/>
    </row>
    <row r="5" spans="1:13" x14ac:dyDescent="0.2">
      <c r="A5" s="479"/>
      <c r="B5" s="484" t="s">
        <v>81</v>
      </c>
      <c r="C5" s="485" t="s">
        <v>162</v>
      </c>
      <c r="D5" s="485" t="s">
        <v>163</v>
      </c>
      <c r="E5" s="485" t="s">
        <v>127</v>
      </c>
      <c r="F5" s="485" t="s">
        <v>163</v>
      </c>
      <c r="G5" s="485" t="s">
        <v>164</v>
      </c>
      <c r="H5" s="486" t="str">
        <f t="shared" si="0"/>
        <v>GBP6L12L3Y_Quote</v>
      </c>
      <c r="I5" s="489" t="str">
        <f t="shared" si="1"/>
        <v>GbpLiborSwapIsda3Y</v>
      </c>
      <c r="J5" s="488" t="str">
        <f t="shared" si="2"/>
        <v>GBPSB6L3Y_S6L12L_Quote</v>
      </c>
      <c r="K5" s="488" t="str">
        <f>_xll.qlForwardSwapQuote(J5,I5,H5,E5,Permanent,Trigger,ObjectOverwrite)</f>
        <v>GBPSB6L3Y_S6L12L_Quote#0000</v>
      </c>
      <c r="L5" s="488" t="str">
        <f>_xll.ohRangeRetrieveError(K5)</f>
        <v/>
      </c>
      <c r="M5" s="483"/>
    </row>
    <row r="6" spans="1:13" x14ac:dyDescent="0.2">
      <c r="A6" s="479"/>
      <c r="B6" s="484" t="s">
        <v>82</v>
      </c>
      <c r="C6" s="485" t="s">
        <v>162</v>
      </c>
      <c r="D6" s="485" t="s">
        <v>163</v>
      </c>
      <c r="E6" s="485" t="s">
        <v>127</v>
      </c>
      <c r="F6" s="485" t="s">
        <v>163</v>
      </c>
      <c r="G6" s="485" t="s">
        <v>164</v>
      </c>
      <c r="H6" s="486" t="str">
        <f t="shared" si="0"/>
        <v>GBP6L12L4Y_Quote</v>
      </c>
      <c r="I6" s="489" t="str">
        <f t="shared" si="1"/>
        <v>GbpLiborSwapIsda4Y</v>
      </c>
      <c r="J6" s="488" t="str">
        <f t="shared" si="2"/>
        <v>GBPSB6L4Y_S6L12L_Quote</v>
      </c>
      <c r="K6" s="488" t="str">
        <f>_xll.qlForwardSwapQuote(J6,I6,H6,E6,Permanent,Trigger,ObjectOverwrite)</f>
        <v>GBPSB6L4Y_S6L12L_Quote#0000</v>
      </c>
      <c r="L6" s="488" t="str">
        <f>_xll.ohRangeRetrieveError(K6)</f>
        <v/>
      </c>
      <c r="M6" s="483"/>
    </row>
    <row r="7" spans="1:13" x14ac:dyDescent="0.2">
      <c r="A7" s="479"/>
      <c r="B7" s="484" t="s">
        <v>83</v>
      </c>
      <c r="C7" s="485" t="s">
        <v>162</v>
      </c>
      <c r="D7" s="485" t="s">
        <v>163</v>
      </c>
      <c r="E7" s="485" t="s">
        <v>127</v>
      </c>
      <c r="F7" s="485" t="s">
        <v>163</v>
      </c>
      <c r="G7" s="485" t="s">
        <v>164</v>
      </c>
      <c r="H7" s="486" t="str">
        <f t="shared" si="0"/>
        <v>GBP6L12L5Y_Quote</v>
      </c>
      <c r="I7" s="489" t="str">
        <f t="shared" si="1"/>
        <v>GbpLiborSwapIsda5Y</v>
      </c>
      <c r="J7" s="488" t="str">
        <f t="shared" si="2"/>
        <v>GBPSB6L5Y_S6L12L_Quote</v>
      </c>
      <c r="K7" s="488" t="str">
        <f>_xll.qlForwardSwapQuote(J7,I7,H7,E7,Permanent,Trigger,ObjectOverwrite)</f>
        <v>GBPSB6L5Y_S6L12L_Quote#0000</v>
      </c>
      <c r="L7" s="488" t="str">
        <f>_xll.ohRangeRetrieveError(K7)</f>
        <v/>
      </c>
      <c r="M7" s="483"/>
    </row>
    <row r="8" spans="1:13" x14ac:dyDescent="0.2">
      <c r="A8" s="479"/>
      <c r="B8" s="484" t="s">
        <v>132</v>
      </c>
      <c r="C8" s="485" t="s">
        <v>162</v>
      </c>
      <c r="D8" s="485" t="s">
        <v>163</v>
      </c>
      <c r="E8" s="485" t="s">
        <v>127</v>
      </c>
      <c r="F8" s="485" t="s">
        <v>163</v>
      </c>
      <c r="G8" s="485" t="s">
        <v>164</v>
      </c>
      <c r="H8" s="486" t="str">
        <f t="shared" si="0"/>
        <v>GBP6L12L6Y_Quote</v>
      </c>
      <c r="I8" s="489" t="str">
        <f t="shared" si="1"/>
        <v>GbpLiborSwapIsda6Y</v>
      </c>
      <c r="J8" s="488" t="str">
        <f t="shared" si="2"/>
        <v>GBPSB6L6Y_S6L12L_Quote</v>
      </c>
      <c r="K8" s="488" t="str">
        <f>_xll.qlForwardSwapQuote(J8,I8,H8,E8,Permanent,Trigger,ObjectOverwrite)</f>
        <v>GBPSB6L6Y_S6L12L_Quote#0000</v>
      </c>
      <c r="L8" s="488" t="str">
        <f>_xll.ohRangeRetrieveError(K8)</f>
        <v/>
      </c>
      <c r="M8" s="483"/>
    </row>
    <row r="9" spans="1:13" x14ac:dyDescent="0.2">
      <c r="A9" s="479"/>
      <c r="B9" s="484" t="s">
        <v>133</v>
      </c>
      <c r="C9" s="485" t="s">
        <v>162</v>
      </c>
      <c r="D9" s="485" t="s">
        <v>163</v>
      </c>
      <c r="E9" s="485" t="s">
        <v>127</v>
      </c>
      <c r="F9" s="485" t="s">
        <v>163</v>
      </c>
      <c r="G9" s="485" t="s">
        <v>164</v>
      </c>
      <c r="H9" s="486" t="str">
        <f t="shared" si="0"/>
        <v>GBP6L12L7Y_Quote</v>
      </c>
      <c r="I9" s="489" t="str">
        <f t="shared" si="1"/>
        <v>GbpLiborSwapIsda7Y</v>
      </c>
      <c r="J9" s="488" t="str">
        <f t="shared" si="2"/>
        <v>GBPSB6L7Y_S6L12L_Quote</v>
      </c>
      <c r="K9" s="488" t="str">
        <f>_xll.qlForwardSwapQuote(J9,I9,H9,E9,Permanent,Trigger,ObjectOverwrite)</f>
        <v>GBPSB6L7Y_S6L12L_Quote#0000</v>
      </c>
      <c r="L9" s="488" t="str">
        <f>_xll.ohRangeRetrieveError(K9)</f>
        <v/>
      </c>
      <c r="M9" s="483"/>
    </row>
    <row r="10" spans="1:13" x14ac:dyDescent="0.2">
      <c r="A10" s="479"/>
      <c r="B10" s="484" t="s">
        <v>134</v>
      </c>
      <c r="C10" s="485" t="s">
        <v>162</v>
      </c>
      <c r="D10" s="485" t="s">
        <v>163</v>
      </c>
      <c r="E10" s="485" t="s">
        <v>127</v>
      </c>
      <c r="F10" s="485" t="s">
        <v>163</v>
      </c>
      <c r="G10" s="485" t="s">
        <v>164</v>
      </c>
      <c r="H10" s="486" t="str">
        <f t="shared" si="0"/>
        <v>GBP6L12L8Y_Quote</v>
      </c>
      <c r="I10" s="489" t="str">
        <f t="shared" si="1"/>
        <v>GbpLiborSwapIsda8Y</v>
      </c>
      <c r="J10" s="488" t="str">
        <f t="shared" si="2"/>
        <v>GBPSB6L8Y_S6L12L_Quote</v>
      </c>
      <c r="K10" s="488" t="str">
        <f>_xll.qlForwardSwapQuote(J10,I10,H10,E10,Permanent,Trigger,ObjectOverwrite)</f>
        <v>GBPSB6L8Y_S6L12L_Quote#0000</v>
      </c>
      <c r="L10" s="488" t="str">
        <f>_xll.ohRangeRetrieveError(K10)</f>
        <v/>
      </c>
      <c r="M10" s="483"/>
    </row>
    <row r="11" spans="1:13" x14ac:dyDescent="0.2">
      <c r="A11" s="479"/>
      <c r="B11" s="484" t="s">
        <v>166</v>
      </c>
      <c r="C11" s="485" t="s">
        <v>162</v>
      </c>
      <c r="D11" s="485" t="s">
        <v>163</v>
      </c>
      <c r="E11" s="485" t="s">
        <v>127</v>
      </c>
      <c r="F11" s="485" t="s">
        <v>163</v>
      </c>
      <c r="G11" s="485" t="s">
        <v>164</v>
      </c>
      <c r="H11" s="486" t="str">
        <f t="shared" si="0"/>
        <v>GBP6L12L9Y_Quote</v>
      </c>
      <c r="I11" s="489" t="str">
        <f t="shared" si="1"/>
        <v>GbpLiborSwapIsda9Y</v>
      </c>
      <c r="J11" s="488" t="str">
        <f t="shared" si="2"/>
        <v>GBPSB6L9Y_S6L12L_Quote</v>
      </c>
      <c r="K11" s="488" t="str">
        <f>_xll.qlForwardSwapQuote(J11,I11,H11,E11,Permanent,Trigger,ObjectOverwrite)</f>
        <v>GBPSB6L9Y_S6L12L_Quote#0000</v>
      </c>
      <c r="L11" s="488" t="str">
        <f>_xll.ohRangeRetrieveError(K11)</f>
        <v/>
      </c>
      <c r="M11" s="483"/>
    </row>
    <row r="12" spans="1:13" x14ac:dyDescent="0.2">
      <c r="A12" s="479"/>
      <c r="B12" s="484" t="s">
        <v>167</v>
      </c>
      <c r="C12" s="485" t="s">
        <v>162</v>
      </c>
      <c r="D12" s="485" t="s">
        <v>163</v>
      </c>
      <c r="E12" s="485" t="s">
        <v>127</v>
      </c>
      <c r="F12" s="485" t="s">
        <v>163</v>
      </c>
      <c r="G12" s="485" t="s">
        <v>164</v>
      </c>
      <c r="H12" s="486" t="str">
        <f t="shared" si="0"/>
        <v>GBP6L12L10Y_Quote</v>
      </c>
      <c r="I12" s="489" t="str">
        <f t="shared" si="1"/>
        <v>GbpLiborSwapIsda10Y</v>
      </c>
      <c r="J12" s="488" t="str">
        <f t="shared" si="2"/>
        <v>GBPSB6L10Y_S6L12L_Quote</v>
      </c>
      <c r="K12" s="488" t="str">
        <f>_xll.qlForwardSwapQuote(J12,I12,H12,E12,Permanent,Trigger,ObjectOverwrite)</f>
        <v>GBPSB6L10Y_S6L12L_Quote#0000</v>
      </c>
      <c r="L12" s="488" t="str">
        <f>_xll.ohRangeRetrieveError(K12)</f>
        <v/>
      </c>
      <c r="M12" s="483"/>
    </row>
    <row r="13" spans="1:13" x14ac:dyDescent="0.2">
      <c r="A13" s="479"/>
      <c r="B13" s="484" t="s">
        <v>168</v>
      </c>
      <c r="C13" s="485" t="s">
        <v>162</v>
      </c>
      <c r="D13" s="485" t="s">
        <v>163</v>
      </c>
      <c r="E13" s="485" t="s">
        <v>127</v>
      </c>
      <c r="F13" s="485" t="s">
        <v>163</v>
      </c>
      <c r="G13" s="485" t="s">
        <v>164</v>
      </c>
      <c r="H13" s="486" t="str">
        <f t="shared" si="0"/>
        <v>GBP6L12L11Y_Quote</v>
      </c>
      <c r="I13" s="489" t="str">
        <f t="shared" si="1"/>
        <v>GbpLiborSwapIsda11Y</v>
      </c>
      <c r="J13" s="488" t="str">
        <f t="shared" si="2"/>
        <v>GBPSB6L11Y_S6L12L_Quote</v>
      </c>
      <c r="K13" s="488" t="str">
        <f>_xll.qlForwardSwapQuote(J13,I13,H13,E13,Permanent,Trigger,ObjectOverwrite)</f>
        <v>GBPSB6L11Y_S6L12L_Quote#0000</v>
      </c>
      <c r="L13" s="488" t="str">
        <f>_xll.ohRangeRetrieveError(K13)</f>
        <v/>
      </c>
      <c r="M13" s="483"/>
    </row>
    <row r="14" spans="1:13" x14ac:dyDescent="0.2">
      <c r="A14" s="479"/>
      <c r="B14" s="484" t="s">
        <v>169</v>
      </c>
      <c r="C14" s="485" t="s">
        <v>162</v>
      </c>
      <c r="D14" s="485" t="s">
        <v>163</v>
      </c>
      <c r="E14" s="485" t="s">
        <v>127</v>
      </c>
      <c r="F14" s="485" t="s">
        <v>163</v>
      </c>
      <c r="G14" s="485" t="s">
        <v>164</v>
      </c>
      <c r="H14" s="486" t="str">
        <f t="shared" si="0"/>
        <v>GBP6L12L12Y_Quote</v>
      </c>
      <c r="I14" s="489" t="str">
        <f t="shared" si="1"/>
        <v>GbpLiborSwapIsda12Y</v>
      </c>
      <c r="J14" s="488" t="str">
        <f t="shared" si="2"/>
        <v>GBPSB6L12Y_S6L12L_Quote</v>
      </c>
      <c r="K14" s="488" t="str">
        <f>_xll.qlForwardSwapQuote(J14,I14,H14,E14,Permanent,Trigger,ObjectOverwrite)</f>
        <v>GBPSB6L12Y_S6L12L_Quote#0000</v>
      </c>
      <c r="L14" s="488" t="str">
        <f>_xll.ohRangeRetrieveError(K14)</f>
        <v/>
      </c>
      <c r="M14" s="483"/>
    </row>
    <row r="15" spans="1:13" x14ac:dyDescent="0.2">
      <c r="A15" s="479"/>
      <c r="B15" s="484" t="s">
        <v>170</v>
      </c>
      <c r="C15" s="485" t="s">
        <v>162</v>
      </c>
      <c r="D15" s="485" t="s">
        <v>163</v>
      </c>
      <c r="E15" s="485" t="s">
        <v>127</v>
      </c>
      <c r="F15" s="485" t="s">
        <v>163</v>
      </c>
      <c r="G15" s="485" t="s">
        <v>164</v>
      </c>
      <c r="H15" s="486" t="str">
        <f t="shared" si="0"/>
        <v>GBP6L12L13Y_Quote</v>
      </c>
      <c r="I15" s="489" t="str">
        <f t="shared" si="1"/>
        <v>GbpLiborSwapIsda13Y</v>
      </c>
      <c r="J15" s="488" t="str">
        <f t="shared" si="2"/>
        <v>GBPSB6L13Y_S6L12L_Quote</v>
      </c>
      <c r="K15" s="488" t="str">
        <f>_xll.qlForwardSwapQuote(J15,I15,H15,E15,Permanent,Trigger,ObjectOverwrite)</f>
        <v>GBPSB6L13Y_S6L12L_Quote#0000</v>
      </c>
      <c r="L15" s="488" t="str">
        <f>_xll.ohRangeRetrieveError(K15)</f>
        <v/>
      </c>
      <c r="M15" s="483"/>
    </row>
    <row r="16" spans="1:13" x14ac:dyDescent="0.2">
      <c r="A16" s="479"/>
      <c r="B16" s="484" t="s">
        <v>171</v>
      </c>
      <c r="C16" s="485" t="s">
        <v>162</v>
      </c>
      <c r="D16" s="485" t="s">
        <v>163</v>
      </c>
      <c r="E16" s="485" t="s">
        <v>127</v>
      </c>
      <c r="F16" s="485" t="s">
        <v>163</v>
      </c>
      <c r="G16" s="485" t="s">
        <v>164</v>
      </c>
      <c r="H16" s="486" t="str">
        <f t="shared" si="0"/>
        <v>GBP6L12L14Y_Quote</v>
      </c>
      <c r="I16" s="489" t="str">
        <f t="shared" si="1"/>
        <v>GbpLiborSwapIsda14Y</v>
      </c>
      <c r="J16" s="488" t="str">
        <f t="shared" si="2"/>
        <v>GBPSB6L14Y_S6L12L_Quote</v>
      </c>
      <c r="K16" s="488" t="str">
        <f>_xll.qlForwardSwapQuote(J16,I16,H16,E16,Permanent,Trigger,ObjectOverwrite)</f>
        <v>GBPSB6L14Y_S6L12L_Quote#0000</v>
      </c>
      <c r="L16" s="488" t="str">
        <f>_xll.ohRangeRetrieveError(K16)</f>
        <v/>
      </c>
      <c r="M16" s="483"/>
    </row>
    <row r="17" spans="1:13" x14ac:dyDescent="0.2">
      <c r="A17" s="479"/>
      <c r="B17" s="484" t="s">
        <v>172</v>
      </c>
      <c r="C17" s="485" t="s">
        <v>162</v>
      </c>
      <c r="D17" s="485" t="s">
        <v>163</v>
      </c>
      <c r="E17" s="485" t="s">
        <v>127</v>
      </c>
      <c r="F17" s="485" t="s">
        <v>163</v>
      </c>
      <c r="G17" s="485" t="s">
        <v>164</v>
      </c>
      <c r="H17" s="486" t="str">
        <f t="shared" si="0"/>
        <v>GBP6L12L15Y_Quote</v>
      </c>
      <c r="I17" s="489" t="str">
        <f t="shared" si="1"/>
        <v>GbpLiborSwapIsda15Y</v>
      </c>
      <c r="J17" s="488" t="str">
        <f t="shared" si="2"/>
        <v>GBPSB6L15Y_S6L12L_Quote</v>
      </c>
      <c r="K17" s="488" t="str">
        <f>_xll.qlForwardSwapQuote(J17,I17,H17,E17,Permanent,Trigger,ObjectOverwrite)</f>
        <v>GBPSB6L15Y_S6L12L_Quote#0000</v>
      </c>
      <c r="L17" s="488" t="str">
        <f>_xll.ohRangeRetrieveError(K17)</f>
        <v/>
      </c>
      <c r="M17" s="483"/>
    </row>
    <row r="18" spans="1:13" x14ac:dyDescent="0.2">
      <c r="A18" s="479"/>
      <c r="B18" s="484" t="s">
        <v>173</v>
      </c>
      <c r="C18" s="485" t="s">
        <v>162</v>
      </c>
      <c r="D18" s="485" t="s">
        <v>163</v>
      </c>
      <c r="E18" s="485" t="s">
        <v>127</v>
      </c>
      <c r="F18" s="485" t="s">
        <v>163</v>
      </c>
      <c r="G18" s="485" t="s">
        <v>164</v>
      </c>
      <c r="H18" s="486" t="str">
        <f t="shared" si="0"/>
        <v>GBP6L12L16Y_Quote</v>
      </c>
      <c r="I18" s="489" t="str">
        <f t="shared" si="1"/>
        <v>GbpLiborSwapIsda16Y</v>
      </c>
      <c r="J18" s="488" t="str">
        <f t="shared" si="2"/>
        <v>GBPSB6L16Y_S6L12L_Quote</v>
      </c>
      <c r="K18" s="488" t="str">
        <f>_xll.qlForwardSwapQuote(J18,I18,H18,E18,Permanent,Trigger,ObjectOverwrite)</f>
        <v>GBPSB6L16Y_S6L12L_Quote#0000</v>
      </c>
      <c r="L18" s="488" t="str">
        <f>_xll.ohRangeRetrieveError(K18)</f>
        <v/>
      </c>
      <c r="M18" s="483"/>
    </row>
    <row r="19" spans="1:13" x14ac:dyDescent="0.2">
      <c r="A19" s="479"/>
      <c r="B19" s="484" t="s">
        <v>174</v>
      </c>
      <c r="C19" s="485" t="s">
        <v>162</v>
      </c>
      <c r="D19" s="485" t="s">
        <v>163</v>
      </c>
      <c r="E19" s="485" t="s">
        <v>127</v>
      </c>
      <c r="F19" s="485" t="s">
        <v>163</v>
      </c>
      <c r="G19" s="485" t="s">
        <v>164</v>
      </c>
      <c r="H19" s="486" t="str">
        <f t="shared" si="0"/>
        <v>GBP6L12L17Y_Quote</v>
      </c>
      <c r="I19" s="489" t="str">
        <f t="shared" si="1"/>
        <v>GbpLiborSwapIsda17Y</v>
      </c>
      <c r="J19" s="488" t="str">
        <f t="shared" si="2"/>
        <v>GBPSB6L17Y_S6L12L_Quote</v>
      </c>
      <c r="K19" s="488" t="str">
        <f>_xll.qlForwardSwapQuote(J19,I19,H19,E19,Permanent,Trigger,ObjectOverwrite)</f>
        <v>GBPSB6L17Y_S6L12L_Quote#0000</v>
      </c>
      <c r="L19" s="488" t="str">
        <f>_xll.ohRangeRetrieveError(K19)</f>
        <v/>
      </c>
      <c r="M19" s="483"/>
    </row>
    <row r="20" spans="1:13" x14ac:dyDescent="0.2">
      <c r="A20" s="479"/>
      <c r="B20" s="484" t="s">
        <v>175</v>
      </c>
      <c r="C20" s="485" t="s">
        <v>162</v>
      </c>
      <c r="D20" s="485" t="s">
        <v>163</v>
      </c>
      <c r="E20" s="485" t="s">
        <v>127</v>
      </c>
      <c r="F20" s="485" t="s">
        <v>163</v>
      </c>
      <c r="G20" s="485" t="s">
        <v>164</v>
      </c>
      <c r="H20" s="486" t="str">
        <f t="shared" si="0"/>
        <v>GBP6L12L18Y_Quote</v>
      </c>
      <c r="I20" s="489" t="str">
        <f t="shared" si="1"/>
        <v>GbpLiborSwapIsda18Y</v>
      </c>
      <c r="J20" s="488" t="str">
        <f t="shared" si="2"/>
        <v>GBPSB6L18Y_S6L12L_Quote</v>
      </c>
      <c r="K20" s="488" t="str">
        <f>_xll.qlForwardSwapQuote(J20,I20,H20,E20,Permanent,Trigger,ObjectOverwrite)</f>
        <v>GBPSB6L18Y_S6L12L_Quote#0000</v>
      </c>
      <c r="L20" s="488" t="str">
        <f>_xll.ohRangeRetrieveError(K20)</f>
        <v/>
      </c>
      <c r="M20" s="483"/>
    </row>
    <row r="21" spans="1:13" x14ac:dyDescent="0.2">
      <c r="A21" s="479"/>
      <c r="B21" s="484" t="s">
        <v>176</v>
      </c>
      <c r="C21" s="485" t="s">
        <v>162</v>
      </c>
      <c r="D21" s="485" t="s">
        <v>163</v>
      </c>
      <c r="E21" s="485" t="s">
        <v>127</v>
      </c>
      <c r="F21" s="485" t="s">
        <v>163</v>
      </c>
      <c r="G21" s="485" t="s">
        <v>164</v>
      </c>
      <c r="H21" s="486" t="str">
        <f t="shared" si="0"/>
        <v>GBP6L12L19Y_Quote</v>
      </c>
      <c r="I21" s="489" t="str">
        <f t="shared" si="1"/>
        <v>GbpLiborSwapIsda19Y</v>
      </c>
      <c r="J21" s="488" t="str">
        <f t="shared" si="2"/>
        <v>GBPSB6L19Y_S6L12L_Quote</v>
      </c>
      <c r="K21" s="488" t="str">
        <f>_xll.qlForwardSwapQuote(J21,I21,H21,E21,Permanent,Trigger,ObjectOverwrite)</f>
        <v>GBPSB6L19Y_S6L12L_Quote#0000</v>
      </c>
      <c r="L21" s="488" t="str">
        <f>_xll.ohRangeRetrieveError(K21)</f>
        <v/>
      </c>
      <c r="M21" s="483"/>
    </row>
    <row r="22" spans="1:13" x14ac:dyDescent="0.2">
      <c r="A22" s="479"/>
      <c r="B22" s="484" t="s">
        <v>177</v>
      </c>
      <c r="C22" s="485" t="s">
        <v>162</v>
      </c>
      <c r="D22" s="485" t="s">
        <v>163</v>
      </c>
      <c r="E22" s="485" t="s">
        <v>127</v>
      </c>
      <c r="F22" s="485" t="s">
        <v>163</v>
      </c>
      <c r="G22" s="485" t="s">
        <v>164</v>
      </c>
      <c r="H22" s="486" t="str">
        <f t="shared" si="0"/>
        <v>GBP6L12L20Y_Quote</v>
      </c>
      <c r="I22" s="489" t="str">
        <f t="shared" si="1"/>
        <v>GbpLiborSwapIsda20Y</v>
      </c>
      <c r="J22" s="488" t="str">
        <f t="shared" si="2"/>
        <v>GBPSB6L20Y_S6L12L_Quote</v>
      </c>
      <c r="K22" s="488" t="str">
        <f>_xll.qlForwardSwapQuote(J22,I22,H22,E22,Permanent,Trigger,ObjectOverwrite)</f>
        <v>GBPSB6L20Y_S6L12L_Quote#0000</v>
      </c>
      <c r="L22" s="488" t="str">
        <f>_xll.ohRangeRetrieveError(K22)</f>
        <v/>
      </c>
      <c r="M22" s="483"/>
    </row>
    <row r="23" spans="1:13" x14ac:dyDescent="0.2">
      <c r="A23" s="479"/>
      <c r="B23" s="484" t="s">
        <v>178</v>
      </c>
      <c r="C23" s="485" t="s">
        <v>162</v>
      </c>
      <c r="D23" s="485" t="s">
        <v>163</v>
      </c>
      <c r="E23" s="485" t="s">
        <v>127</v>
      </c>
      <c r="F23" s="485" t="s">
        <v>163</v>
      </c>
      <c r="G23" s="485" t="s">
        <v>164</v>
      </c>
      <c r="H23" s="486" t="str">
        <f t="shared" si="0"/>
        <v>GBP6L12L21Y_Quote</v>
      </c>
      <c r="I23" s="489" t="str">
        <f t="shared" si="1"/>
        <v>GbpLiborSwapIsda21Y</v>
      </c>
      <c r="J23" s="488" t="str">
        <f t="shared" si="2"/>
        <v>GBPSB6L21Y_S6L12L_Quote</v>
      </c>
      <c r="K23" s="488" t="str">
        <f>_xll.qlForwardSwapQuote(J23,I23,H23,E23,Permanent,Trigger,ObjectOverwrite)</f>
        <v>GBPSB6L21Y_S6L12L_Quote#0000</v>
      </c>
      <c r="L23" s="488" t="str">
        <f>_xll.ohRangeRetrieveError(K23)</f>
        <v/>
      </c>
      <c r="M23" s="483"/>
    </row>
    <row r="24" spans="1:13" x14ac:dyDescent="0.2">
      <c r="A24" s="479"/>
      <c r="B24" s="484" t="s">
        <v>179</v>
      </c>
      <c r="C24" s="485" t="s">
        <v>162</v>
      </c>
      <c r="D24" s="485" t="s">
        <v>163</v>
      </c>
      <c r="E24" s="485" t="s">
        <v>127</v>
      </c>
      <c r="F24" s="485" t="s">
        <v>163</v>
      </c>
      <c r="G24" s="485" t="s">
        <v>164</v>
      </c>
      <c r="H24" s="486" t="str">
        <f t="shared" si="0"/>
        <v>GBP6L12L22Y_Quote</v>
      </c>
      <c r="I24" s="489" t="str">
        <f t="shared" si="1"/>
        <v>GbpLiborSwapIsda22Y</v>
      </c>
      <c r="J24" s="488" t="str">
        <f t="shared" si="2"/>
        <v>GBPSB6L22Y_S6L12L_Quote</v>
      </c>
      <c r="K24" s="488" t="str">
        <f>_xll.qlForwardSwapQuote(J24,I24,H24,E24,Permanent,Trigger,ObjectOverwrite)</f>
        <v>GBPSB6L22Y_S6L12L_Quote#0000</v>
      </c>
      <c r="L24" s="488" t="str">
        <f>_xll.ohRangeRetrieveError(K24)</f>
        <v/>
      </c>
      <c r="M24" s="483"/>
    </row>
    <row r="25" spans="1:13" x14ac:dyDescent="0.2">
      <c r="A25" s="479"/>
      <c r="B25" s="484" t="s">
        <v>180</v>
      </c>
      <c r="C25" s="485" t="s">
        <v>162</v>
      </c>
      <c r="D25" s="485" t="s">
        <v>163</v>
      </c>
      <c r="E25" s="485" t="s">
        <v>127</v>
      </c>
      <c r="F25" s="485" t="s">
        <v>163</v>
      </c>
      <c r="G25" s="485" t="s">
        <v>164</v>
      </c>
      <c r="H25" s="486" t="str">
        <f t="shared" si="0"/>
        <v>GBP6L12L23Y_Quote</v>
      </c>
      <c r="I25" s="489" t="str">
        <f t="shared" si="1"/>
        <v>GbpLiborSwapIsda23Y</v>
      </c>
      <c r="J25" s="488" t="str">
        <f t="shared" si="2"/>
        <v>GBPSB6L23Y_S6L12L_Quote</v>
      </c>
      <c r="K25" s="488" t="str">
        <f>_xll.qlForwardSwapQuote(J25,I25,H25,E25,Permanent,Trigger,ObjectOverwrite)</f>
        <v>GBPSB6L23Y_S6L12L_Quote#0000</v>
      </c>
      <c r="L25" s="488" t="str">
        <f>_xll.ohRangeRetrieveError(K25)</f>
        <v/>
      </c>
      <c r="M25" s="483"/>
    </row>
    <row r="26" spans="1:13" x14ac:dyDescent="0.2">
      <c r="A26" s="479"/>
      <c r="B26" s="484" t="s">
        <v>181</v>
      </c>
      <c r="C26" s="485" t="s">
        <v>162</v>
      </c>
      <c r="D26" s="485" t="s">
        <v>163</v>
      </c>
      <c r="E26" s="485" t="s">
        <v>127</v>
      </c>
      <c r="F26" s="485" t="s">
        <v>163</v>
      </c>
      <c r="G26" s="485" t="s">
        <v>164</v>
      </c>
      <c r="H26" s="486" t="str">
        <f t="shared" si="0"/>
        <v>GBP6L12L24Y_Quote</v>
      </c>
      <c r="I26" s="489" t="str">
        <f t="shared" si="1"/>
        <v>GbpLiborSwapIsda24Y</v>
      </c>
      <c r="J26" s="488" t="str">
        <f t="shared" si="2"/>
        <v>GBPSB6L24Y_S6L12L_Quote</v>
      </c>
      <c r="K26" s="488" t="str">
        <f>_xll.qlForwardSwapQuote(J26,I26,H26,E26,Permanent,Trigger,ObjectOverwrite)</f>
        <v>GBPSB6L24Y_S6L12L_Quote#0000</v>
      </c>
      <c r="L26" s="488" t="str">
        <f>_xll.ohRangeRetrieveError(K26)</f>
        <v/>
      </c>
      <c r="M26" s="483"/>
    </row>
    <row r="27" spans="1:13" x14ac:dyDescent="0.2">
      <c r="A27" s="479"/>
      <c r="B27" s="484" t="s">
        <v>182</v>
      </c>
      <c r="C27" s="485" t="s">
        <v>162</v>
      </c>
      <c r="D27" s="485" t="s">
        <v>163</v>
      </c>
      <c r="E27" s="485" t="s">
        <v>127</v>
      </c>
      <c r="F27" s="485" t="s">
        <v>163</v>
      </c>
      <c r="G27" s="485" t="s">
        <v>164</v>
      </c>
      <c r="H27" s="486" t="str">
        <f t="shared" si="0"/>
        <v>GBP6L12L25Y_Quote</v>
      </c>
      <c r="I27" s="489" t="str">
        <f t="shared" si="1"/>
        <v>GbpLiborSwapIsda25Y</v>
      </c>
      <c r="J27" s="488" t="str">
        <f t="shared" si="2"/>
        <v>GBPSB6L25Y_S6L12L_Quote</v>
      </c>
      <c r="K27" s="488" t="str">
        <f>_xll.qlForwardSwapQuote(J27,I27,H27,E27,Permanent,Trigger,ObjectOverwrite)</f>
        <v>GBPSB6L25Y_S6L12L_Quote#0000</v>
      </c>
      <c r="L27" s="488" t="str">
        <f>_xll.ohRangeRetrieveError(K27)</f>
        <v/>
      </c>
      <c r="M27" s="483"/>
    </row>
    <row r="28" spans="1:13" x14ac:dyDescent="0.2">
      <c r="A28" s="479"/>
      <c r="B28" s="484" t="s">
        <v>183</v>
      </c>
      <c r="C28" s="485" t="s">
        <v>162</v>
      </c>
      <c r="D28" s="485" t="s">
        <v>163</v>
      </c>
      <c r="E28" s="485" t="s">
        <v>127</v>
      </c>
      <c r="F28" s="485" t="s">
        <v>163</v>
      </c>
      <c r="G28" s="485" t="s">
        <v>164</v>
      </c>
      <c r="H28" s="486" t="str">
        <f t="shared" si="0"/>
        <v>GBP6L12L26Y_Quote</v>
      </c>
      <c r="I28" s="489" t="str">
        <f t="shared" si="1"/>
        <v>GbpLiborSwapIsda26Y</v>
      </c>
      <c r="J28" s="488" t="str">
        <f t="shared" si="2"/>
        <v>GBPSB6L26Y_S6L12L_Quote</v>
      </c>
      <c r="K28" s="488" t="str">
        <f>_xll.qlForwardSwapQuote(J28,I28,H28,E28,Permanent,Trigger,ObjectOverwrite)</f>
        <v>GBPSB6L26Y_S6L12L_Quote#0000</v>
      </c>
      <c r="L28" s="488" t="str">
        <f>_xll.ohRangeRetrieveError(K28)</f>
        <v/>
      </c>
      <c r="M28" s="483"/>
    </row>
    <row r="29" spans="1:13" x14ac:dyDescent="0.2">
      <c r="A29" s="479"/>
      <c r="B29" s="484" t="s">
        <v>184</v>
      </c>
      <c r="C29" s="485" t="s">
        <v>162</v>
      </c>
      <c r="D29" s="485" t="s">
        <v>163</v>
      </c>
      <c r="E29" s="485" t="s">
        <v>127</v>
      </c>
      <c r="F29" s="485" t="s">
        <v>163</v>
      </c>
      <c r="G29" s="485" t="s">
        <v>164</v>
      </c>
      <c r="H29" s="486" t="str">
        <f t="shared" si="0"/>
        <v>GBP6L12L27Y_Quote</v>
      </c>
      <c r="I29" s="489" t="str">
        <f t="shared" si="1"/>
        <v>GbpLiborSwapIsda27Y</v>
      </c>
      <c r="J29" s="488" t="str">
        <f t="shared" si="2"/>
        <v>GBPSB6L27Y_S6L12L_Quote</v>
      </c>
      <c r="K29" s="488" t="str">
        <f>_xll.qlForwardSwapQuote(J29,I29,H29,E29,Permanent,Trigger,ObjectOverwrite)</f>
        <v>GBPSB6L27Y_S6L12L_Quote#0000</v>
      </c>
      <c r="L29" s="488" t="str">
        <f>_xll.ohRangeRetrieveError(K29)</f>
        <v/>
      </c>
      <c r="M29" s="483"/>
    </row>
    <row r="30" spans="1:13" x14ac:dyDescent="0.2">
      <c r="A30" s="479"/>
      <c r="B30" s="484" t="s">
        <v>185</v>
      </c>
      <c r="C30" s="485" t="s">
        <v>162</v>
      </c>
      <c r="D30" s="485" t="s">
        <v>163</v>
      </c>
      <c r="E30" s="485" t="s">
        <v>127</v>
      </c>
      <c r="F30" s="485" t="s">
        <v>163</v>
      </c>
      <c r="G30" s="485" t="s">
        <v>164</v>
      </c>
      <c r="H30" s="486" t="str">
        <f t="shared" si="0"/>
        <v>GBP6L12L28Y_Quote</v>
      </c>
      <c r="I30" s="489" t="str">
        <f t="shared" si="1"/>
        <v>GbpLiborSwapIsda28Y</v>
      </c>
      <c r="J30" s="488" t="str">
        <f t="shared" si="2"/>
        <v>GBPSB6L28Y_S6L12L_Quote</v>
      </c>
      <c r="K30" s="488" t="str">
        <f>_xll.qlForwardSwapQuote(J30,I30,H30,E30,Permanent,Trigger,ObjectOverwrite)</f>
        <v>GBPSB6L28Y_S6L12L_Quote#0000</v>
      </c>
      <c r="L30" s="488" t="str">
        <f>_xll.ohRangeRetrieveError(K30)</f>
        <v/>
      </c>
      <c r="M30" s="483"/>
    </row>
    <row r="31" spans="1:13" x14ac:dyDescent="0.2">
      <c r="A31" s="479"/>
      <c r="B31" s="484" t="s">
        <v>186</v>
      </c>
      <c r="C31" s="485" t="s">
        <v>162</v>
      </c>
      <c r="D31" s="485" t="s">
        <v>163</v>
      </c>
      <c r="E31" s="485" t="s">
        <v>127</v>
      </c>
      <c r="F31" s="485" t="s">
        <v>163</v>
      </c>
      <c r="G31" s="485" t="s">
        <v>164</v>
      </c>
      <c r="H31" s="486" t="str">
        <f t="shared" si="0"/>
        <v>GBP6L12L29Y_Quote</v>
      </c>
      <c r="I31" s="489" t="str">
        <f t="shared" si="1"/>
        <v>GbpLiborSwapIsda29Y</v>
      </c>
      <c r="J31" s="488" t="str">
        <f t="shared" si="2"/>
        <v>GBPSB6L29Y_S6L12L_Quote</v>
      </c>
      <c r="K31" s="488" t="str">
        <f>_xll.qlForwardSwapQuote(J31,I31,H31,E31,Permanent,Trigger,ObjectOverwrite)</f>
        <v>GBPSB6L29Y_S6L12L_Quote#0000</v>
      </c>
      <c r="L31" s="488" t="str">
        <f>_xll.ohRangeRetrieveError(K31)</f>
        <v/>
      </c>
      <c r="M31" s="483"/>
    </row>
    <row r="32" spans="1:13" x14ac:dyDescent="0.2">
      <c r="A32" s="479"/>
      <c r="B32" s="484" t="s">
        <v>187</v>
      </c>
      <c r="C32" s="485" t="s">
        <v>162</v>
      </c>
      <c r="D32" s="485" t="s">
        <v>163</v>
      </c>
      <c r="E32" s="485" t="s">
        <v>127</v>
      </c>
      <c r="F32" s="485" t="s">
        <v>163</v>
      </c>
      <c r="G32" s="485" t="s">
        <v>164</v>
      </c>
      <c r="H32" s="486" t="str">
        <f t="shared" si="0"/>
        <v>GBP6L12L30Y_Quote</v>
      </c>
      <c r="I32" s="489" t="str">
        <f t="shared" si="1"/>
        <v>GbpLiborSwapIsda30Y</v>
      </c>
      <c r="J32" s="488" t="str">
        <f t="shared" si="2"/>
        <v>GBPSB6L30Y_S6L12L_Quote</v>
      </c>
      <c r="K32" s="488" t="str">
        <f>_xll.qlForwardSwapQuote(J32,I32,H32,E32,Permanent,Trigger,ObjectOverwrite)</f>
        <v>GBPSB6L30Y_S6L12L_Quote#0000</v>
      </c>
      <c r="L32" s="488" t="str">
        <f>_xll.ohRangeRetrieveError(K32)</f>
        <v/>
      </c>
      <c r="M32" s="483"/>
    </row>
    <row r="33" spans="1:13" x14ac:dyDescent="0.2">
      <c r="A33" s="479"/>
      <c r="B33" s="484" t="s">
        <v>188</v>
      </c>
      <c r="C33" s="485" t="s">
        <v>162</v>
      </c>
      <c r="D33" s="485" t="s">
        <v>163</v>
      </c>
      <c r="E33" s="485" t="s">
        <v>127</v>
      </c>
      <c r="F33" s="485" t="s">
        <v>163</v>
      </c>
      <c r="G33" s="485" t="s">
        <v>164</v>
      </c>
      <c r="H33" s="486" t="str">
        <f t="shared" si="0"/>
        <v>GBP6L12L35Y_Quote</v>
      </c>
      <c r="I33" s="489" t="str">
        <f t="shared" si="1"/>
        <v>GbpLiborSwapIsda35Y</v>
      </c>
      <c r="J33" s="488" t="str">
        <f t="shared" si="2"/>
        <v>GBPSB6L35Y_S6L12L_Quote</v>
      </c>
      <c r="K33" s="488" t="str">
        <f>_xll.qlForwardSwapQuote(J33,I33,H33,E33,Permanent,Trigger,ObjectOverwrite)</f>
        <v>GBPSB6L35Y_S6L12L_Quote#0000</v>
      </c>
      <c r="L33" s="488" t="str">
        <f>_xll.ohRangeRetrieveError(K33)</f>
        <v/>
      </c>
      <c r="M33" s="483"/>
    </row>
    <row r="34" spans="1:13" x14ac:dyDescent="0.2">
      <c r="A34" s="479"/>
      <c r="B34" s="484" t="s">
        <v>189</v>
      </c>
      <c r="C34" s="485" t="s">
        <v>162</v>
      </c>
      <c r="D34" s="485" t="s">
        <v>163</v>
      </c>
      <c r="E34" s="485" t="s">
        <v>127</v>
      </c>
      <c r="F34" s="485" t="s">
        <v>163</v>
      </c>
      <c r="G34" s="485" t="s">
        <v>164</v>
      </c>
      <c r="H34" s="486" t="str">
        <f t="shared" si="0"/>
        <v>GBP6L12L40Y_Quote</v>
      </c>
      <c r="I34" s="489" t="str">
        <f t="shared" si="1"/>
        <v>GbpLiborSwapIsda40Y</v>
      </c>
      <c r="J34" s="488" t="str">
        <f t="shared" si="2"/>
        <v>GBPSB6L40Y_S6L12L_Quote</v>
      </c>
      <c r="K34" s="488" t="str">
        <f>_xll.qlForwardSwapQuote(J34,I34,H34,E34,Permanent,Trigger,ObjectOverwrite)</f>
        <v>GBPSB6L40Y_S6L12L_Quote#0000</v>
      </c>
      <c r="L34" s="488" t="str">
        <f>_xll.ohRangeRetrieveError(K34)</f>
        <v/>
      </c>
      <c r="M34" s="483"/>
    </row>
    <row r="35" spans="1:13" x14ac:dyDescent="0.2">
      <c r="A35" s="479"/>
      <c r="B35" s="484" t="s">
        <v>190</v>
      </c>
      <c r="C35" s="485" t="s">
        <v>162</v>
      </c>
      <c r="D35" s="485" t="s">
        <v>163</v>
      </c>
      <c r="E35" s="485" t="s">
        <v>127</v>
      </c>
      <c r="F35" s="485" t="s">
        <v>163</v>
      </c>
      <c r="G35" s="485" t="s">
        <v>164</v>
      </c>
      <c r="H35" s="486" t="str">
        <f t="shared" si="0"/>
        <v>GBP6L12L50Y_Quote</v>
      </c>
      <c r="I35" s="489" t="str">
        <f t="shared" si="1"/>
        <v>GbpLiborSwapIsda50Y</v>
      </c>
      <c r="J35" s="488" t="str">
        <f t="shared" si="2"/>
        <v>GBPSB6L50Y_S6L12L_Quote</v>
      </c>
      <c r="K35" s="488" t="str">
        <f>_xll.qlForwardSwapQuote(J35,I35,H35,E35,Permanent,Trigger,ObjectOverwrite)</f>
        <v>GBPSB6L50Y_S6L12L_Quote#0000</v>
      </c>
      <c r="L35" s="488" t="str">
        <f>_xll.ohRangeRetrieveError(K35)</f>
        <v/>
      </c>
      <c r="M35" s="483"/>
    </row>
    <row r="36" spans="1:13" x14ac:dyDescent="0.2">
      <c r="A36" s="479"/>
      <c r="B36" s="484" t="s">
        <v>191</v>
      </c>
      <c r="C36" s="485" t="s">
        <v>162</v>
      </c>
      <c r="D36" s="485" t="s">
        <v>163</v>
      </c>
      <c r="E36" s="485" t="s">
        <v>127</v>
      </c>
      <c r="F36" s="485" t="s">
        <v>163</v>
      </c>
      <c r="G36" s="485" t="s">
        <v>164</v>
      </c>
      <c r="H36" s="486" t="str">
        <f t="shared" si="0"/>
        <v>GBP6L12L60Y_Quote</v>
      </c>
      <c r="I36" s="489" t="str">
        <f t="shared" si="1"/>
        <v>GbpLiborSwapIsda60Y</v>
      </c>
      <c r="J36" s="488" t="str">
        <f t="shared" si="2"/>
        <v>GBPSB6L60Y_S6L12L_Quote</v>
      </c>
      <c r="K36" s="488" t="str">
        <f>_xll.qlForwardSwapQuote(J36,I36,H36,E36,Permanent,Trigger,ObjectOverwrite)</f>
        <v>GBPSB6L60Y_S6L12L_Quote#0000</v>
      </c>
      <c r="L36" s="488" t="str">
        <f>_xll.ohRangeRetrieveError(K36)</f>
        <v/>
      </c>
      <c r="M36" s="483"/>
    </row>
    <row r="37" spans="1:13" ht="12" thickBot="1" x14ac:dyDescent="0.25">
      <c r="A37" s="490"/>
      <c r="B37" s="491"/>
      <c r="C37" s="491"/>
      <c r="D37" s="491"/>
      <c r="E37" s="491"/>
      <c r="F37" s="491"/>
      <c r="G37" s="491"/>
      <c r="H37" s="491"/>
      <c r="I37" s="491"/>
      <c r="J37" s="491"/>
      <c r="K37" s="492"/>
      <c r="L37" s="492"/>
      <c r="M37" s="493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63</vt:i4>
      </vt:variant>
    </vt:vector>
  </HeadingPairs>
  <TitlesOfParts>
    <vt:vector size="75" baseType="lpstr">
      <vt:lpstr>General Settings</vt:lpstr>
      <vt:lpstr>1MSynthDepo</vt:lpstr>
      <vt:lpstr>3MSynthDepo</vt:lpstr>
      <vt:lpstr>6MSynthDepo</vt:lpstr>
      <vt:lpstr>1YSynthDepo</vt:lpstr>
      <vt:lpstr>SynthFRA</vt:lpstr>
      <vt:lpstr>Contribution</vt:lpstr>
      <vt:lpstr>Delta 1M</vt:lpstr>
      <vt:lpstr>Delta 3M</vt:lpstr>
      <vt:lpstr>Delta 6M </vt:lpstr>
      <vt:lpstr>Delta 1Y</vt:lpstr>
      <vt:lpstr>Swaps1Y</vt:lpstr>
      <vt:lpstr>Accuracy</vt:lpstr>
      <vt:lpstr>AllTriggers</vt:lpstr>
      <vt:lpstr>B3Minterpolation</vt:lpstr>
      <vt:lpstr>B6Minterpolation</vt:lpstr>
      <vt:lpstr>basis3Minterpolation</vt:lpstr>
      <vt:lpstr>BasisInterpolation</vt:lpstr>
      <vt:lpstr>BasisInterpolator</vt:lpstr>
      <vt:lpstr>Calendar</vt:lpstr>
      <vt:lpstr>'Delta 1M'!Conventions</vt:lpstr>
      <vt:lpstr>'Delta 1Y'!Conventions</vt:lpstr>
      <vt:lpstr>Currency</vt:lpstr>
      <vt:lpstr>DayCounter</vt:lpstr>
      <vt:lpstr>Delta1M</vt:lpstr>
      <vt:lpstr>Delta1Y</vt:lpstr>
      <vt:lpstr>Discounting</vt:lpstr>
      <vt:lpstr>EvaluationDate</vt:lpstr>
      <vt:lpstr>FileOverwrite</vt:lpstr>
      <vt:lpstr>GENERAL_SETTINGS</vt:lpstr>
      <vt:lpstr>iborindex1M</vt:lpstr>
      <vt:lpstr>IborIndex1Y</vt:lpstr>
      <vt:lpstr>IborTenor</vt:lpstr>
      <vt:lpstr>IborTenor1M</vt:lpstr>
      <vt:lpstr>IborType</vt:lpstr>
      <vt:lpstr>InterestRatesTrigger</vt:lpstr>
      <vt:lpstr>interpolatedbasis3M</vt:lpstr>
      <vt:lpstr>interpolatedbasis6M</vt:lpstr>
      <vt:lpstr>'1MSynthDepo'!interpolator3M</vt:lpstr>
      <vt:lpstr>'1YSynthDepo'!interpolator3M</vt:lpstr>
      <vt:lpstr>interpolator3M</vt:lpstr>
      <vt:lpstr>interpolator6M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2015-04-30T08:48:10Z</dcterms:modified>
</cp:coreProperties>
</file>